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8_ТЕХОТДЕЛ\►►►РАСКРЫТИЕ ИНФОРМАЦИИ◄◄◄\2023-2024\в) Общая информация о многоквартирных домах\"/>
    </mc:Choice>
  </mc:AlternateContent>
  <bookViews>
    <workbookView xWindow="0" yWindow="0" windowWidth="28800" windowHeight="12330" tabRatio="302"/>
  </bookViews>
  <sheets>
    <sheet name="МКД" sheetId="6" r:id="rId1"/>
    <sheet name="Нежилые" sheetId="4" r:id="rId2"/>
    <sheet name="ЕРКЦ" sheetId="11" r:id="rId3"/>
  </sheets>
  <definedNames>
    <definedName name="_xlnm._FilterDatabase" localSheetId="2" hidden="1">ЕРКЦ!$A$1:$K$385</definedName>
    <definedName name="_xlnm._FilterDatabase" localSheetId="0" hidden="1">МКД!$A$5:$NG$389</definedName>
    <definedName name="_xlnm._FilterDatabase" localSheetId="1" hidden="1">Нежилые!#REF!</definedName>
    <definedName name="_xlnm.Database" localSheetId="2">ЕРКЦ!$A$1:$K$385</definedName>
    <definedName name="_xlnm.Database" localSheetId="0">#REF!</definedName>
    <definedName name="_xlnm.Database" localSheetId="1">#REF!</definedName>
    <definedName name="_xlnm.Database">#REF!</definedName>
    <definedName name="_xlnm.Print_Titles" localSheetId="0">МКД!$B:$D,МКД!$3:$5</definedName>
    <definedName name="_xlnm.Print_Area" localSheetId="0">МКД!$A$1:$BR$413</definedName>
  </definedNames>
  <calcPr calcId="162913" refMode="R1C1"/>
</workbook>
</file>

<file path=xl/calcChain.xml><?xml version="1.0" encoding="utf-8"?>
<calcChain xmlns="http://schemas.openxmlformats.org/spreadsheetml/2006/main">
  <c r="AM369" i="6" l="1"/>
  <c r="AM365" i="6"/>
  <c r="AM360" i="6"/>
  <c r="AM356" i="6"/>
  <c r="AM331" i="6"/>
  <c r="AM307" i="6"/>
  <c r="AM297" i="6"/>
  <c r="AM281" i="6"/>
  <c r="AM280" i="6"/>
  <c r="AM262" i="6"/>
  <c r="H1498" i="4"/>
  <c r="G1498" i="4"/>
  <c r="AM258" i="6"/>
  <c r="AM248" i="6"/>
  <c r="AM204" i="6"/>
  <c r="AM187" i="6"/>
  <c r="AM175" i="6"/>
  <c r="AM174" i="6"/>
  <c r="AM127" i="6"/>
  <c r="AM126" i="6"/>
  <c r="AM119" i="6"/>
  <c r="AM117" i="6"/>
  <c r="AM110" i="6"/>
  <c r="AM56" i="6"/>
  <c r="AM44" i="6"/>
  <c r="AM38" i="6"/>
  <c r="AM23" i="6"/>
  <c r="AM27" i="6"/>
  <c r="BC277" i="6" l="1"/>
  <c r="H2096" i="4" l="1"/>
  <c r="G2096" i="4"/>
  <c r="H2091" i="4"/>
  <c r="G2091" i="4"/>
  <c r="H1605" i="4"/>
  <c r="G1605" i="4"/>
  <c r="H1721" i="4"/>
  <c r="G1721" i="4"/>
  <c r="H1542" i="4"/>
  <c r="G1542" i="4"/>
  <c r="H1555" i="4"/>
  <c r="G1555" i="4"/>
  <c r="H1377" i="4"/>
  <c r="G1377" i="4"/>
  <c r="H1376" i="4"/>
  <c r="G1376" i="4"/>
  <c r="H1326" i="4"/>
  <c r="G1326" i="4"/>
  <c r="H1503" i="4"/>
  <c r="G1503" i="4"/>
  <c r="H1463" i="4" l="1"/>
  <c r="G1463" i="4"/>
  <c r="H1441" i="4"/>
  <c r="G1441" i="4"/>
  <c r="H1242" i="4"/>
  <c r="G1242" i="4"/>
  <c r="H1095" i="4"/>
  <c r="G1095" i="4"/>
  <c r="H942" i="4"/>
  <c r="G942" i="4"/>
  <c r="H984" i="4"/>
  <c r="G984" i="4"/>
  <c r="H589" i="4" l="1"/>
  <c r="G589" i="4"/>
  <c r="M296" i="4"/>
  <c r="H151" i="4"/>
  <c r="G151" i="4"/>
  <c r="H1716" i="4"/>
  <c r="G1716" i="4"/>
  <c r="H1534" i="4"/>
  <c r="G1534" i="4"/>
  <c r="H1162" i="4"/>
  <c r="G1162" i="4"/>
  <c r="P733" i="4"/>
  <c r="P345" i="6" l="1"/>
  <c r="P1931" i="4"/>
  <c r="I1922" i="4"/>
  <c r="P1769" i="4" l="1"/>
  <c r="H1569" i="4"/>
  <c r="G1569" i="4"/>
  <c r="K1959" i="4" l="1"/>
  <c r="M1623" i="4"/>
  <c r="H1624" i="4"/>
  <c r="G1624" i="4"/>
  <c r="I1842" i="4"/>
  <c r="G1842" i="4" s="1"/>
  <c r="I1841" i="4"/>
  <c r="H1842" i="4"/>
  <c r="H1444" i="4"/>
  <c r="G1444" i="4"/>
  <c r="H1443" i="4"/>
  <c r="G1443" i="4"/>
  <c r="H1436" i="4"/>
  <c r="G1436" i="4"/>
  <c r="M995" i="4" l="1"/>
  <c r="G995" i="4" s="1"/>
  <c r="H995" i="4"/>
  <c r="H684" i="4"/>
  <c r="G684" i="4"/>
  <c r="H567" i="4"/>
  <c r="G567" i="4"/>
  <c r="H566" i="4"/>
  <c r="G566" i="4"/>
  <c r="M278" i="4"/>
  <c r="H279" i="4"/>
  <c r="G279" i="4"/>
  <c r="H178" i="4" l="1"/>
  <c r="G178" i="4"/>
  <c r="P484" i="4" l="1"/>
  <c r="H855" i="4" l="1"/>
  <c r="G855" i="4"/>
  <c r="P1850" i="4" l="1"/>
  <c r="H1568" i="4"/>
  <c r="G1568" i="4"/>
  <c r="P978" i="4"/>
  <c r="AF10" i="6" l="1"/>
  <c r="AQ12" i="6" l="1"/>
  <c r="AZ12" i="6"/>
  <c r="K1065" i="4" l="1"/>
  <c r="H1065" i="4"/>
  <c r="G1065" i="4"/>
  <c r="K1066" i="4" l="1"/>
  <c r="G1066" i="4" s="1"/>
  <c r="K1069" i="4"/>
  <c r="G1069" i="4" s="1"/>
  <c r="K1068" i="4"/>
  <c r="G1068" i="4" s="1"/>
  <c r="K1070" i="4"/>
  <c r="G1070" i="4" s="1"/>
  <c r="H1070" i="4"/>
  <c r="H1069" i="4"/>
  <c r="H1068" i="4"/>
  <c r="K1071" i="4"/>
  <c r="G1071" i="4" s="1"/>
  <c r="H1071" i="4"/>
  <c r="H1067" i="4"/>
  <c r="G1067" i="4"/>
  <c r="H1066" i="4"/>
  <c r="K1063" i="4" l="1"/>
  <c r="H1064" i="4"/>
  <c r="G1064" i="4"/>
  <c r="L105" i="4" l="1"/>
  <c r="K28" i="6"/>
  <c r="K29" i="6"/>
  <c r="K30" i="6"/>
  <c r="K31" i="6"/>
  <c r="K33" i="6"/>
  <c r="K34" i="6"/>
  <c r="K35" i="6"/>
  <c r="K36" i="6"/>
  <c r="K37" i="6"/>
  <c r="K38" i="6"/>
  <c r="K39" i="6"/>
  <c r="K40" i="6"/>
  <c r="K42" i="6"/>
  <c r="K43" i="6"/>
  <c r="K44" i="6"/>
  <c r="K45" i="6"/>
  <c r="K46" i="6"/>
  <c r="K47" i="6"/>
  <c r="K48" i="6"/>
  <c r="K49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6" i="6"/>
  <c r="K247" i="6"/>
  <c r="K249" i="6"/>
  <c r="K250" i="6"/>
  <c r="K251" i="6"/>
  <c r="K252" i="6"/>
  <c r="K253" i="6"/>
  <c r="K254" i="6"/>
  <c r="K255" i="6"/>
  <c r="K256" i="6"/>
  <c r="K257" i="6"/>
  <c r="K258" i="6"/>
  <c r="K259" i="6"/>
  <c r="K261" i="6"/>
  <c r="K262" i="6"/>
  <c r="K263" i="6"/>
  <c r="K264" i="6"/>
  <c r="K265" i="6"/>
  <c r="K266" i="6"/>
  <c r="K267" i="6"/>
  <c r="K269" i="6"/>
  <c r="K270" i="6"/>
  <c r="K271" i="6"/>
  <c r="K272" i="6"/>
  <c r="K273" i="6"/>
  <c r="K275" i="6"/>
  <c r="K277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6" i="6"/>
  <c r="AI92" i="6" l="1"/>
  <c r="H1951" i="4" l="1"/>
  <c r="G1951" i="4"/>
  <c r="AI347" i="6"/>
  <c r="H1317" i="4" l="1"/>
  <c r="G1317" i="4"/>
  <c r="AY188" i="6" l="1"/>
  <c r="AQ307" i="6" l="1"/>
  <c r="AQ266" i="6"/>
  <c r="H1729" i="4" l="1"/>
  <c r="G1729" i="4"/>
  <c r="H1741" i="4"/>
  <c r="G1741" i="4"/>
  <c r="H1740" i="4"/>
  <c r="G1740" i="4"/>
  <c r="H1730" i="4"/>
  <c r="G1730" i="4"/>
  <c r="H1735" i="4"/>
  <c r="G1735" i="4"/>
  <c r="H1734" i="4"/>
  <c r="G1734" i="4"/>
  <c r="H1733" i="4"/>
  <c r="G1733" i="4"/>
  <c r="H1732" i="4"/>
  <c r="G1732" i="4"/>
  <c r="H1728" i="4"/>
  <c r="G1728" i="4"/>
  <c r="I1402" i="4"/>
  <c r="H1401" i="4"/>
  <c r="G1401" i="4"/>
  <c r="H1144" i="4"/>
  <c r="G1144" i="4"/>
  <c r="H1142" i="4"/>
  <c r="G1142" i="4"/>
  <c r="H1147" i="4"/>
  <c r="G1147" i="4"/>
  <c r="H1140" i="4"/>
  <c r="G1140" i="4"/>
  <c r="H1148" i="4"/>
  <c r="G1148" i="4"/>
  <c r="H601" i="4" l="1"/>
  <c r="G601" i="4"/>
  <c r="H107" i="4"/>
  <c r="G107" i="4"/>
  <c r="I1650" i="4" l="1"/>
  <c r="H1651" i="4"/>
  <c r="G1651" i="4"/>
  <c r="I1776" i="4"/>
  <c r="H1777" i="4"/>
  <c r="G1777" i="4"/>
  <c r="H1778" i="4"/>
  <c r="G1778" i="4"/>
  <c r="H222" i="4" l="1"/>
  <c r="G222" i="4"/>
  <c r="G386" i="11" l="1"/>
  <c r="L1284" i="4" l="1"/>
  <c r="AU248" i="6" l="1"/>
  <c r="K1429" i="4" l="1"/>
  <c r="AM329" i="6"/>
  <c r="M1647" i="4"/>
  <c r="AI379" i="6"/>
  <c r="H2103" i="4"/>
  <c r="G2103" i="4"/>
  <c r="AI281" i="6"/>
  <c r="AQ213" i="6" l="1"/>
  <c r="AI213" i="6"/>
  <c r="AQ180" i="6"/>
  <c r="AI174" i="6"/>
  <c r="AM19" i="6"/>
  <c r="P1620" i="4" l="1"/>
  <c r="P983" i="4" l="1"/>
  <c r="AI286" i="6" l="1"/>
  <c r="I1720" i="4" l="1"/>
  <c r="I1719" i="4"/>
  <c r="H1720" i="4"/>
  <c r="G1720" i="4"/>
  <c r="I1320" i="4"/>
  <c r="H1010" i="4"/>
  <c r="G1010" i="4"/>
  <c r="H1928" i="4" l="1"/>
  <c r="G1928" i="4"/>
  <c r="H1926" i="4"/>
  <c r="G1926" i="4"/>
  <c r="H1923" i="4"/>
  <c r="G1923" i="4"/>
  <c r="H1922" i="4"/>
  <c r="G1922" i="4"/>
  <c r="H1925" i="4"/>
  <c r="G1925" i="4"/>
  <c r="H1639" i="4" l="1"/>
  <c r="G1639" i="4"/>
  <c r="I599" i="4"/>
  <c r="H2022" i="4" l="1"/>
  <c r="G2022" i="4"/>
  <c r="H1959" i="4" l="1"/>
  <c r="G1959" i="4"/>
  <c r="L851" i="4" l="1"/>
  <c r="P1973" i="4" l="1"/>
  <c r="AM332" i="6" l="1"/>
  <c r="AI332" i="6" s="1"/>
  <c r="M1674" i="4"/>
  <c r="AM374" i="6"/>
  <c r="AI374" i="6" s="1"/>
  <c r="M2078" i="4"/>
  <c r="I1826" i="4" l="1"/>
  <c r="H1826" i="4"/>
  <c r="G1826" i="4"/>
  <c r="I1334" i="4" l="1"/>
  <c r="G1334" i="4" s="1"/>
  <c r="H1334" i="4"/>
  <c r="I1290" i="4"/>
  <c r="G1290" i="4" s="1"/>
  <c r="H1290" i="4"/>
  <c r="H1000" i="4"/>
  <c r="G1000" i="4"/>
  <c r="H997" i="4"/>
  <c r="G997" i="4"/>
  <c r="H609" i="4"/>
  <c r="G609" i="4"/>
  <c r="H608" i="4"/>
  <c r="G608" i="4"/>
  <c r="K2048" i="4" l="1"/>
  <c r="H396" i="4" l="1"/>
  <c r="G396" i="4"/>
  <c r="H160" i="4"/>
  <c r="G160" i="4"/>
  <c r="L27" i="4"/>
  <c r="I1458" i="4" l="1"/>
  <c r="K1458" i="4"/>
  <c r="T379" i="6" l="1"/>
  <c r="S379" i="6"/>
  <c r="T301" i="6"/>
  <c r="S301" i="6"/>
  <c r="R301" i="6"/>
  <c r="U301" i="6"/>
  <c r="T165" i="6"/>
  <c r="S165" i="6"/>
  <c r="R165" i="6"/>
  <c r="W391" i="6" l="1"/>
  <c r="S258" i="6"/>
  <c r="T248" i="6"/>
  <c r="S248" i="6"/>
  <c r="R248" i="6"/>
  <c r="V248" i="6"/>
  <c r="U248" i="6"/>
  <c r="S278" i="6"/>
  <c r="V271" i="6"/>
  <c r="U271" i="6"/>
  <c r="T271" i="6"/>
  <c r="S271" i="6"/>
  <c r="R271" i="6"/>
  <c r="R391" i="6" l="1"/>
  <c r="V391" i="6"/>
  <c r="U391" i="6"/>
  <c r="T391" i="6"/>
  <c r="S391" i="6"/>
  <c r="Q391" i="6"/>
  <c r="H2048" i="4" l="1"/>
  <c r="G2048" i="4"/>
  <c r="I2047" i="4"/>
  <c r="G2119" i="4" l="1"/>
  <c r="P1124" i="4" l="1"/>
  <c r="I686" i="4"/>
  <c r="H687" i="4"/>
  <c r="G687" i="4"/>
  <c r="H1331" i="4" l="1"/>
  <c r="G1331" i="4"/>
  <c r="P1604" i="4" l="1"/>
  <c r="K2080" i="4" l="1"/>
  <c r="AI377" i="6" l="1"/>
  <c r="AO51" i="6" l="1"/>
  <c r="AO55" i="6"/>
  <c r="AO54" i="6"/>
  <c r="H695" i="4" l="1"/>
  <c r="G695" i="4"/>
  <c r="U2118" i="4"/>
  <c r="AZ69" i="6" l="1"/>
  <c r="BC269" i="6" l="1"/>
  <c r="BC357" i="6"/>
  <c r="BB357" i="6"/>
  <c r="BC381" i="6"/>
  <c r="I2044" i="4"/>
  <c r="H2044" i="4"/>
  <c r="G2044" i="4"/>
  <c r="BC389" i="6" s="1"/>
  <c r="BB389" i="6" s="1"/>
  <c r="BA357" i="6" l="1"/>
  <c r="M1709" i="4"/>
  <c r="G1709" i="4"/>
  <c r="AM299" i="6"/>
  <c r="AI299" i="6" s="1"/>
  <c r="BC346" i="6"/>
  <c r="BB346" i="6" s="1"/>
  <c r="BD391" i="6" l="1"/>
  <c r="BB381" i="6"/>
  <c r="BC331" i="6"/>
  <c r="BB331" i="6" s="1"/>
  <c r="BC330" i="6"/>
  <c r="BB330" i="6" s="1"/>
  <c r="BC328" i="6"/>
  <c r="BB328" i="6" s="1"/>
  <c r="BC315" i="6"/>
  <c r="BB315" i="6" s="1"/>
  <c r="BC309" i="6"/>
  <c r="BB309" i="6" s="1"/>
  <c r="BC308" i="6"/>
  <c r="BB308" i="6" s="1"/>
  <c r="BC305" i="6"/>
  <c r="BB305" i="6" s="1"/>
  <c r="BC292" i="6"/>
  <c r="BB292" i="6" s="1"/>
  <c r="BC285" i="6"/>
  <c r="BB285" i="6" s="1"/>
  <c r="BB277" i="6"/>
  <c r="BB269" i="6"/>
  <c r="BC222" i="6"/>
  <c r="BB222" i="6" s="1"/>
  <c r="BC217" i="6"/>
  <c r="BB217" i="6" s="1"/>
  <c r="BC189" i="6"/>
  <c r="BB189" i="6" s="1"/>
  <c r="BC183" i="6"/>
  <c r="BB183" i="6" s="1"/>
  <c r="BC112" i="6"/>
  <c r="BB112" i="6" s="1"/>
  <c r="BC47" i="6"/>
  <c r="BB47" i="6" s="1"/>
  <c r="BC46" i="6"/>
  <c r="BB46" i="6" s="1"/>
  <c r="BC38" i="6"/>
  <c r="BB38" i="6" s="1"/>
  <c r="BC34" i="6"/>
  <c r="BB34" i="6" s="1"/>
  <c r="BC20" i="6"/>
  <c r="BB20" i="6" s="1"/>
  <c r="BA391" i="6"/>
  <c r="I1725" i="4" l="1"/>
  <c r="AI255" i="6" l="1"/>
  <c r="H1935" i="4" l="1"/>
  <c r="G1935" i="4"/>
  <c r="H1719" i="4"/>
  <c r="G1719" i="4"/>
  <c r="P1603" i="4"/>
  <c r="I1169" i="4"/>
  <c r="H1170" i="4"/>
  <c r="G1170" i="4"/>
  <c r="I202" i="4" l="1"/>
  <c r="BE391" i="6" l="1"/>
  <c r="H2112" i="4" l="1"/>
  <c r="G2112" i="4"/>
  <c r="H1990" i="4"/>
  <c r="G1990" i="4"/>
  <c r="H1940" i="4"/>
  <c r="G1940" i="4"/>
  <c r="H1664" i="4"/>
  <c r="G1664" i="4"/>
  <c r="H1650" i="4"/>
  <c r="G1650" i="4"/>
  <c r="H1628" i="4"/>
  <c r="G1628" i="4"/>
  <c r="H1836" i="4"/>
  <c r="G1836" i="4"/>
  <c r="H1609" i="4"/>
  <c r="G1609" i="4"/>
  <c r="H1776" i="4"/>
  <c r="G1776" i="4"/>
  <c r="H1554" i="4"/>
  <c r="G1554" i="4"/>
  <c r="H1330" i="4"/>
  <c r="G1330" i="4"/>
  <c r="H1276" i="4"/>
  <c r="G1276" i="4"/>
  <c r="H1265" i="4"/>
  <c r="G1265" i="4"/>
  <c r="H948" i="4"/>
  <c r="G948" i="4"/>
  <c r="H1099" i="4"/>
  <c r="G1099" i="4"/>
  <c r="H600" i="4"/>
  <c r="G600" i="4"/>
  <c r="H184" i="4"/>
  <c r="G184" i="4"/>
  <c r="H176" i="4"/>
  <c r="G176" i="4"/>
  <c r="H224" i="4"/>
  <c r="G224" i="4"/>
  <c r="H205" i="4"/>
  <c r="G205" i="4"/>
  <c r="H106" i="4"/>
  <c r="G106" i="4"/>
  <c r="I1996" i="4" l="1"/>
  <c r="H1804" i="4"/>
  <c r="G1804" i="4"/>
  <c r="H1192" i="4"/>
  <c r="G1192" i="4"/>
  <c r="AI39" i="6" l="1"/>
  <c r="H385" i="4" l="1"/>
  <c r="G385" i="4"/>
  <c r="AI301" i="6" l="1"/>
  <c r="AY289" i="6" l="1"/>
  <c r="AI248" i="6" l="1"/>
  <c r="AM352" i="6" l="1"/>
  <c r="M1427" i="4" l="1"/>
  <c r="H1426" i="4"/>
  <c r="G1426" i="4"/>
  <c r="H1478" i="4"/>
  <c r="M1474" i="4"/>
  <c r="K1474" i="4"/>
  <c r="M1478" i="4" l="1"/>
  <c r="G1478" i="4" s="1"/>
  <c r="M614" i="4"/>
  <c r="H1564" i="4" l="1"/>
  <c r="G1564" i="4"/>
  <c r="H1556" i="4"/>
  <c r="G1556" i="4"/>
  <c r="H1417" i="4"/>
  <c r="G1417" i="4"/>
  <c r="H1414" i="4"/>
  <c r="G1414" i="4"/>
  <c r="H1406" i="4"/>
  <c r="G1406" i="4"/>
  <c r="H1399" i="4"/>
  <c r="G1399" i="4"/>
  <c r="AI279" i="6"/>
  <c r="H1392" i="4"/>
  <c r="G1392" i="4"/>
  <c r="H1389" i="4"/>
  <c r="G1389" i="4"/>
  <c r="H1378" i="4"/>
  <c r="G1378" i="4"/>
  <c r="H1370" i="4"/>
  <c r="G1370" i="4"/>
  <c r="H1360" i="4"/>
  <c r="G1360" i="4"/>
  <c r="H1355" i="4"/>
  <c r="G1355" i="4"/>
  <c r="H1352" i="4"/>
  <c r="G1352" i="4"/>
  <c r="H1349" i="4"/>
  <c r="G1349" i="4"/>
  <c r="H1517" i="4"/>
  <c r="G1517" i="4"/>
  <c r="H1505" i="4"/>
  <c r="G1505" i="4"/>
  <c r="H1496" i="4"/>
  <c r="G1496" i="4"/>
  <c r="H1489" i="4"/>
  <c r="G1489" i="4"/>
  <c r="H1467" i="4"/>
  <c r="G1467" i="4"/>
  <c r="H1464" i="4"/>
  <c r="G1464" i="4"/>
  <c r="H1421" i="4"/>
  <c r="G1421" i="4"/>
  <c r="K1448" i="4"/>
  <c r="H1216" i="4"/>
  <c r="G1216" i="4"/>
  <c r="H1288" i="4"/>
  <c r="G1288" i="4"/>
  <c r="H1278" i="4"/>
  <c r="G1278" i="4"/>
  <c r="H1266" i="4"/>
  <c r="G1266" i="4"/>
  <c r="H1254" i="4"/>
  <c r="G1254" i="4"/>
  <c r="H973" i="4"/>
  <c r="G973" i="4"/>
  <c r="H968" i="4"/>
  <c r="G968" i="4"/>
  <c r="H959" i="4"/>
  <c r="G959" i="4"/>
  <c r="H950" i="4"/>
  <c r="G950" i="4"/>
  <c r="H1137" i="4"/>
  <c r="G1137" i="4"/>
  <c r="H1103" i="4"/>
  <c r="G1103" i="4"/>
  <c r="AI298" i="6" l="1"/>
  <c r="H1096" i="4"/>
  <c r="G1096" i="4"/>
  <c r="H943" i="4"/>
  <c r="G943" i="4"/>
  <c r="H1042" i="4"/>
  <c r="G1042" i="4"/>
  <c r="H1039" i="4"/>
  <c r="G1039" i="4"/>
  <c r="H1987" i="4" l="1"/>
  <c r="G1987" i="4"/>
  <c r="H1984" i="4"/>
  <c r="G1984" i="4"/>
  <c r="H1979" i="4"/>
  <c r="G1979" i="4"/>
  <c r="H1960" i="4"/>
  <c r="G1960" i="4"/>
  <c r="H1956" i="4"/>
  <c r="G1956" i="4"/>
  <c r="H1952" i="4"/>
  <c r="G1952" i="4"/>
  <c r="H1946" i="4"/>
  <c r="G1946" i="4"/>
  <c r="H1912" i="4"/>
  <c r="G1912" i="4"/>
  <c r="H1909" i="4"/>
  <c r="G1909" i="4"/>
  <c r="H1674" i="4"/>
  <c r="G1674" i="4"/>
  <c r="H1667" i="4"/>
  <c r="G1667" i="4"/>
  <c r="H1652" i="4"/>
  <c r="G1652" i="4"/>
  <c r="H1647" i="4"/>
  <c r="G1647" i="4"/>
  <c r="H1629" i="4"/>
  <c r="G1629" i="4"/>
  <c r="AM327" i="6"/>
  <c r="H1606" i="4"/>
  <c r="G1606" i="4"/>
  <c r="H1596" i="4"/>
  <c r="G1596" i="4"/>
  <c r="H1604" i="4"/>
  <c r="G1604" i="4"/>
  <c r="H1598" i="4"/>
  <c r="G1598" i="4"/>
  <c r="H1597" i="4"/>
  <c r="G1597" i="4"/>
  <c r="H1595" i="4"/>
  <c r="G1595" i="4"/>
  <c r="I1593" i="4"/>
  <c r="H1593" i="4"/>
  <c r="G1593" i="4"/>
  <c r="H1594" i="4"/>
  <c r="G1594" i="4"/>
  <c r="H1783" i="4"/>
  <c r="G1783" i="4"/>
  <c r="H1773" i="4"/>
  <c r="G1773" i="4"/>
  <c r="H1722" i="4"/>
  <c r="G1722" i="4"/>
  <c r="H1709" i="4"/>
  <c r="K1749" i="4"/>
  <c r="H1749" i="4"/>
  <c r="G1749" i="4"/>
  <c r="K1746" i="4"/>
  <c r="G1746" i="4" s="1"/>
  <c r="H1746" i="4"/>
  <c r="K1756" i="4"/>
  <c r="G1756" i="4" s="1"/>
  <c r="H1756" i="4"/>
  <c r="H1755" i="4"/>
  <c r="G1755" i="4"/>
  <c r="H1689" i="4"/>
  <c r="G1689" i="4"/>
  <c r="H1679" i="4"/>
  <c r="G1679" i="4"/>
  <c r="H1548" i="4"/>
  <c r="G1548" i="4"/>
  <c r="H1543" i="4"/>
  <c r="G1543" i="4"/>
  <c r="H1531" i="4"/>
  <c r="G1531" i="4"/>
  <c r="H1530" i="4"/>
  <c r="G1530" i="4"/>
  <c r="H1529" i="4"/>
  <c r="G1529" i="4"/>
  <c r="H1527" i="4"/>
  <c r="G1527" i="4"/>
  <c r="H1536" i="4"/>
  <c r="G1536" i="4"/>
  <c r="H1537" i="4"/>
  <c r="G1537" i="4"/>
  <c r="H1538" i="4"/>
  <c r="G1538" i="4"/>
  <c r="H2003" i="4"/>
  <c r="G2003" i="4"/>
  <c r="H2113" i="4"/>
  <c r="G2113" i="4"/>
  <c r="H2033" i="4"/>
  <c r="G2033" i="4"/>
  <c r="H2017" i="4"/>
  <c r="G2017" i="4"/>
  <c r="P2016" i="4"/>
  <c r="H2016" i="4" s="1"/>
  <c r="G2016" i="4"/>
  <c r="H2092" i="4"/>
  <c r="G2092" i="4"/>
  <c r="H2083" i="4"/>
  <c r="G2083" i="4"/>
  <c r="H2082" i="4"/>
  <c r="G2082" i="4"/>
  <c r="H2078" i="4"/>
  <c r="G2078" i="4"/>
  <c r="H2071" i="4"/>
  <c r="G2071" i="4"/>
  <c r="H2055" i="4"/>
  <c r="G2055" i="4"/>
  <c r="H985" i="4"/>
  <c r="G985" i="4"/>
  <c r="H764" i="4"/>
  <c r="G764" i="4"/>
  <c r="H725" i="4"/>
  <c r="G725" i="4"/>
  <c r="H722" i="4"/>
  <c r="G722" i="4"/>
  <c r="H712" i="4"/>
  <c r="G712" i="4"/>
  <c r="H707" i="4"/>
  <c r="G707" i="4"/>
  <c r="H694" i="4"/>
  <c r="G694" i="4"/>
  <c r="H657" i="4"/>
  <c r="G657" i="4"/>
  <c r="H571" i="4"/>
  <c r="G571" i="4"/>
  <c r="H649" i="4"/>
  <c r="G649" i="4"/>
  <c r="H634" i="4"/>
  <c r="G634" i="4"/>
  <c r="H624" i="4"/>
  <c r="G624" i="4"/>
  <c r="H611" i="4"/>
  <c r="G611" i="4"/>
  <c r="H604" i="4"/>
  <c r="G604" i="4"/>
  <c r="H488" i="4"/>
  <c r="G488" i="4"/>
  <c r="H316" i="4"/>
  <c r="G316" i="4"/>
  <c r="H195" i="4"/>
  <c r="G195" i="4"/>
  <c r="H179" i="4"/>
  <c r="G179" i="4"/>
  <c r="H171" i="4"/>
  <c r="G171" i="4"/>
  <c r="H163" i="4"/>
  <c r="G163" i="4"/>
  <c r="H263" i="4"/>
  <c r="G263" i="4"/>
  <c r="H258" i="4"/>
  <c r="G258" i="4"/>
  <c r="H226" i="4"/>
  <c r="G226" i="4"/>
  <c r="H218" i="4"/>
  <c r="G218" i="4"/>
  <c r="H209" i="4"/>
  <c r="G209" i="4"/>
  <c r="H206" i="4"/>
  <c r="G206" i="4"/>
  <c r="H157" i="4"/>
  <c r="G157" i="4"/>
  <c r="H71" i="4"/>
  <c r="G71" i="4"/>
  <c r="H68" i="4"/>
  <c r="G68" i="4"/>
  <c r="H152" i="4"/>
  <c r="G152" i="4"/>
  <c r="H141" i="4"/>
  <c r="G141" i="4"/>
  <c r="H123" i="4"/>
  <c r="G123" i="4"/>
  <c r="H119" i="4"/>
  <c r="G119" i="4"/>
  <c r="H1442" i="4"/>
  <c r="G1442" i="4"/>
  <c r="AK302" i="6" l="1"/>
  <c r="H111" i="4"/>
  <c r="G111" i="4"/>
  <c r="H96" i="4"/>
  <c r="G96" i="4"/>
  <c r="H87" i="4"/>
  <c r="G87" i="4"/>
  <c r="H1757" i="4" l="1"/>
  <c r="G1757" i="4"/>
  <c r="AY128" i="6" l="1"/>
  <c r="H964" i="4" l="1"/>
  <c r="G964" i="4"/>
  <c r="H705" i="4"/>
  <c r="G705" i="4"/>
  <c r="I703" i="4"/>
  <c r="H704" i="4"/>
  <c r="G704" i="4"/>
  <c r="H674" i="4"/>
  <c r="G674" i="4"/>
  <c r="H673" i="4"/>
  <c r="G673" i="4"/>
  <c r="H672" i="4"/>
  <c r="G672" i="4"/>
  <c r="P1633" i="4" l="1"/>
  <c r="P1293" i="4"/>
  <c r="K138" i="4"/>
  <c r="G138" i="4" s="1"/>
  <c r="H138" i="4"/>
  <c r="K993" i="4"/>
  <c r="H629" i="4" l="1"/>
  <c r="G629" i="4"/>
  <c r="H628" i="4"/>
  <c r="G628" i="4"/>
  <c r="A7" i="6"/>
  <c r="A8" i="6" s="1"/>
  <c r="A9" i="6" s="1"/>
  <c r="A10" i="6" s="1"/>
  <c r="A11" i="6" s="1"/>
  <c r="A12" i="6" s="1"/>
  <c r="A13" i="6" s="1"/>
  <c r="A14" i="6" s="1"/>
  <c r="A15" i="6" l="1"/>
  <c r="A16" i="6" s="1"/>
  <c r="A17" i="6" s="1"/>
  <c r="H248" i="4"/>
  <c r="G248" i="4"/>
  <c r="A87" i="4" l="1"/>
  <c r="A18" i="6"/>
  <c r="A19" i="6" s="1"/>
  <c r="A20" i="6" s="1"/>
  <c r="A107" i="4" s="1"/>
  <c r="A96" i="4"/>
  <c r="AI260" i="6"/>
  <c r="A21" i="6" l="1"/>
  <c r="A22" i="6" s="1"/>
  <c r="A106" i="4"/>
  <c r="A111" i="4"/>
  <c r="H1018" i="4"/>
  <c r="G1018" i="4"/>
  <c r="G1019" i="4"/>
  <c r="H1019" i="4"/>
  <c r="I919" i="4"/>
  <c r="A23" i="6" l="1"/>
  <c r="A119" i="4"/>
  <c r="P1868" i="4"/>
  <c r="H1868" i="4" s="1"/>
  <c r="S1521" i="4"/>
  <c r="K1521" i="4"/>
  <c r="K1637" i="4"/>
  <c r="H1638" i="4"/>
  <c r="G1638" i="4"/>
  <c r="A24" i="6" l="1"/>
  <c r="A25" i="6" s="1"/>
  <c r="A26" i="6" s="1"/>
  <c r="A123" i="4"/>
  <c r="AI340" i="6"/>
  <c r="A141" i="4" l="1"/>
  <c r="A27" i="6"/>
  <c r="A151" i="4" s="1"/>
  <c r="A138" i="4"/>
  <c r="K1046" i="4"/>
  <c r="A28" i="6" l="1"/>
  <c r="A152" i="4"/>
  <c r="I2106" i="4"/>
  <c r="A29" i="6" l="1"/>
  <c r="A68" i="4"/>
  <c r="AI326" i="6"/>
  <c r="AL326" i="6"/>
  <c r="AI325" i="6"/>
  <c r="A30" i="6" l="1"/>
  <c r="A31" i="6" s="1"/>
  <c r="A32" i="6" s="1"/>
  <c r="A71" i="4"/>
  <c r="K1473" i="4"/>
  <c r="K1539" i="4"/>
  <c r="A33" i="6" l="1"/>
  <c r="A34" i="6" s="1"/>
  <c r="A205" i="4" s="1"/>
  <c r="A157" i="4"/>
  <c r="K1394" i="4"/>
  <c r="H1460" i="4"/>
  <c r="G1460" i="4"/>
  <c r="A35" i="6" l="1"/>
  <c r="A206" i="4"/>
  <c r="K952" i="4"/>
  <c r="H2075" i="4"/>
  <c r="G2075" i="4"/>
  <c r="AY373" i="6" s="1"/>
  <c r="H1983" i="4"/>
  <c r="G1983" i="4"/>
  <c r="AY355" i="6" s="1"/>
  <c r="H1967" i="4"/>
  <c r="G1967" i="4"/>
  <c r="AY352" i="6" s="1"/>
  <c r="H1939" i="4"/>
  <c r="G1939" i="4"/>
  <c r="AY346" i="6" s="1"/>
  <c r="H1904" i="4"/>
  <c r="G1904" i="4"/>
  <c r="AY341" i="6" s="1"/>
  <c r="H1885" i="4"/>
  <c r="G1885" i="4"/>
  <c r="AY339" i="6" s="1"/>
  <c r="H1670" i="4"/>
  <c r="G1670" i="4"/>
  <c r="AY332" i="6" s="1"/>
  <c r="H1663" i="4"/>
  <c r="G1663" i="4"/>
  <c r="AY331" i="6" s="1"/>
  <c r="H1635" i="4"/>
  <c r="G1635" i="4"/>
  <c r="AY329" i="6" s="1"/>
  <c r="H1843" i="4"/>
  <c r="G1843" i="4"/>
  <c r="AY317" i="6" s="1"/>
  <c r="H1823" i="4"/>
  <c r="G1823" i="4"/>
  <c r="AY313" i="6" s="1"/>
  <c r="H1796" i="4"/>
  <c r="G1796" i="4"/>
  <c r="AY310" i="6" s="1"/>
  <c r="H1600" i="4"/>
  <c r="G1600" i="4"/>
  <c r="AY307" i="6" s="1"/>
  <c r="H1750" i="4"/>
  <c r="G1750" i="4"/>
  <c r="AY302" i="6" s="1"/>
  <c r="H1682" i="4"/>
  <c r="G1682" i="4"/>
  <c r="AY298" i="6" s="1"/>
  <c r="A36" i="6" l="1"/>
  <c r="A37" i="6" s="1"/>
  <c r="A209" i="4"/>
  <c r="H1586" i="4"/>
  <c r="G1586" i="4"/>
  <c r="AY293" i="6" s="1"/>
  <c r="H1578" i="4"/>
  <c r="G1578" i="4"/>
  <c r="AY290" i="6" s="1"/>
  <c r="A38" i="6" l="1"/>
  <c r="A223" i="4" s="1"/>
  <c r="A218" i="4"/>
  <c r="H1553" i="4"/>
  <c r="G1553" i="4"/>
  <c r="AY285" i="6" s="1"/>
  <c r="H1343" i="4"/>
  <c r="G1343" i="4"/>
  <c r="AY271" i="6" s="1"/>
  <c r="H1430" i="4"/>
  <c r="G1430" i="4"/>
  <c r="H962" i="4"/>
  <c r="G962" i="4"/>
  <c r="AY202" i="6" s="1"/>
  <c r="H1151" i="4"/>
  <c r="G1151" i="4"/>
  <c r="AI188" i="6"/>
  <c r="H1111" i="4"/>
  <c r="G1111" i="4"/>
  <c r="AY186" i="6" s="1"/>
  <c r="H1087" i="4"/>
  <c r="G1087" i="4"/>
  <c r="AY182" i="6" s="1"/>
  <c r="H1088" i="4"/>
  <c r="G1088" i="4"/>
  <c r="H1091" i="4"/>
  <c r="G1091" i="4"/>
  <c r="H1048" i="4"/>
  <c r="G1048" i="4"/>
  <c r="H916" i="4"/>
  <c r="G916" i="4"/>
  <c r="AY165" i="6" s="1"/>
  <c r="H866" i="4"/>
  <c r="G866" i="4"/>
  <c r="H824" i="4"/>
  <c r="G824" i="4"/>
  <c r="AY147" i="6" s="1"/>
  <c r="H794" i="4"/>
  <c r="G794" i="4"/>
  <c r="AY142" i="6" s="1"/>
  <c r="H711" i="4"/>
  <c r="G711" i="4"/>
  <c r="AY129" i="6" s="1"/>
  <c r="H701" i="4"/>
  <c r="G701" i="4"/>
  <c r="H700" i="4"/>
  <c r="G700" i="4"/>
  <c r="AI125" i="6"/>
  <c r="I678" i="4"/>
  <c r="G678" i="4" s="1"/>
  <c r="H678" i="4"/>
  <c r="H670" i="4"/>
  <c r="G670" i="4"/>
  <c r="H669" i="4"/>
  <c r="G669" i="4"/>
  <c r="H671" i="4"/>
  <c r="G671" i="4"/>
  <c r="H655" i="4"/>
  <c r="G655" i="4"/>
  <c r="H585" i="4"/>
  <c r="G585" i="4"/>
  <c r="H521" i="4"/>
  <c r="G521" i="4"/>
  <c r="AY96" i="6" s="1"/>
  <c r="H462" i="4"/>
  <c r="G462" i="4"/>
  <c r="AY88" i="6" s="1"/>
  <c r="H425" i="4"/>
  <c r="G425" i="4"/>
  <c r="AY81" i="6" s="1"/>
  <c r="H347" i="4"/>
  <c r="G347" i="4"/>
  <c r="H337" i="4"/>
  <c r="G337" i="4"/>
  <c r="AY62" i="6" s="1"/>
  <c r="H295" i="4"/>
  <c r="G295" i="4"/>
  <c r="AY54" i="6" s="1"/>
  <c r="H272" i="4"/>
  <c r="G272" i="4"/>
  <c r="AY50" i="6" s="1"/>
  <c r="H190" i="4"/>
  <c r="G190" i="4"/>
  <c r="AY49" i="6" s="1"/>
  <c r="AY46" i="6"/>
  <c r="H175" i="4"/>
  <c r="G175" i="4"/>
  <c r="H223" i="4"/>
  <c r="G223" i="4"/>
  <c r="AY38" i="6" s="1"/>
  <c r="H203" i="4"/>
  <c r="G203" i="4"/>
  <c r="A203" i="4"/>
  <c r="H95" i="4"/>
  <c r="G95" i="4"/>
  <c r="AY19" i="6" s="1"/>
  <c r="A95" i="4"/>
  <c r="H83" i="4"/>
  <c r="G83" i="4"/>
  <c r="AY16" i="6" s="1"/>
  <c r="A83" i="4"/>
  <c r="H63" i="4"/>
  <c r="G63" i="4"/>
  <c r="AY14" i="6" s="1"/>
  <c r="A63" i="4"/>
  <c r="AI12" i="6"/>
  <c r="AI386" i="6"/>
  <c r="AI373" i="6"/>
  <c r="AI360" i="6"/>
  <c r="AI351" i="6"/>
  <c r="AI341" i="6"/>
  <c r="AI339" i="6"/>
  <c r="AI337" i="6"/>
  <c r="AI331" i="6"/>
  <c r="AI329" i="6"/>
  <c r="AI317" i="6"/>
  <c r="AI313" i="6"/>
  <c r="AI310" i="6"/>
  <c r="AI307" i="6"/>
  <c r="AI295" i="6"/>
  <c r="AI293" i="6"/>
  <c r="AI290" i="6"/>
  <c r="AI289" i="6"/>
  <c r="AI285" i="6"/>
  <c r="AI283" i="6"/>
  <c r="AI271" i="6"/>
  <c r="AI264" i="6"/>
  <c r="AI259" i="6"/>
  <c r="AI254" i="6"/>
  <c r="AI246" i="6"/>
  <c r="AI216" i="6"/>
  <c r="AI190" i="6"/>
  <c r="AI186" i="6"/>
  <c r="AI177" i="6"/>
  <c r="AI165" i="6"/>
  <c r="AI161" i="6"/>
  <c r="AI155" i="6"/>
  <c r="AI147" i="6"/>
  <c r="AI142" i="6"/>
  <c r="AI124" i="6"/>
  <c r="AI109" i="6"/>
  <c r="AI101" i="6"/>
  <c r="AI96" i="6"/>
  <c r="AI88" i="6"/>
  <c r="AI81" i="6"/>
  <c r="AI78" i="6"/>
  <c r="AI67" i="6"/>
  <c r="AI63" i="6"/>
  <c r="AI62" i="6"/>
  <c r="AI16" i="6"/>
  <c r="AI14" i="6"/>
  <c r="AI8" i="6"/>
  <c r="AI10" i="6"/>
  <c r="AI6" i="6"/>
  <c r="AQ6" i="6"/>
  <c r="AS7" i="6"/>
  <c r="AI15" i="6"/>
  <c r="AI13" i="6"/>
  <c r="AI11" i="6"/>
  <c r="AK12" i="6"/>
  <c r="H58" i="4"/>
  <c r="G58" i="4"/>
  <c r="AY12" i="6" s="1"/>
  <c r="A58" i="4"/>
  <c r="H52" i="4"/>
  <c r="G52" i="4"/>
  <c r="AY10" i="6" s="1"/>
  <c r="A52" i="4"/>
  <c r="H41" i="4"/>
  <c r="G41" i="4"/>
  <c r="AY8" i="6" s="1"/>
  <c r="A41" i="4"/>
  <c r="A224" i="4" l="1"/>
  <c r="A222" i="4"/>
  <c r="A39" i="6"/>
  <c r="A40" i="6" s="1"/>
  <c r="A41" i="6" s="1"/>
  <c r="A226" i="4"/>
  <c r="P1634" i="4"/>
  <c r="A42" i="6" l="1"/>
  <c r="A248" i="4"/>
  <c r="P542" i="4"/>
  <c r="H229" i="4"/>
  <c r="G229" i="4"/>
  <c r="A229" i="4"/>
  <c r="A43" i="6" l="1"/>
  <c r="A258" i="4"/>
  <c r="H1316" i="4"/>
  <c r="G1316" i="4"/>
  <c r="A44" i="6" l="1"/>
  <c r="A160" i="4" s="1"/>
  <c r="A263" i="4"/>
  <c r="A45" i="6" l="1"/>
  <c r="A163" i="4"/>
  <c r="AM302" i="6"/>
  <c r="AI302" i="6" s="1"/>
  <c r="A46" i="6" l="1"/>
  <c r="A171" i="4"/>
  <c r="I1708" i="4"/>
  <c r="A176" i="4" l="1"/>
  <c r="A178" i="4"/>
  <c r="A47" i="6"/>
  <c r="A179" i="4"/>
  <c r="A175" i="4"/>
  <c r="H1687" i="4"/>
  <c r="G1687" i="4"/>
  <c r="H553" i="4"/>
  <c r="G553" i="4"/>
  <c r="A48" i="6" l="1"/>
  <c r="A49" i="6" s="1"/>
  <c r="A195" i="4" s="1"/>
  <c r="A184" i="4"/>
  <c r="A190" i="4"/>
  <c r="H2109" i="4"/>
  <c r="G2109" i="4"/>
  <c r="A50" i="6" l="1"/>
  <c r="A51" i="6" s="1"/>
  <c r="A272" i="4"/>
  <c r="A52" i="6" l="1"/>
  <c r="A53" i="6" s="1"/>
  <c r="A54" i="6" s="1"/>
  <c r="A55" i="6" s="1"/>
  <c r="A56" i="6" s="1"/>
  <c r="A279" i="4"/>
  <c r="A295" i="4"/>
  <c r="K746" i="4"/>
  <c r="G746" i="4" s="1"/>
  <c r="H746" i="4"/>
  <c r="A57" i="6" l="1"/>
  <c r="A58" i="6" s="1"/>
  <c r="A59" i="6" s="1"/>
  <c r="A60" i="6" s="1"/>
  <c r="A61" i="6" s="1"/>
  <c r="A62" i="6" s="1"/>
  <c r="A316" i="4"/>
  <c r="H1513" i="4"/>
  <c r="G1513" i="4"/>
  <c r="A63" i="6" l="1"/>
  <c r="A337" i="4"/>
  <c r="K472" i="4"/>
  <c r="K471" i="4"/>
  <c r="A64" i="6" l="1"/>
  <c r="A65" i="6" s="1"/>
  <c r="A66" i="6" s="1"/>
  <c r="A67" i="6" s="1"/>
  <c r="A68" i="6" s="1"/>
  <c r="A69" i="6" s="1"/>
  <c r="A390" i="4" s="1"/>
  <c r="A347" i="4"/>
  <c r="H615" i="4"/>
  <c r="G615" i="4"/>
  <c r="P987" i="4"/>
  <c r="H987" i="4" s="1"/>
  <c r="H390" i="4"/>
  <c r="G390" i="4"/>
  <c r="A70" i="6" l="1"/>
  <c r="A71" i="6" s="1"/>
  <c r="A385" i="4"/>
  <c r="AE268" i="6"/>
  <c r="A72" i="6" l="1"/>
  <c r="A73" i="6" s="1"/>
  <c r="A74" i="6" s="1"/>
  <c r="A75" i="6" s="1"/>
  <c r="A76" i="6" s="1"/>
  <c r="A77" i="6" s="1"/>
  <c r="A78" i="6" s="1"/>
  <c r="A79" i="6" s="1"/>
  <c r="A80" i="6" s="1"/>
  <c r="A81" i="6" s="1"/>
  <c r="A396" i="4"/>
  <c r="A425" i="4" l="1"/>
  <c r="A82" i="6"/>
  <c r="A83" i="6" s="1"/>
  <c r="A84" i="6" s="1"/>
  <c r="A85" i="6" s="1"/>
  <c r="A86" i="6" s="1"/>
  <c r="A87" i="6" s="1"/>
  <c r="A88" i="6" s="1"/>
  <c r="K1636" i="4"/>
  <c r="A89" i="6" l="1"/>
  <c r="A90" i="6" s="1"/>
  <c r="A91" i="6" s="1"/>
  <c r="A92" i="6" s="1"/>
  <c r="A93" i="6" s="1"/>
  <c r="A94" i="6" s="1"/>
  <c r="A95" i="6" s="1"/>
  <c r="A96" i="6" s="1"/>
  <c r="A462" i="4"/>
  <c r="AI352" i="6"/>
  <c r="A521" i="4" l="1"/>
  <c r="A97" i="6"/>
  <c r="A98" i="6" s="1"/>
  <c r="A99" i="6" s="1"/>
  <c r="A100" i="6" l="1"/>
  <c r="A101" i="6" s="1"/>
  <c r="A553" i="4"/>
  <c r="A488" i="4" l="1"/>
  <c r="A102" i="6"/>
  <c r="H1678" i="4"/>
  <c r="G1678" i="4"/>
  <c r="H1381" i="4"/>
  <c r="G1381" i="4"/>
  <c r="H1322" i="4"/>
  <c r="K1185" i="4"/>
  <c r="K1184" i="4"/>
  <c r="I1185" i="4"/>
  <c r="G1185" i="4" s="1"/>
  <c r="I1184" i="4"/>
  <c r="H1185" i="4"/>
  <c r="H1029" i="4"/>
  <c r="G1029" i="4"/>
  <c r="H487" i="4"/>
  <c r="G487" i="4"/>
  <c r="AY101" i="6" s="1"/>
  <c r="A487" i="4"/>
  <c r="H374" i="4"/>
  <c r="G374" i="4"/>
  <c r="AY67" i="6" s="1"/>
  <c r="A374" i="4"/>
  <c r="F11" i="11"/>
  <c r="A103" i="6" l="1"/>
  <c r="A104" i="6" s="1"/>
  <c r="A105" i="6" s="1"/>
  <c r="A106" i="6" s="1"/>
  <c r="A107" i="6" s="1"/>
  <c r="A108" i="6" s="1"/>
  <c r="A109" i="6" s="1"/>
  <c r="A110" i="6" s="1"/>
  <c r="A567" i="4"/>
  <c r="A566" i="4"/>
  <c r="A585" i="4"/>
  <c r="A111" i="6" l="1"/>
  <c r="A112" i="6" s="1"/>
  <c r="A601" i="4" s="1"/>
  <c r="A589" i="4"/>
  <c r="A600" i="4"/>
  <c r="A113" i="6"/>
  <c r="A604" i="4"/>
  <c r="F266" i="11"/>
  <c r="A609" i="4" l="1"/>
  <c r="A608" i="4"/>
  <c r="A114" i="6"/>
  <c r="A611" i="4"/>
  <c r="AK268" i="6"/>
  <c r="A615" i="4" l="1"/>
  <c r="A115" i="6"/>
  <c r="A116" i="6" s="1"/>
  <c r="I682" i="4"/>
  <c r="H675" i="4"/>
  <c r="G675" i="4"/>
  <c r="A117" i="6" l="1"/>
  <c r="A624" i="4"/>
  <c r="H1521" i="4"/>
  <c r="G1521" i="4"/>
  <c r="H1522" i="4"/>
  <c r="G1522" i="4"/>
  <c r="H1520" i="4"/>
  <c r="G1520" i="4"/>
  <c r="H1519" i="4"/>
  <c r="G1519" i="4"/>
  <c r="H696" i="4"/>
  <c r="G696" i="4"/>
  <c r="A118" i="6" l="1"/>
  <c r="A119" i="6" s="1"/>
  <c r="A628" i="4"/>
  <c r="A634" i="4"/>
  <c r="A629" i="4"/>
  <c r="A120" i="6" l="1"/>
  <c r="A649" i="4"/>
  <c r="H1703" i="4"/>
  <c r="A121" i="6" l="1"/>
  <c r="A571" i="4"/>
  <c r="P468" i="4"/>
  <c r="H468" i="4" s="1"/>
  <c r="H287" i="4"/>
  <c r="G287" i="4"/>
  <c r="A287" i="4"/>
  <c r="A122" i="6" l="1"/>
  <c r="A123" i="6" s="1"/>
  <c r="A124" i="6" s="1"/>
  <c r="A655" i="4"/>
  <c r="A657" i="4"/>
  <c r="H801" i="4"/>
  <c r="G801" i="4"/>
  <c r="A674" i="4" l="1"/>
  <c r="A673" i="4"/>
  <c r="A669" i="4"/>
  <c r="A671" i="4"/>
  <c r="A675" i="4"/>
  <c r="A125" i="6"/>
  <c r="A672" i="4"/>
  <c r="A670" i="4"/>
  <c r="F2" i="11"/>
  <c r="A678" i="4" l="1"/>
  <c r="A126" i="6"/>
  <c r="A684" i="4" s="1"/>
  <c r="AM34" i="6"/>
  <c r="AI34" i="6" s="1"/>
  <c r="A687" i="4" l="1"/>
  <c r="A127" i="6"/>
  <c r="I884" i="4"/>
  <c r="H883" i="4"/>
  <c r="G883" i="4"/>
  <c r="A695" i="4" l="1"/>
  <c r="A696" i="4"/>
  <c r="A128" i="6"/>
  <c r="A694" i="4"/>
  <c r="G456" i="4"/>
  <c r="I455" i="4"/>
  <c r="H456" i="4"/>
  <c r="A456" i="4"/>
  <c r="A707" i="4" l="1"/>
  <c r="A705" i="4"/>
  <c r="A701" i="4"/>
  <c r="A129" i="6"/>
  <c r="A704" i="4"/>
  <c r="A700" i="4"/>
  <c r="A712" i="4" l="1"/>
  <c r="A130" i="6"/>
  <c r="A711" i="4"/>
  <c r="K743" i="4"/>
  <c r="A131" i="6" l="1"/>
  <c r="A722" i="4"/>
  <c r="H517" i="4"/>
  <c r="G517" i="4"/>
  <c r="A517" i="4"/>
  <c r="H541" i="4"/>
  <c r="G541" i="4"/>
  <c r="A541" i="4"/>
  <c r="A725" i="4" l="1"/>
  <c r="A132" i="6"/>
  <c r="A133" i="6" s="1"/>
  <c r="H199" i="4"/>
  <c r="G199" i="4"/>
  <c r="A199" i="4"/>
  <c r="G668" i="4"/>
  <c r="AY124" i="6" s="1"/>
  <c r="A746" i="4" l="1"/>
  <c r="A134" i="6"/>
  <c r="A135" i="6" s="1"/>
  <c r="A136" i="6" s="1"/>
  <c r="H451" i="4"/>
  <c r="G451" i="4"/>
  <c r="A451" i="4"/>
  <c r="A449" i="4"/>
  <c r="G449" i="4"/>
  <c r="A452" i="4"/>
  <c r="A137" i="6" l="1"/>
  <c r="A138" i="6" s="1"/>
  <c r="A139" i="6" s="1"/>
  <c r="A140" i="6" s="1"/>
  <c r="A141" i="6" s="1"/>
  <c r="A142" i="6" s="1"/>
  <c r="A764" i="4"/>
  <c r="F3" i="11"/>
  <c r="F4" i="11"/>
  <c r="F5" i="11"/>
  <c r="F6" i="11"/>
  <c r="F7" i="11"/>
  <c r="F8" i="11"/>
  <c r="F9" i="11"/>
  <c r="F10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A794" i="4" l="1"/>
  <c r="A143" i="6"/>
  <c r="A144" i="6" s="1"/>
  <c r="F386" i="11"/>
  <c r="H1781" i="4"/>
  <c r="G1781" i="4"/>
  <c r="H1448" i="4"/>
  <c r="G1448" i="4"/>
  <c r="H1238" i="4"/>
  <c r="G1238" i="4"/>
  <c r="H1100" i="4"/>
  <c r="G1100" i="4"/>
  <c r="H947" i="4"/>
  <c r="G947" i="4"/>
  <c r="H937" i="4"/>
  <c r="G937" i="4"/>
  <c r="H483" i="4"/>
  <c r="G483" i="4"/>
  <c r="A483" i="4"/>
  <c r="H384" i="4"/>
  <c r="G384" i="4"/>
  <c r="A384" i="4"/>
  <c r="H1907" i="4"/>
  <c r="G1907" i="4"/>
  <c r="A145" i="6" l="1"/>
  <c r="A146" i="6" s="1"/>
  <c r="A147" i="6" s="1"/>
  <c r="A801" i="4"/>
  <c r="AZ266" i="6"/>
  <c r="AQ269" i="6"/>
  <c r="AZ269" i="6"/>
  <c r="AI384" i="6"/>
  <c r="AQ28" i="6"/>
  <c r="AI28" i="6"/>
  <c r="AQ50" i="6"/>
  <c r="H1857" i="4"/>
  <c r="G1857" i="4"/>
  <c r="H360" i="4"/>
  <c r="G360" i="4"/>
  <c r="A360" i="4"/>
  <c r="A802" i="4"/>
  <c r="G802" i="4"/>
  <c r="H802" i="4"/>
  <c r="A728" i="4"/>
  <c r="G728" i="4"/>
  <c r="H728" i="4"/>
  <c r="I577" i="4"/>
  <c r="H1015" i="4"/>
  <c r="G1015" i="4"/>
  <c r="H1623" i="4"/>
  <c r="G1623" i="4"/>
  <c r="I1502" i="4"/>
  <c r="H1504" i="4"/>
  <c r="G1504" i="4"/>
  <c r="H1427" i="4"/>
  <c r="G1427" i="4"/>
  <c r="H1101" i="4"/>
  <c r="G1101" i="4"/>
  <c r="H994" i="4"/>
  <c r="G994" i="4"/>
  <c r="H745" i="4"/>
  <c r="G745" i="4"/>
  <c r="A745" i="4"/>
  <c r="I208" i="4"/>
  <c r="H614" i="4"/>
  <c r="G614" i="4"/>
  <c r="A614" i="4"/>
  <c r="H565" i="4"/>
  <c r="G565" i="4"/>
  <c r="A565" i="4"/>
  <c r="H305" i="4"/>
  <c r="G305" i="4"/>
  <c r="A305" i="4"/>
  <c r="H242" i="4"/>
  <c r="G242" i="4"/>
  <c r="A242" i="4"/>
  <c r="A148" i="6" l="1"/>
  <c r="A149" i="6" s="1"/>
  <c r="A150" i="6" s="1"/>
  <c r="A151" i="6" s="1"/>
  <c r="A152" i="6" s="1"/>
  <c r="A153" i="6" s="1"/>
  <c r="A824" i="4"/>
  <c r="AZ391" i="6"/>
  <c r="H747" i="4"/>
  <c r="G747" i="4"/>
  <c r="A747" i="4"/>
  <c r="H1879" i="4"/>
  <c r="G1879" i="4"/>
  <c r="H579" i="4"/>
  <c r="G579" i="4"/>
  <c r="A579" i="4"/>
  <c r="H1918" i="4"/>
  <c r="G1918" i="4"/>
  <c r="H1673" i="4"/>
  <c r="G1673" i="4"/>
  <c r="H1945" i="4"/>
  <c r="G1945" i="4"/>
  <c r="H946" i="4"/>
  <c r="G946" i="4"/>
  <c r="H576" i="4"/>
  <c r="G576" i="4"/>
  <c r="A576" i="4"/>
  <c r="H514" i="4"/>
  <c r="G514" i="4"/>
  <c r="A514" i="4"/>
  <c r="I387" i="4"/>
  <c r="H198" i="4"/>
  <c r="G198" i="4"/>
  <c r="A198" i="4"/>
  <c r="K1225" i="4"/>
  <c r="H386" i="11"/>
  <c r="I386" i="11"/>
  <c r="J386" i="11"/>
  <c r="K386" i="11"/>
  <c r="Z6" i="6"/>
  <c r="AQ331" i="6"/>
  <c r="AQ70" i="6"/>
  <c r="AQ71" i="6"/>
  <c r="A154" i="6" l="1"/>
  <c r="A155" i="6" s="1"/>
  <c r="A855" i="4"/>
  <c r="A866" i="4"/>
  <c r="A156" i="6"/>
  <c r="A157" i="6" s="1"/>
  <c r="A158" i="6" s="1"/>
  <c r="A159" i="6" s="1"/>
  <c r="A160" i="6" s="1"/>
  <c r="G1839" i="4"/>
  <c r="H1839" i="4"/>
  <c r="G1105" i="4"/>
  <c r="H1105" i="4"/>
  <c r="AA41" i="6"/>
  <c r="Z8" i="6"/>
  <c r="Z10" i="6"/>
  <c r="Z12" i="6"/>
  <c r="Z14" i="6"/>
  <c r="Z16" i="6"/>
  <c r="Z18" i="6"/>
  <c r="Z20" i="6"/>
  <c r="Z22" i="6"/>
  <c r="Z24" i="6"/>
  <c r="Z26" i="6"/>
  <c r="Z28" i="6"/>
  <c r="Z31" i="6"/>
  <c r="Z33" i="6"/>
  <c r="Z35" i="6"/>
  <c r="Z37" i="6"/>
  <c r="Z39" i="6"/>
  <c r="Z41" i="6"/>
  <c r="Z43" i="6"/>
  <c r="Z45" i="6"/>
  <c r="Z47" i="6"/>
  <c r="Z49" i="6"/>
  <c r="Z51" i="6"/>
  <c r="Z53" i="6"/>
  <c r="Z55" i="6"/>
  <c r="Z57" i="6"/>
  <c r="Z59" i="6"/>
  <c r="Z61" i="6"/>
  <c r="Z63" i="6"/>
  <c r="Z65" i="6"/>
  <c r="Z67" i="6"/>
  <c r="Z69" i="6"/>
  <c r="Z71" i="6"/>
  <c r="Z73" i="6"/>
  <c r="Z76" i="6"/>
  <c r="Z78" i="6"/>
  <c r="Z80" i="6"/>
  <c r="Z82" i="6"/>
  <c r="Z84" i="6"/>
  <c r="Z86" i="6"/>
  <c r="Z88" i="6"/>
  <c r="Z90" i="6"/>
  <c r="Z92" i="6"/>
  <c r="Z94" i="6"/>
  <c r="Z96" i="6"/>
  <c r="Z98" i="6"/>
  <c r="Z100" i="6"/>
  <c r="Z102" i="6"/>
  <c r="Z104" i="6"/>
  <c r="Z106" i="6"/>
  <c r="Z108" i="6"/>
  <c r="Z110" i="6"/>
  <c r="Z112" i="6"/>
  <c r="Z114" i="6"/>
  <c r="Z116" i="6"/>
  <c r="Z118" i="6"/>
  <c r="Z120" i="6"/>
  <c r="Z122" i="6"/>
  <c r="Z124" i="6"/>
  <c r="Z126" i="6"/>
  <c r="Z128" i="6"/>
  <c r="Z130" i="6"/>
  <c r="Z132" i="6"/>
  <c r="Z134" i="6"/>
  <c r="Z136" i="6"/>
  <c r="Z138" i="6"/>
  <c r="Z140" i="6"/>
  <c r="Z142" i="6"/>
  <c r="Z144" i="6"/>
  <c r="Z146" i="6"/>
  <c r="Z148" i="6"/>
  <c r="Z150" i="6"/>
  <c r="Z152" i="6"/>
  <c r="Z154" i="6"/>
  <c r="Z156" i="6"/>
  <c r="Z158" i="6"/>
  <c r="Z160" i="6"/>
  <c r="Z162" i="6"/>
  <c r="Z163" i="6"/>
  <c r="Z165" i="6"/>
  <c r="Z167" i="6"/>
  <c r="Z169" i="6"/>
  <c r="Z171" i="6"/>
  <c r="Z173" i="6"/>
  <c r="Z175" i="6"/>
  <c r="Z177" i="6"/>
  <c r="Z179" i="6"/>
  <c r="Z181" i="6"/>
  <c r="Z183" i="6"/>
  <c r="Z185" i="6"/>
  <c r="Z187" i="6"/>
  <c r="Z189" i="6"/>
  <c r="Z191" i="6"/>
  <c r="Z193" i="6"/>
  <c r="Z195" i="6"/>
  <c r="Z197" i="6"/>
  <c r="Z199" i="6"/>
  <c r="Z201" i="6"/>
  <c r="Z203" i="6"/>
  <c r="Z205" i="6"/>
  <c r="Z207" i="6"/>
  <c r="Z209" i="6"/>
  <c r="Z211" i="6"/>
  <c r="Z213" i="6"/>
  <c r="Z215" i="6"/>
  <c r="Z217" i="6"/>
  <c r="Z219" i="6"/>
  <c r="Z221" i="6"/>
  <c r="Z223" i="6"/>
  <c r="Z225" i="6"/>
  <c r="Z227" i="6"/>
  <c r="Z229" i="6"/>
  <c r="Z231" i="6"/>
  <c r="Z233" i="6"/>
  <c r="Z235" i="6"/>
  <c r="Z237" i="6"/>
  <c r="Z239" i="6"/>
  <c r="Z241" i="6"/>
  <c r="Z243" i="6"/>
  <c r="Z244" i="6"/>
  <c r="Z246" i="6"/>
  <c r="Z248" i="6"/>
  <c r="Z250" i="6"/>
  <c r="Z252" i="6"/>
  <c r="Z254" i="6"/>
  <c r="Z256" i="6"/>
  <c r="Z258" i="6"/>
  <c r="Z260" i="6"/>
  <c r="Z262" i="6"/>
  <c r="Z264" i="6"/>
  <c r="Z266" i="6"/>
  <c r="Z268" i="6"/>
  <c r="Z270" i="6"/>
  <c r="Z272" i="6"/>
  <c r="Z274" i="6"/>
  <c r="Z276" i="6"/>
  <c r="Z278" i="6"/>
  <c r="Z280" i="6"/>
  <c r="Z282" i="6"/>
  <c r="Z284" i="6"/>
  <c r="Z286" i="6"/>
  <c r="Z288" i="6"/>
  <c r="Z290" i="6"/>
  <c r="Z292" i="6"/>
  <c r="Z294" i="6"/>
  <c r="Z296" i="6"/>
  <c r="Z298" i="6"/>
  <c r="Z300" i="6"/>
  <c r="Z302" i="6"/>
  <c r="Z304" i="6"/>
  <c r="Z306" i="6"/>
  <c r="Z308" i="6"/>
  <c r="Z310" i="6"/>
  <c r="Z312" i="6"/>
  <c r="Z314" i="6"/>
  <c r="Z316" i="6"/>
  <c r="Z318" i="6"/>
  <c r="Z320" i="6"/>
  <c r="Z322" i="6"/>
  <c r="Z324" i="6"/>
  <c r="Z326" i="6"/>
  <c r="Z328" i="6"/>
  <c r="Z330" i="6"/>
  <c r="Z332" i="6"/>
  <c r="Z334" i="6"/>
  <c r="Z336" i="6"/>
  <c r="Z338" i="6"/>
  <c r="Z340" i="6"/>
  <c r="Z341" i="6"/>
  <c r="Z343" i="6"/>
  <c r="Z345" i="6"/>
  <c r="Z347" i="6"/>
  <c r="Z349" i="6"/>
  <c r="Z351" i="6"/>
  <c r="Z353" i="6"/>
  <c r="Z355" i="6"/>
  <c r="Z357" i="6"/>
  <c r="Z359" i="6"/>
  <c r="Z360" i="6"/>
  <c r="Z362" i="6"/>
  <c r="Z364" i="6"/>
  <c r="Z366" i="6"/>
  <c r="Z368" i="6"/>
  <c r="Z370" i="6"/>
  <c r="Z372" i="6"/>
  <c r="Z374" i="6"/>
  <c r="Z376" i="6"/>
  <c r="Z378" i="6"/>
  <c r="Z380" i="6"/>
  <c r="Z382" i="6"/>
  <c r="Z384" i="6"/>
  <c r="Z386" i="6"/>
  <c r="Z388" i="6"/>
  <c r="Z389" i="6"/>
  <c r="Z387" i="6"/>
  <c r="Z385" i="6"/>
  <c r="Z383" i="6"/>
  <c r="Z381" i="6"/>
  <c r="Z379" i="6"/>
  <c r="Z377" i="6"/>
  <c r="Z375" i="6"/>
  <c r="Z373" i="6"/>
  <c r="Z371" i="6"/>
  <c r="Z369" i="6"/>
  <c r="Z367" i="6"/>
  <c r="Z365" i="6"/>
  <c r="Z363" i="6"/>
  <c r="Z361" i="6"/>
  <c r="Z358" i="6"/>
  <c r="Z356" i="6"/>
  <c r="Z354" i="6"/>
  <c r="Z352" i="6"/>
  <c r="Z350" i="6"/>
  <c r="Z348" i="6"/>
  <c r="Z346" i="6"/>
  <c r="Z344" i="6"/>
  <c r="Z342" i="6"/>
  <c r="Z339" i="6"/>
  <c r="Z337" i="6"/>
  <c r="Z335" i="6"/>
  <c r="Z333" i="6"/>
  <c r="Z331" i="6"/>
  <c r="Z329" i="6"/>
  <c r="Z327" i="6"/>
  <c r="Z325" i="6"/>
  <c r="Z323" i="6"/>
  <c r="Z321" i="6"/>
  <c r="Z319" i="6"/>
  <c r="Z317" i="6"/>
  <c r="Z315" i="6"/>
  <c r="Z313" i="6"/>
  <c r="Z311" i="6"/>
  <c r="Z309" i="6"/>
  <c r="Z307" i="6"/>
  <c r="Z305" i="6"/>
  <c r="Z303" i="6"/>
  <c r="Z301" i="6"/>
  <c r="Z299" i="6"/>
  <c r="Z297" i="6"/>
  <c r="Z295" i="6"/>
  <c r="Z293" i="6"/>
  <c r="Z291" i="6"/>
  <c r="Z289" i="6"/>
  <c r="Z287" i="6"/>
  <c r="Z285" i="6"/>
  <c r="Z283" i="6"/>
  <c r="Z281" i="6"/>
  <c r="Z279" i="6"/>
  <c r="Z277" i="6"/>
  <c r="Z275" i="6"/>
  <c r="Z273" i="6"/>
  <c r="Z271" i="6"/>
  <c r="Z269" i="6"/>
  <c r="Z267" i="6"/>
  <c r="Z265" i="6"/>
  <c r="Z263" i="6"/>
  <c r="Z261" i="6"/>
  <c r="Z259" i="6"/>
  <c r="Z257" i="6"/>
  <c r="Z255" i="6"/>
  <c r="Z253" i="6"/>
  <c r="Z251" i="6"/>
  <c r="Z249" i="6"/>
  <c r="Z247" i="6"/>
  <c r="Z245" i="6"/>
  <c r="Z242" i="6"/>
  <c r="Z240" i="6"/>
  <c r="Z238" i="6"/>
  <c r="Z236" i="6"/>
  <c r="Z234" i="6"/>
  <c r="Z232" i="6"/>
  <c r="Z230" i="6"/>
  <c r="Z228" i="6"/>
  <c r="Z226" i="6"/>
  <c r="Z224" i="6"/>
  <c r="Z222" i="6"/>
  <c r="Z220" i="6"/>
  <c r="Z218" i="6"/>
  <c r="Z216" i="6"/>
  <c r="Z214" i="6"/>
  <c r="Z212" i="6"/>
  <c r="Z210" i="6"/>
  <c r="Z208" i="6"/>
  <c r="Z206" i="6"/>
  <c r="Z204" i="6"/>
  <c r="Z202" i="6"/>
  <c r="Z200" i="6"/>
  <c r="Z198" i="6"/>
  <c r="Z196" i="6"/>
  <c r="Z194" i="6"/>
  <c r="Z192" i="6"/>
  <c r="Z190" i="6"/>
  <c r="Z188" i="6"/>
  <c r="Z186" i="6"/>
  <c r="Z184" i="6"/>
  <c r="Z182" i="6"/>
  <c r="Z180" i="6"/>
  <c r="Z178" i="6"/>
  <c r="Z176" i="6"/>
  <c r="Z174" i="6"/>
  <c r="Z172" i="6"/>
  <c r="Z170" i="6"/>
  <c r="Z168" i="6"/>
  <c r="Z166" i="6"/>
  <c r="Z164" i="6"/>
  <c r="Z161" i="6"/>
  <c r="Z159" i="6"/>
  <c r="Z157" i="6"/>
  <c r="Z155" i="6"/>
  <c r="Z153" i="6"/>
  <c r="Z151" i="6"/>
  <c r="Z149" i="6"/>
  <c r="Z147" i="6"/>
  <c r="Z145" i="6"/>
  <c r="Z143" i="6"/>
  <c r="Z141" i="6"/>
  <c r="Z139" i="6"/>
  <c r="Z137" i="6"/>
  <c r="Z135" i="6"/>
  <c r="Z133" i="6"/>
  <c r="Z131" i="6"/>
  <c r="Z129" i="6"/>
  <c r="Z127" i="6"/>
  <c r="Z125" i="6"/>
  <c r="Z123" i="6"/>
  <c r="Z121" i="6"/>
  <c r="Z119" i="6"/>
  <c r="Z117" i="6"/>
  <c r="Z115" i="6"/>
  <c r="Z113" i="6"/>
  <c r="Z111" i="6"/>
  <c r="Z109" i="6"/>
  <c r="Z107" i="6"/>
  <c r="Z105" i="6"/>
  <c r="Z103" i="6"/>
  <c r="Z101" i="6"/>
  <c r="Z99" i="6"/>
  <c r="Z97" i="6"/>
  <c r="Z95" i="6"/>
  <c r="Z93" i="6"/>
  <c r="Z91" i="6"/>
  <c r="Z89" i="6"/>
  <c r="Z87" i="6"/>
  <c r="Z85" i="6"/>
  <c r="Z83" i="6"/>
  <c r="Z81" i="6"/>
  <c r="Z79" i="6"/>
  <c r="Z77" i="6"/>
  <c r="Z75" i="6"/>
  <c r="Z74" i="6"/>
  <c r="Z72" i="6"/>
  <c r="Z70" i="6"/>
  <c r="Z68" i="6"/>
  <c r="Z66" i="6"/>
  <c r="Z64" i="6"/>
  <c r="Z62" i="6"/>
  <c r="Z60" i="6"/>
  <c r="Z58" i="6"/>
  <c r="Z56" i="6"/>
  <c r="Z54" i="6"/>
  <c r="Z52" i="6"/>
  <c r="Z50" i="6"/>
  <c r="Z48" i="6"/>
  <c r="Z46" i="6"/>
  <c r="Z44" i="6"/>
  <c r="Z42" i="6"/>
  <c r="Z40" i="6"/>
  <c r="Z38" i="6"/>
  <c r="Z36" i="6"/>
  <c r="Z34" i="6"/>
  <c r="Z32" i="6"/>
  <c r="Z30" i="6"/>
  <c r="Z29" i="6"/>
  <c r="Z27" i="6"/>
  <c r="Z25" i="6"/>
  <c r="Z23" i="6"/>
  <c r="Z21" i="6"/>
  <c r="Z19" i="6"/>
  <c r="Z17" i="6"/>
  <c r="Z15" i="6"/>
  <c r="Z13" i="6"/>
  <c r="Z11" i="6"/>
  <c r="Z9" i="6"/>
  <c r="Z7" i="6"/>
  <c r="K1425" i="4"/>
  <c r="A161" i="6" l="1"/>
  <c r="A162" i="6" s="1"/>
  <c r="A883" i="4"/>
  <c r="Z406" i="6"/>
  <c r="AA406" i="6"/>
  <c r="A163" i="6" l="1"/>
  <c r="A164" i="6" s="1"/>
  <c r="A165" i="6" s="1"/>
  <c r="H2131" i="4"/>
  <c r="A166" i="6" l="1"/>
  <c r="A167" i="6" s="1"/>
  <c r="A984" i="4" s="1"/>
  <c r="A916" i="4"/>
  <c r="A937" i="4"/>
  <c r="U2125" i="4"/>
  <c r="T2125" i="4"/>
  <c r="S2125" i="4"/>
  <c r="R2125" i="4"/>
  <c r="Q2125" i="4"/>
  <c r="P2125" i="4"/>
  <c r="O2125" i="4"/>
  <c r="N2125" i="4"/>
  <c r="M2125" i="4"/>
  <c r="J2125" i="4"/>
  <c r="G2122" i="4"/>
  <c r="G2121" i="4"/>
  <c r="G2120" i="4"/>
  <c r="G2118" i="4"/>
  <c r="G2117" i="4"/>
  <c r="H2111" i="4"/>
  <c r="G2111" i="4"/>
  <c r="H2110" i="4"/>
  <c r="G2110" i="4"/>
  <c r="H2108" i="4"/>
  <c r="G2108" i="4"/>
  <c r="H2107" i="4"/>
  <c r="G2107" i="4"/>
  <c r="A168" i="6" l="1"/>
  <c r="A169" i="6" s="1"/>
  <c r="A995" i="4" s="1"/>
  <c r="A985" i="4"/>
  <c r="B2116" i="4"/>
  <c r="G2131" i="4"/>
  <c r="H2106" i="4"/>
  <c r="G2106" i="4"/>
  <c r="H2104" i="4"/>
  <c r="G2104" i="4"/>
  <c r="H2102" i="4"/>
  <c r="G2102" i="4"/>
  <c r="H2101" i="4"/>
  <c r="G2101" i="4"/>
  <c r="H2100" i="4"/>
  <c r="G2100" i="4"/>
  <c r="H2099" i="4"/>
  <c r="G2099" i="4"/>
  <c r="H2097" i="4"/>
  <c r="G2097" i="4"/>
  <c r="H2095" i="4"/>
  <c r="G2095" i="4"/>
  <c r="H2094" i="4"/>
  <c r="G2094" i="4"/>
  <c r="H2090" i="4"/>
  <c r="G2090" i="4"/>
  <c r="H2089" i="4"/>
  <c r="G2089" i="4"/>
  <c r="H2088" i="4"/>
  <c r="G2088" i="4"/>
  <c r="H2086" i="4"/>
  <c r="G2086" i="4"/>
  <c r="H2085" i="4"/>
  <c r="G2085" i="4"/>
  <c r="H2081" i="4"/>
  <c r="G2081" i="4"/>
  <c r="H2080" i="4"/>
  <c r="G2080" i="4"/>
  <c r="H2077" i="4"/>
  <c r="G2077" i="4"/>
  <c r="H2074" i="4"/>
  <c r="G2074" i="4"/>
  <c r="H2073" i="4"/>
  <c r="G2073" i="4"/>
  <c r="H2070" i="4"/>
  <c r="G2070" i="4"/>
  <c r="H2069" i="4"/>
  <c r="G2069" i="4"/>
  <c r="H2068" i="4"/>
  <c r="G2068" i="4"/>
  <c r="H2067" i="4"/>
  <c r="G2067" i="4"/>
  <c r="H2066" i="4"/>
  <c r="G2066" i="4"/>
  <c r="H2064" i="4"/>
  <c r="G2064" i="4"/>
  <c r="H2063" i="4"/>
  <c r="G2063" i="4"/>
  <c r="H2061" i="4"/>
  <c r="G2061" i="4"/>
  <c r="H2060" i="4"/>
  <c r="G2060" i="4"/>
  <c r="H2059" i="4"/>
  <c r="G2059" i="4"/>
  <c r="H2058" i="4"/>
  <c r="G2058" i="4"/>
  <c r="H2057" i="4"/>
  <c r="G2057" i="4"/>
  <c r="H2054" i="4"/>
  <c r="G2054" i="4"/>
  <c r="H2053" i="4"/>
  <c r="G2053" i="4"/>
  <c r="H2052" i="4"/>
  <c r="G2052" i="4"/>
  <c r="H2051" i="4"/>
  <c r="G2051" i="4"/>
  <c r="H2050" i="4"/>
  <c r="G2050" i="4"/>
  <c r="H2047" i="4"/>
  <c r="G2047" i="4"/>
  <c r="H2045" i="4"/>
  <c r="G2045" i="4"/>
  <c r="H2043" i="4"/>
  <c r="G2043" i="4"/>
  <c r="H2041" i="4"/>
  <c r="G2041" i="4"/>
  <c r="H2040" i="4"/>
  <c r="G2040" i="4"/>
  <c r="K2038" i="4"/>
  <c r="G2038" i="4" s="1"/>
  <c r="H2038" i="4"/>
  <c r="H2037" i="4"/>
  <c r="G2037" i="4"/>
  <c r="H2035" i="4"/>
  <c r="G2035" i="4"/>
  <c r="AY386" i="6" s="1"/>
  <c r="H2032" i="4"/>
  <c r="G2032" i="4"/>
  <c r="H2031" i="4"/>
  <c r="G2031" i="4"/>
  <c r="H2030" i="4"/>
  <c r="G2030" i="4"/>
  <c r="H2029" i="4"/>
  <c r="G2029" i="4"/>
  <c r="H2028" i="4"/>
  <c r="G2028" i="4"/>
  <c r="H2026" i="4"/>
  <c r="G2026" i="4"/>
  <c r="A1000" i="4" l="1"/>
  <c r="A997" i="4"/>
  <c r="A170" i="6"/>
  <c r="A171" i="6" s="1"/>
  <c r="A994" i="4"/>
  <c r="B2049" i="4"/>
  <c r="B2056" i="4"/>
  <c r="B2105" i="4"/>
  <c r="B2072" i="4"/>
  <c r="B2036" i="4"/>
  <c r="B2098" i="4"/>
  <c r="B2039" i="4"/>
  <c r="B2046" i="4"/>
  <c r="B2076" i="4"/>
  <c r="B2087" i="4"/>
  <c r="B2084" i="4"/>
  <c r="B2093" i="4"/>
  <c r="B2065" i="4"/>
  <c r="B2079" i="4"/>
  <c r="B2027" i="4"/>
  <c r="B2042" i="4"/>
  <c r="B2062" i="4"/>
  <c r="B2034" i="4"/>
  <c r="B2025" i="4"/>
  <c r="H2024" i="4"/>
  <c r="G2024" i="4"/>
  <c r="H2023" i="4"/>
  <c r="G2023" i="4"/>
  <c r="H2021" i="4"/>
  <c r="G2021" i="4"/>
  <c r="H2019" i="4"/>
  <c r="G2019" i="4"/>
  <c r="H2015" i="4"/>
  <c r="G2015" i="4"/>
  <c r="H2013" i="4"/>
  <c r="G2013" i="4"/>
  <c r="H2011" i="4"/>
  <c r="G2011" i="4"/>
  <c r="H2009" i="4"/>
  <c r="G2009" i="4"/>
  <c r="H2007" i="4"/>
  <c r="G2007" i="4"/>
  <c r="H2005" i="4"/>
  <c r="G2005" i="4"/>
  <c r="H2002" i="4"/>
  <c r="G2002" i="4"/>
  <c r="AY360" i="6" s="1"/>
  <c r="H2000" i="4"/>
  <c r="G2000" i="4"/>
  <c r="H1998" i="4"/>
  <c r="G1998" i="4"/>
  <c r="H1997" i="4"/>
  <c r="G1997" i="4"/>
  <c r="H1996" i="4"/>
  <c r="G1996" i="4"/>
  <c r="H1994" i="4"/>
  <c r="G1994" i="4"/>
  <c r="H1992" i="4"/>
  <c r="G1992" i="4"/>
  <c r="H1989" i="4"/>
  <c r="G1989" i="4"/>
  <c r="H1986" i="4"/>
  <c r="G1986" i="4"/>
  <c r="H1982" i="4"/>
  <c r="G1982" i="4"/>
  <c r="H1981" i="4"/>
  <c r="G1981" i="4"/>
  <c r="H1978" i="4"/>
  <c r="G1978" i="4"/>
  <c r="H1977" i="4"/>
  <c r="G1977" i="4"/>
  <c r="H1976" i="4"/>
  <c r="G1976" i="4"/>
  <c r="H1975" i="4"/>
  <c r="G1975" i="4"/>
  <c r="H1974" i="4"/>
  <c r="G1974" i="4"/>
  <c r="H1973" i="4"/>
  <c r="G1973" i="4"/>
  <c r="H1972" i="4"/>
  <c r="G1972" i="4"/>
  <c r="H1971" i="4"/>
  <c r="G1971" i="4"/>
  <c r="H1969" i="4"/>
  <c r="G1969" i="4"/>
  <c r="H1966" i="4"/>
  <c r="G1966" i="4"/>
  <c r="H1964" i="4"/>
  <c r="G1964" i="4"/>
  <c r="AY351" i="6" s="1"/>
  <c r="H1962" i="4"/>
  <c r="G1962" i="4"/>
  <c r="H1958" i="4"/>
  <c r="G1958" i="4"/>
  <c r="H1955" i="4"/>
  <c r="G1955" i="4"/>
  <c r="H1954" i="4"/>
  <c r="G1954" i="4"/>
  <c r="H1950" i="4"/>
  <c r="G1950" i="4"/>
  <c r="H1949" i="4"/>
  <c r="G1949" i="4"/>
  <c r="H1948" i="4"/>
  <c r="G1948" i="4"/>
  <c r="H1944" i="4"/>
  <c r="G1944" i="4"/>
  <c r="H1943" i="4"/>
  <c r="G1943" i="4"/>
  <c r="H1942" i="4"/>
  <c r="G1942" i="4"/>
  <c r="H1941" i="4"/>
  <c r="G1941" i="4"/>
  <c r="H1938" i="4"/>
  <c r="G1938" i="4"/>
  <c r="H1937" i="4"/>
  <c r="G1937" i="4"/>
  <c r="H1936" i="4"/>
  <c r="G1936" i="4"/>
  <c r="H1934" i="4"/>
  <c r="G1934" i="4"/>
  <c r="H1933" i="4"/>
  <c r="G1933" i="4"/>
  <c r="H1931" i="4"/>
  <c r="G1931" i="4"/>
  <c r="H1930" i="4"/>
  <c r="G1930" i="4"/>
  <c r="H1929" i="4"/>
  <c r="G1929" i="4"/>
  <c r="H1927" i="4"/>
  <c r="G1927" i="4"/>
  <c r="H1924" i="4"/>
  <c r="G1924" i="4"/>
  <c r="H1921" i="4"/>
  <c r="G1921" i="4"/>
  <c r="H1920" i="4"/>
  <c r="G1920" i="4"/>
  <c r="H1917" i="4"/>
  <c r="G1917" i="4"/>
  <c r="H1916" i="4"/>
  <c r="G1916" i="4"/>
  <c r="H1914" i="4"/>
  <c r="G1914" i="4"/>
  <c r="H1911" i="4"/>
  <c r="G1911" i="4"/>
  <c r="H1908" i="4"/>
  <c r="G1908" i="4"/>
  <c r="H1906" i="4"/>
  <c r="G1906" i="4"/>
  <c r="H1905" i="4"/>
  <c r="G1905" i="4"/>
  <c r="H1903" i="4"/>
  <c r="G1903" i="4"/>
  <c r="H1902" i="4"/>
  <c r="G1902" i="4"/>
  <c r="K1900" i="4"/>
  <c r="H1900" i="4"/>
  <c r="A172" i="6" l="1"/>
  <c r="A1018" i="4" s="1"/>
  <c r="A1010" i="4"/>
  <c r="A1019" i="4"/>
  <c r="A1015" i="4"/>
  <c r="B1915" i="4"/>
  <c r="B1932" i="4"/>
  <c r="B1901" i="4"/>
  <c r="B1910" i="4"/>
  <c r="B1913" i="4"/>
  <c r="B1919" i="4"/>
  <c r="B1999" i="4"/>
  <c r="B2008" i="4"/>
  <c r="B2014" i="4"/>
  <c r="B2012" i="4"/>
  <c r="B2018" i="4"/>
  <c r="B1965" i="4"/>
  <c r="B1953" i="4"/>
  <c r="B1970" i="4"/>
  <c r="B1980" i="4"/>
  <c r="B1947" i="4"/>
  <c r="B1961" i="4"/>
  <c r="B1963" i="4"/>
  <c r="B1995" i="4"/>
  <c r="AB366" i="6" s="1"/>
  <c r="B2020" i="4"/>
  <c r="B1957" i="4"/>
  <c r="B1968" i="4"/>
  <c r="B1985" i="4"/>
  <c r="B1988" i="4"/>
  <c r="B1993" i="4"/>
  <c r="B2004" i="4"/>
  <c r="B2006" i="4"/>
  <c r="B1991" i="4"/>
  <c r="B2001" i="4"/>
  <c r="B2010" i="4"/>
  <c r="G1900" i="4"/>
  <c r="H1899" i="4"/>
  <c r="G1899" i="4"/>
  <c r="H1897" i="4"/>
  <c r="G1897" i="4"/>
  <c r="AY337" i="6" s="1"/>
  <c r="H1895" i="4"/>
  <c r="G1895" i="4"/>
  <c r="H1894" i="4"/>
  <c r="G1894" i="4"/>
  <c r="H1892" i="4"/>
  <c r="G1892" i="4"/>
  <c r="H1890" i="4"/>
  <c r="G1890" i="4"/>
  <c r="H1888" i="4"/>
  <c r="G1888" i="4"/>
  <c r="H1887" i="4"/>
  <c r="G1887" i="4"/>
  <c r="H1884" i="4"/>
  <c r="G1884" i="4"/>
  <c r="H1882" i="4"/>
  <c r="G1882" i="4"/>
  <c r="H1880" i="4"/>
  <c r="G1880" i="4"/>
  <c r="H1878" i="4"/>
  <c r="G1878" i="4"/>
  <c r="H1877" i="4"/>
  <c r="G1877" i="4"/>
  <c r="H1876" i="4"/>
  <c r="G1876" i="4"/>
  <c r="H1875" i="4"/>
  <c r="G1875" i="4"/>
  <c r="H1874" i="4"/>
  <c r="G1874" i="4"/>
  <c r="H1873" i="4"/>
  <c r="G1873" i="4"/>
  <c r="H1872" i="4"/>
  <c r="G1872" i="4"/>
  <c r="H1871" i="4"/>
  <c r="G1871" i="4"/>
  <c r="H1869" i="4"/>
  <c r="G1869" i="4"/>
  <c r="G1868" i="4"/>
  <c r="H1866" i="4"/>
  <c r="G1866" i="4"/>
  <c r="H1864" i="4"/>
  <c r="G1864" i="4"/>
  <c r="H1862" i="4"/>
  <c r="G1862" i="4"/>
  <c r="H1860" i="4"/>
  <c r="G1860" i="4"/>
  <c r="H1858" i="4"/>
  <c r="G1858" i="4"/>
  <c r="H1856" i="4"/>
  <c r="G1856" i="4"/>
  <c r="H1855" i="4"/>
  <c r="G1855" i="4"/>
  <c r="H1854" i="4"/>
  <c r="G1854" i="4"/>
  <c r="H1853" i="4"/>
  <c r="G1853" i="4"/>
  <c r="H1852" i="4"/>
  <c r="G1852" i="4"/>
  <c r="H1851" i="4"/>
  <c r="G1851" i="4"/>
  <c r="H1850" i="4"/>
  <c r="G1850" i="4"/>
  <c r="H1849" i="4"/>
  <c r="G1849" i="4"/>
  <c r="H1848" i="4"/>
  <c r="G1848" i="4"/>
  <c r="H1847" i="4"/>
  <c r="G1847" i="4"/>
  <c r="H1845" i="4"/>
  <c r="G1845" i="4"/>
  <c r="H1844" i="4"/>
  <c r="G1844" i="4"/>
  <c r="H1841" i="4"/>
  <c r="G1841" i="4"/>
  <c r="H1838" i="4"/>
  <c r="G1838" i="4"/>
  <c r="H1835" i="4"/>
  <c r="G1835" i="4"/>
  <c r="H1834" i="4"/>
  <c r="G1834" i="4"/>
  <c r="H1832" i="4"/>
  <c r="G1832" i="4"/>
  <c r="H1831" i="4"/>
  <c r="G1831" i="4"/>
  <c r="H1830" i="4"/>
  <c r="G1830" i="4"/>
  <c r="H1829" i="4"/>
  <c r="G1829" i="4"/>
  <c r="H1828" i="4"/>
  <c r="G1828" i="4"/>
  <c r="H1827" i="4"/>
  <c r="G1827" i="4"/>
  <c r="H1825" i="4"/>
  <c r="G1825" i="4"/>
  <c r="H1822" i="4"/>
  <c r="G1822" i="4"/>
  <c r="H1820" i="4"/>
  <c r="G1820" i="4"/>
  <c r="H1819" i="4"/>
  <c r="G1819" i="4"/>
  <c r="H1818" i="4"/>
  <c r="G1818" i="4"/>
  <c r="H1817" i="4"/>
  <c r="G1817" i="4"/>
  <c r="H1816" i="4"/>
  <c r="G1816" i="4"/>
  <c r="H1815" i="4"/>
  <c r="G1815" i="4"/>
  <c r="H1814" i="4"/>
  <c r="G1814" i="4"/>
  <c r="H1813" i="4"/>
  <c r="G1813" i="4"/>
  <c r="H1812" i="4"/>
  <c r="G1812" i="4"/>
  <c r="H1811" i="4"/>
  <c r="G1811" i="4"/>
  <c r="H1810" i="4"/>
  <c r="G1810" i="4"/>
  <c r="H1809" i="4"/>
  <c r="G1809" i="4"/>
  <c r="H1808" i="4"/>
  <c r="G1808" i="4"/>
  <c r="H1806" i="4"/>
  <c r="G1806" i="4"/>
  <c r="H1803" i="4"/>
  <c r="G1803" i="4"/>
  <c r="H1802" i="4"/>
  <c r="G1802" i="4"/>
  <c r="H1801" i="4"/>
  <c r="G1801" i="4"/>
  <c r="H1800" i="4"/>
  <c r="G1800" i="4"/>
  <c r="H1799" i="4"/>
  <c r="G1799" i="4"/>
  <c r="H1798" i="4"/>
  <c r="G1798" i="4"/>
  <c r="H1797" i="4"/>
  <c r="G1797" i="4"/>
  <c r="H1795" i="4"/>
  <c r="G1795" i="4"/>
  <c r="H1794" i="4"/>
  <c r="G1794" i="4"/>
  <c r="H1793" i="4"/>
  <c r="G1793" i="4"/>
  <c r="H1792" i="4"/>
  <c r="G1792" i="4"/>
  <c r="H1791" i="4"/>
  <c r="G1791" i="4"/>
  <c r="H1790" i="4"/>
  <c r="G1790" i="4"/>
  <c r="H1789" i="4"/>
  <c r="G1789" i="4"/>
  <c r="H1787" i="4"/>
  <c r="G1787" i="4"/>
  <c r="H1785" i="4"/>
  <c r="G1785" i="4"/>
  <c r="H1782" i="4"/>
  <c r="G1782" i="4"/>
  <c r="H1780" i="4"/>
  <c r="G1780" i="4"/>
  <c r="H1779" i="4"/>
  <c r="G1779" i="4"/>
  <c r="H1775" i="4"/>
  <c r="G1775" i="4"/>
  <c r="H1772" i="4"/>
  <c r="G1772" i="4"/>
  <c r="H1771" i="4"/>
  <c r="G1771" i="4"/>
  <c r="H1770" i="4"/>
  <c r="G1770" i="4"/>
  <c r="H1769" i="4"/>
  <c r="G1769" i="4"/>
  <c r="H1768" i="4"/>
  <c r="G1768" i="4"/>
  <c r="H1767" i="4"/>
  <c r="G1767" i="4"/>
  <c r="H1766" i="4"/>
  <c r="G1766" i="4"/>
  <c r="H1765" i="4"/>
  <c r="G1765" i="4"/>
  <c r="H1764" i="4"/>
  <c r="G1764" i="4"/>
  <c r="H1763" i="4"/>
  <c r="G1763" i="4"/>
  <c r="H1762" i="4"/>
  <c r="G1762" i="4"/>
  <c r="H1761" i="4"/>
  <c r="G1761" i="4"/>
  <c r="H1759" i="4"/>
  <c r="G1759" i="4"/>
  <c r="H1754" i="4"/>
  <c r="G1754" i="4"/>
  <c r="H1753" i="4"/>
  <c r="G1753" i="4"/>
  <c r="L1752" i="4"/>
  <c r="L2125" i="4" s="1"/>
  <c r="G1752" i="4"/>
  <c r="H1751" i="4"/>
  <c r="G1751" i="4"/>
  <c r="H1748" i="4"/>
  <c r="G1748" i="4"/>
  <c r="H1747" i="4"/>
  <c r="G1747" i="4"/>
  <c r="K2125" i="4"/>
  <c r="H1744" i="4"/>
  <c r="G1744" i="4"/>
  <c r="H1743" i="4"/>
  <c r="G1743" i="4"/>
  <c r="H1742" i="4"/>
  <c r="G1742" i="4"/>
  <c r="H1739" i="4"/>
  <c r="G1739" i="4"/>
  <c r="H1738" i="4"/>
  <c r="G1738" i="4"/>
  <c r="H1737" i="4"/>
  <c r="G1737" i="4"/>
  <c r="H1736" i="4"/>
  <c r="G1736" i="4"/>
  <c r="H1731" i="4"/>
  <c r="G1731" i="4"/>
  <c r="H1727" i="4"/>
  <c r="G1727" i="4"/>
  <c r="H1726" i="4"/>
  <c r="G1726" i="4"/>
  <c r="H1725" i="4"/>
  <c r="G1725" i="4"/>
  <c r="H1724" i="4"/>
  <c r="G1724" i="4"/>
  <c r="H1718" i="4"/>
  <c r="G1718" i="4"/>
  <c r="H1717" i="4"/>
  <c r="G1717" i="4"/>
  <c r="H1715" i="4"/>
  <c r="G1715" i="4"/>
  <c r="H1714" i="4"/>
  <c r="G1714" i="4"/>
  <c r="H1713" i="4"/>
  <c r="G1713" i="4"/>
  <c r="H1712" i="4"/>
  <c r="G1712" i="4"/>
  <c r="H1711" i="4"/>
  <c r="G1711" i="4"/>
  <c r="H1708" i="4"/>
  <c r="G1708" i="4"/>
  <c r="H1707" i="4"/>
  <c r="G1707" i="4"/>
  <c r="H1706" i="4"/>
  <c r="G1706" i="4"/>
  <c r="H1705" i="4"/>
  <c r="G1705" i="4"/>
  <c r="H1704" i="4"/>
  <c r="G1704" i="4"/>
  <c r="G1703" i="4"/>
  <c r="H1702" i="4"/>
  <c r="G1702" i="4"/>
  <c r="H1701" i="4"/>
  <c r="G1701" i="4"/>
  <c r="H1700" i="4"/>
  <c r="G1700" i="4"/>
  <c r="H1699" i="4"/>
  <c r="G1699" i="4"/>
  <c r="H1698" i="4"/>
  <c r="G1698" i="4"/>
  <c r="H1697" i="4"/>
  <c r="G1697" i="4"/>
  <c r="H1696" i="4"/>
  <c r="G1696" i="4"/>
  <c r="H1695" i="4"/>
  <c r="G1695" i="4"/>
  <c r="H1694" i="4"/>
  <c r="G1694" i="4"/>
  <c r="H1693" i="4"/>
  <c r="G1693" i="4"/>
  <c r="H1692" i="4"/>
  <c r="G1692" i="4"/>
  <c r="H1691" i="4"/>
  <c r="G1691" i="4"/>
  <c r="H1688" i="4"/>
  <c r="G1688" i="4"/>
  <c r="H1686" i="4"/>
  <c r="G1686" i="4"/>
  <c r="H1685" i="4"/>
  <c r="G1685" i="4"/>
  <c r="H1684" i="4"/>
  <c r="G1684" i="4"/>
  <c r="H1683" i="4"/>
  <c r="G1683" i="4"/>
  <c r="H1681" i="4"/>
  <c r="G1681" i="4"/>
  <c r="H1677" i="4"/>
  <c r="G1677" i="4"/>
  <c r="H1676" i="4"/>
  <c r="G1676" i="4"/>
  <c r="H1672" i="4"/>
  <c r="G1672" i="4"/>
  <c r="H1671" i="4"/>
  <c r="G1671" i="4"/>
  <c r="H1669" i="4"/>
  <c r="G1669" i="4"/>
  <c r="H1666" i="4"/>
  <c r="G1666" i="4"/>
  <c r="H1665" i="4"/>
  <c r="G1665" i="4"/>
  <c r="H1662" i="4"/>
  <c r="G1662" i="4"/>
  <c r="H1661" i="4"/>
  <c r="G1661" i="4"/>
  <c r="H1660" i="4"/>
  <c r="G1660" i="4"/>
  <c r="H1659" i="4"/>
  <c r="G1659" i="4"/>
  <c r="H1658" i="4"/>
  <c r="G1658" i="4"/>
  <c r="H1657" i="4"/>
  <c r="G1657" i="4"/>
  <c r="H1656" i="4"/>
  <c r="G1656" i="4"/>
  <c r="H1655" i="4"/>
  <c r="G1655" i="4"/>
  <c r="H1654" i="4"/>
  <c r="G1654" i="4"/>
  <c r="H1649" i="4"/>
  <c r="G1649" i="4"/>
  <c r="H1646" i="4"/>
  <c r="G1646" i="4"/>
  <c r="H1645" i="4"/>
  <c r="G1645" i="4"/>
  <c r="H1644" i="4"/>
  <c r="G1644" i="4"/>
  <c r="H1643" i="4"/>
  <c r="G1643" i="4"/>
  <c r="H1642" i="4"/>
  <c r="G1642" i="4"/>
  <c r="H1641" i="4"/>
  <c r="G1641" i="4"/>
  <c r="H1640" i="4"/>
  <c r="G1640" i="4"/>
  <c r="H1637" i="4"/>
  <c r="G1637" i="4"/>
  <c r="H1636" i="4"/>
  <c r="G1636" i="4"/>
  <c r="H1634" i="4"/>
  <c r="G1634" i="4"/>
  <c r="H1633" i="4"/>
  <c r="G1633" i="4"/>
  <c r="H1632" i="4"/>
  <c r="G1632" i="4"/>
  <c r="H1631" i="4"/>
  <c r="G1631" i="4"/>
  <c r="H1627" i="4"/>
  <c r="G1627" i="4"/>
  <c r="H1625" i="4"/>
  <c r="G1625" i="4"/>
  <c r="H1622" i="4"/>
  <c r="G1622" i="4"/>
  <c r="H1621" i="4"/>
  <c r="G1621" i="4"/>
  <c r="H1620" i="4"/>
  <c r="G1620" i="4"/>
  <c r="H1619" i="4"/>
  <c r="G1619" i="4"/>
  <c r="H1618" i="4"/>
  <c r="G1618" i="4"/>
  <c r="H1616" i="4"/>
  <c r="G1616" i="4"/>
  <c r="H1615" i="4"/>
  <c r="G1615" i="4"/>
  <c r="H1614" i="4"/>
  <c r="G1614" i="4"/>
  <c r="H1613" i="4"/>
  <c r="G1613" i="4"/>
  <c r="H1611" i="4"/>
  <c r="G1611" i="4"/>
  <c r="H1608" i="4"/>
  <c r="G1608" i="4"/>
  <c r="H1603" i="4"/>
  <c r="G1603" i="4"/>
  <c r="H1602" i="4"/>
  <c r="G1602" i="4"/>
  <c r="H1601" i="4"/>
  <c r="G1601" i="4"/>
  <c r="H1599" i="4"/>
  <c r="G1599" i="4"/>
  <c r="H1591" i="4"/>
  <c r="G1591" i="4"/>
  <c r="H1590" i="4"/>
  <c r="G1590" i="4"/>
  <c r="H1589" i="4"/>
  <c r="G1589" i="4"/>
  <c r="H1588" i="4"/>
  <c r="G1588" i="4"/>
  <c r="H1587" i="4"/>
  <c r="G1587" i="4"/>
  <c r="H1585" i="4"/>
  <c r="G1585" i="4"/>
  <c r="H1583" i="4"/>
  <c r="G1583" i="4"/>
  <c r="H1581" i="4"/>
  <c r="G1581" i="4"/>
  <c r="H1579" i="4"/>
  <c r="G1579" i="4"/>
  <c r="H1577" i="4"/>
  <c r="G1577" i="4"/>
  <c r="H1576" i="4"/>
  <c r="G1576" i="4"/>
  <c r="H1574" i="4"/>
  <c r="G1574" i="4"/>
  <c r="H1573" i="4"/>
  <c r="G1573" i="4"/>
  <c r="H1572" i="4"/>
  <c r="G1572" i="4"/>
  <c r="H1571" i="4"/>
  <c r="G1571" i="4"/>
  <c r="H1570" i="4"/>
  <c r="G1570" i="4"/>
  <c r="H1567" i="4"/>
  <c r="G1567" i="4"/>
  <c r="H1566" i="4"/>
  <c r="G1566" i="4"/>
  <c r="H1563" i="4"/>
  <c r="G1563" i="4"/>
  <c r="H1562" i="4"/>
  <c r="G1562" i="4"/>
  <c r="H1561" i="4"/>
  <c r="G1561" i="4"/>
  <c r="H1559" i="4"/>
  <c r="G1559" i="4"/>
  <c r="H1558" i="4"/>
  <c r="G1558" i="4"/>
  <c r="H1552" i="4"/>
  <c r="G1552" i="4"/>
  <c r="H1550" i="4"/>
  <c r="G1550" i="4"/>
  <c r="H1547" i="4"/>
  <c r="G1547" i="4"/>
  <c r="AY295" i="6" s="1"/>
  <c r="H1545" i="4"/>
  <c r="G1545" i="4"/>
  <c r="H1541" i="4"/>
  <c r="G1541" i="4"/>
  <c r="H1540" i="4"/>
  <c r="G1540" i="4"/>
  <c r="H1539" i="4"/>
  <c r="G1539" i="4"/>
  <c r="H1535" i="4"/>
  <c r="G1535" i="4"/>
  <c r="H1533" i="4"/>
  <c r="G1533" i="4"/>
  <c r="H1532" i="4"/>
  <c r="G1532" i="4"/>
  <c r="H1528" i="4"/>
  <c r="G1528" i="4"/>
  <c r="H1526" i="4"/>
  <c r="G1526" i="4"/>
  <c r="H1524" i="4"/>
  <c r="G1524" i="4"/>
  <c r="H1516" i="4"/>
  <c r="G1516" i="4"/>
  <c r="H1515" i="4"/>
  <c r="G1515" i="4"/>
  <c r="H1514" i="4"/>
  <c r="G1514" i="4"/>
  <c r="H1512" i="4"/>
  <c r="G1512" i="4"/>
  <c r="H1510" i="4"/>
  <c r="G1510" i="4"/>
  <c r="AY264" i="6" s="1"/>
  <c r="H1508" i="4"/>
  <c r="G1508" i="4"/>
  <c r="H1507" i="4"/>
  <c r="G1507" i="4"/>
  <c r="H1502" i="4"/>
  <c r="G1502" i="4"/>
  <c r="H1501" i="4"/>
  <c r="G1501" i="4"/>
  <c r="H1499" i="4"/>
  <c r="G1499" i="4"/>
  <c r="H1495" i="4"/>
  <c r="G1495" i="4"/>
  <c r="H1494" i="4"/>
  <c r="G1494" i="4"/>
  <c r="H1493" i="4"/>
  <c r="G1493" i="4"/>
  <c r="A173" i="6" l="1"/>
  <c r="A174" i="6" s="1"/>
  <c r="A175" i="6" s="1"/>
  <c r="A1039" i="4"/>
  <c r="A1029" i="4"/>
  <c r="B1833" i="4"/>
  <c r="H1752" i="4"/>
  <c r="B1745" i="4" s="1"/>
  <c r="B1668" i="4"/>
  <c r="B1630" i="4"/>
  <c r="B1774" i="4"/>
  <c r="B1846" i="4"/>
  <c r="B1760" i="4"/>
  <c r="B1525" i="4"/>
  <c r="B1560" i="4"/>
  <c r="B1784" i="4"/>
  <c r="B1544" i="4"/>
  <c r="B1610" i="4"/>
  <c r="B1648" i="4"/>
  <c r="B1758" i="4"/>
  <c r="B1821" i="4"/>
  <c r="B1837" i="4"/>
  <c r="B1886" i="4"/>
  <c r="B1881" i="4"/>
  <c r="B1893" i="4"/>
  <c r="B1889" i="4"/>
  <c r="B1891" i="4"/>
  <c r="B1896" i="4"/>
  <c r="B1592" i="4"/>
  <c r="B1511" i="4"/>
  <c r="B1584" i="4"/>
  <c r="B1500" i="4"/>
  <c r="B1557" i="4"/>
  <c r="B1788" i="4"/>
  <c r="B1497" i="4"/>
  <c r="B1518" i="4"/>
  <c r="B1523" i="4"/>
  <c r="B1580" i="4"/>
  <c r="B1865" i="4"/>
  <c r="B1506" i="4"/>
  <c r="B1549" i="4"/>
  <c r="B1551" i="4"/>
  <c r="B1607" i="4"/>
  <c r="B1617" i="4"/>
  <c r="B1675" i="4"/>
  <c r="B1690" i="4"/>
  <c r="B1723" i="4"/>
  <c r="B1805" i="4"/>
  <c r="B1807" i="4"/>
  <c r="B1861" i="4"/>
  <c r="B1863" i="4"/>
  <c r="B1653" i="4"/>
  <c r="B1680" i="4"/>
  <c r="B1710" i="4"/>
  <c r="B1824" i="4"/>
  <c r="B1840" i="4"/>
  <c r="B1867" i="4"/>
  <c r="B1509" i="4"/>
  <c r="B1546" i="4"/>
  <c r="B1565" i="4"/>
  <c r="B1582" i="4"/>
  <c r="B1612" i="4"/>
  <c r="B1626" i="4"/>
  <c r="B1786" i="4"/>
  <c r="B1859" i="4"/>
  <c r="B1883" i="4"/>
  <c r="B1575" i="4"/>
  <c r="B1870" i="4"/>
  <c r="B1898" i="4"/>
  <c r="B1492" i="4"/>
  <c r="H1491" i="4"/>
  <c r="G1491" i="4"/>
  <c r="AY259" i="6" s="1"/>
  <c r="H1488" i="4"/>
  <c r="G1488" i="4"/>
  <c r="H1487" i="4"/>
  <c r="G1487" i="4"/>
  <c r="H1486" i="4"/>
  <c r="G1486" i="4"/>
  <c r="H1484" i="4"/>
  <c r="G1484" i="4"/>
  <c r="H1483" i="4"/>
  <c r="G1483" i="4"/>
  <c r="H1482" i="4"/>
  <c r="G1482" i="4"/>
  <c r="I1481" i="4"/>
  <c r="H1481" i="4"/>
  <c r="A176" i="6" l="1"/>
  <c r="A177" i="6" s="1"/>
  <c r="A1042" i="4"/>
  <c r="B1485" i="4"/>
  <c r="B1490" i="4"/>
  <c r="G1481" i="4"/>
  <c r="H1480" i="4"/>
  <c r="G1480" i="4"/>
  <c r="H1477" i="4"/>
  <c r="G1477" i="4"/>
  <c r="H1476" i="4"/>
  <c r="G1476" i="4"/>
  <c r="H1475" i="4"/>
  <c r="G1475" i="4"/>
  <c r="H1474" i="4"/>
  <c r="G1474" i="4"/>
  <c r="H1473" i="4"/>
  <c r="G1473" i="4"/>
  <c r="H1471" i="4"/>
  <c r="G1471" i="4"/>
  <c r="H1470" i="4"/>
  <c r="G1470" i="4"/>
  <c r="H1469" i="4"/>
  <c r="G1469" i="4"/>
  <c r="H1466" i="4"/>
  <c r="G1466" i="4"/>
  <c r="AY254" i="6" s="1"/>
  <c r="H1462" i="4"/>
  <c r="G1462" i="4"/>
  <c r="H1461" i="4"/>
  <c r="G1461" i="4"/>
  <c r="H1459" i="4"/>
  <c r="G1459" i="4"/>
  <c r="H1458" i="4"/>
  <c r="G1458" i="4"/>
  <c r="H1457" i="4"/>
  <c r="G1457" i="4"/>
  <c r="H1455" i="4"/>
  <c r="G1455" i="4"/>
  <c r="H1453" i="4"/>
  <c r="G1453" i="4"/>
  <c r="H1452" i="4"/>
  <c r="G1452" i="4"/>
  <c r="H1450" i="4"/>
  <c r="G1450" i="4"/>
  <c r="H1447" i="4"/>
  <c r="G1447" i="4"/>
  <c r="H1445" i="4"/>
  <c r="G1445" i="4"/>
  <c r="H1440" i="4"/>
  <c r="G1440" i="4"/>
  <c r="H1439" i="4"/>
  <c r="G1439" i="4"/>
  <c r="H1438" i="4"/>
  <c r="G1438" i="4"/>
  <c r="H1437" i="4"/>
  <c r="G1437" i="4"/>
  <c r="H1435" i="4"/>
  <c r="G1435" i="4"/>
  <c r="H1434" i="4"/>
  <c r="G1434" i="4"/>
  <c r="H1433" i="4"/>
  <c r="G1433" i="4"/>
  <c r="H1432" i="4"/>
  <c r="G1432" i="4"/>
  <c r="H1431" i="4"/>
  <c r="G1431" i="4"/>
  <c r="H1429" i="4"/>
  <c r="G1429" i="4"/>
  <c r="AY248" i="6" s="1"/>
  <c r="H1425" i="4"/>
  <c r="G1425" i="4"/>
  <c r="H1423" i="4"/>
  <c r="G1423" i="4"/>
  <c r="AY246" i="6" s="1"/>
  <c r="H1420" i="4"/>
  <c r="G1420" i="4"/>
  <c r="H1419" i="4"/>
  <c r="G1419" i="4"/>
  <c r="H1416" i="4"/>
  <c r="G1416" i="4"/>
  <c r="AY283" i="6" s="1"/>
  <c r="H1413" i="4"/>
  <c r="G1413" i="4"/>
  <c r="H1412" i="4"/>
  <c r="G1412" i="4"/>
  <c r="H1411" i="4"/>
  <c r="G1411" i="4"/>
  <c r="H1410" i="4"/>
  <c r="G1410" i="4"/>
  <c r="H1409" i="4"/>
  <c r="G1409" i="4"/>
  <c r="H1408" i="4"/>
  <c r="G1408" i="4"/>
  <c r="H1405" i="4"/>
  <c r="G1405" i="4"/>
  <c r="H1404" i="4"/>
  <c r="G1404" i="4"/>
  <c r="H1403" i="4"/>
  <c r="G1403" i="4"/>
  <c r="H1402" i="4"/>
  <c r="G1402" i="4"/>
  <c r="H1398" i="4"/>
  <c r="G1398" i="4"/>
  <c r="H1397" i="4"/>
  <c r="G1397" i="4"/>
  <c r="H1396" i="4"/>
  <c r="G1396" i="4"/>
  <c r="H1395" i="4"/>
  <c r="G1395" i="4"/>
  <c r="H1394" i="4"/>
  <c r="G1394" i="4"/>
  <c r="H1391" i="4"/>
  <c r="G1391" i="4"/>
  <c r="H1388" i="4"/>
  <c r="G1388" i="4"/>
  <c r="H1387" i="4"/>
  <c r="G1387" i="4"/>
  <c r="H1386" i="4"/>
  <c r="G1386" i="4"/>
  <c r="H1385" i="4"/>
  <c r="G1385" i="4"/>
  <c r="H1384" i="4"/>
  <c r="G1384" i="4"/>
  <c r="H1383" i="4"/>
  <c r="G1383" i="4"/>
  <c r="H1382" i="4"/>
  <c r="G1382" i="4"/>
  <c r="H1380" i="4"/>
  <c r="G1380" i="4"/>
  <c r="H1375" i="4"/>
  <c r="G1375" i="4"/>
  <c r="H1374" i="4"/>
  <c r="G1374" i="4"/>
  <c r="H1373" i="4"/>
  <c r="G1373" i="4"/>
  <c r="H1372" i="4"/>
  <c r="G1372" i="4"/>
  <c r="H1369" i="4"/>
  <c r="G1369" i="4"/>
  <c r="H1368" i="4"/>
  <c r="G1368" i="4"/>
  <c r="H1367" i="4"/>
  <c r="G1367" i="4"/>
  <c r="H1366" i="4"/>
  <c r="G1366" i="4"/>
  <c r="H1365" i="4"/>
  <c r="G1365" i="4"/>
  <c r="H1363" i="4"/>
  <c r="G1363" i="4"/>
  <c r="H1362" i="4"/>
  <c r="G1362" i="4"/>
  <c r="H1359" i="4"/>
  <c r="G1359" i="4"/>
  <c r="H1358" i="4"/>
  <c r="G1358" i="4"/>
  <c r="H1357" i="4"/>
  <c r="G1357" i="4"/>
  <c r="H1354" i="4"/>
  <c r="G1354" i="4"/>
  <c r="H1351" i="4"/>
  <c r="G1351" i="4"/>
  <c r="H1348" i="4"/>
  <c r="G1348" i="4"/>
  <c r="H1347" i="4"/>
  <c r="G1347" i="4"/>
  <c r="H1346" i="4"/>
  <c r="G1346" i="4"/>
  <c r="H1345" i="4"/>
  <c r="G1345" i="4"/>
  <c r="H1344" i="4"/>
  <c r="G1344" i="4"/>
  <c r="H1342" i="4"/>
  <c r="G1342" i="4"/>
  <c r="H1341" i="4"/>
  <c r="G1341" i="4"/>
  <c r="H1340" i="4"/>
  <c r="G1340" i="4"/>
  <c r="H1338" i="4"/>
  <c r="G1338" i="4"/>
  <c r="H1336" i="4"/>
  <c r="G1336" i="4"/>
  <c r="H1335" i="4"/>
  <c r="G1335" i="4"/>
  <c r="H1333" i="4"/>
  <c r="G1333" i="4"/>
  <c r="H1332" i="4"/>
  <c r="G1332" i="4"/>
  <c r="H1329" i="4"/>
  <c r="G1329" i="4"/>
  <c r="H1327" i="4"/>
  <c r="G1327" i="4"/>
  <c r="H1325" i="4"/>
  <c r="G1325" i="4"/>
  <c r="H1324" i="4"/>
  <c r="G1324" i="4"/>
  <c r="H1323" i="4"/>
  <c r="G1323" i="4"/>
  <c r="G1322" i="4"/>
  <c r="H1321" i="4"/>
  <c r="G1321" i="4"/>
  <c r="H1320" i="4"/>
  <c r="G1320" i="4"/>
  <c r="H1318" i="4"/>
  <c r="G1318" i="4"/>
  <c r="H1315" i="4"/>
  <c r="G1315" i="4"/>
  <c r="H1314" i="4"/>
  <c r="G1314" i="4"/>
  <c r="H1312" i="4"/>
  <c r="G1312" i="4"/>
  <c r="H1311" i="4"/>
  <c r="G1311" i="4"/>
  <c r="H1310" i="4"/>
  <c r="G1310" i="4"/>
  <c r="H1309" i="4"/>
  <c r="G1309" i="4"/>
  <c r="H1308" i="4"/>
  <c r="G1308" i="4"/>
  <c r="H1306" i="4"/>
  <c r="G1306" i="4"/>
  <c r="H1304" i="4"/>
  <c r="G1304" i="4"/>
  <c r="H1302" i="4"/>
  <c r="G1302" i="4"/>
  <c r="H1300" i="4"/>
  <c r="G1300" i="4"/>
  <c r="H1298" i="4"/>
  <c r="G1298" i="4"/>
  <c r="H1296" i="4"/>
  <c r="G1296" i="4"/>
  <c r="H1294" i="4"/>
  <c r="G1294" i="4"/>
  <c r="H1293" i="4"/>
  <c r="G1293" i="4"/>
  <c r="H1292" i="4"/>
  <c r="G1292" i="4"/>
  <c r="A178" i="6" l="1"/>
  <c r="A179" i="6" s="1"/>
  <c r="A180" i="6" s="1"/>
  <c r="A1048" i="4"/>
  <c r="B1456" i="4"/>
  <c r="B1371" i="4"/>
  <c r="B1356" i="4"/>
  <c r="B1361" i="4"/>
  <c r="B1299" i="4"/>
  <c r="B1295" i="4"/>
  <c r="B1297" i="4"/>
  <c r="B1446" i="4"/>
  <c r="B1449" i="4"/>
  <c r="B1468" i="4"/>
  <c r="B1479" i="4"/>
  <c r="B1350" i="4"/>
  <c r="B1422" i="4"/>
  <c r="B1424" i="4"/>
  <c r="B1454" i="4"/>
  <c r="B1393" i="4"/>
  <c r="B1400" i="4"/>
  <c r="B1472" i="4"/>
  <c r="B1303" i="4"/>
  <c r="B1305" i="4"/>
  <c r="B1379" i="4"/>
  <c r="B1418" i="4"/>
  <c r="B1428" i="4"/>
  <c r="B1451" i="4"/>
  <c r="B1301" i="4"/>
  <c r="B1353" i="4"/>
  <c r="B1390" i="4"/>
  <c r="B1415" i="4"/>
  <c r="B1465" i="4"/>
  <c r="B1307" i="4"/>
  <c r="B1313" i="4"/>
  <c r="B1319" i="4"/>
  <c r="B1328" i="4"/>
  <c r="B1337" i="4"/>
  <c r="B1339" i="4"/>
  <c r="B1364" i="4"/>
  <c r="B1407" i="4"/>
  <c r="H1291" i="4"/>
  <c r="G1291" i="4"/>
  <c r="H1287" i="4"/>
  <c r="G1287" i="4"/>
  <c r="H1286" i="4"/>
  <c r="G1286" i="4"/>
  <c r="H1284" i="4"/>
  <c r="G1284" i="4"/>
  <c r="H1282" i="4"/>
  <c r="G1282" i="4"/>
  <c r="H1280" i="4"/>
  <c r="G1280" i="4"/>
  <c r="H1277" i="4"/>
  <c r="G1277" i="4"/>
  <c r="H1275" i="4"/>
  <c r="G1275" i="4"/>
  <c r="H1274" i="4"/>
  <c r="G1274" i="4"/>
  <c r="H1272" i="4"/>
  <c r="G1272" i="4"/>
  <c r="H1270" i="4"/>
  <c r="G1270" i="4"/>
  <c r="H1268" i="4"/>
  <c r="G1268" i="4"/>
  <c r="H1264" i="4"/>
  <c r="G1264" i="4"/>
  <c r="H1263" i="4"/>
  <c r="G1263" i="4"/>
  <c r="H1261" i="4"/>
  <c r="G1261" i="4"/>
  <c r="AY216" i="6" s="1"/>
  <c r="H1259" i="4"/>
  <c r="G1259" i="4"/>
  <c r="H1258" i="4"/>
  <c r="G1258" i="4"/>
  <c r="H1257" i="4"/>
  <c r="G1257" i="4"/>
  <c r="H1256" i="4"/>
  <c r="G1256" i="4"/>
  <c r="H1253" i="4"/>
  <c r="G1253" i="4"/>
  <c r="H1251" i="4"/>
  <c r="G1251" i="4"/>
  <c r="H1249" i="4"/>
  <c r="G1249" i="4"/>
  <c r="H1248" i="4"/>
  <c r="G1248" i="4"/>
  <c r="H1247" i="4"/>
  <c r="G1247" i="4"/>
  <c r="H1245" i="4"/>
  <c r="G1245" i="4"/>
  <c r="H1243" i="4"/>
  <c r="G1243" i="4"/>
  <c r="H1240" i="4"/>
  <c r="G1240" i="4"/>
  <c r="H1237" i="4"/>
  <c r="G1237" i="4"/>
  <c r="H1235" i="4"/>
  <c r="G1235" i="4"/>
  <c r="H1233" i="4"/>
  <c r="G1233" i="4"/>
  <c r="H1231" i="4"/>
  <c r="G1231" i="4"/>
  <c r="H1229" i="4"/>
  <c r="G1229" i="4"/>
  <c r="H1227" i="4"/>
  <c r="G1227" i="4"/>
  <c r="H1225" i="4"/>
  <c r="G1225" i="4"/>
  <c r="H1223" i="4"/>
  <c r="G1223" i="4"/>
  <c r="H1222" i="4"/>
  <c r="G1222" i="4"/>
  <c r="H1220" i="4"/>
  <c r="G1220" i="4"/>
  <c r="H1219" i="4"/>
  <c r="G1219" i="4"/>
  <c r="H1218" i="4"/>
  <c r="G1218" i="4"/>
  <c r="H1215" i="4"/>
  <c r="G1215" i="4"/>
  <c r="H1213" i="4"/>
  <c r="G1213" i="4"/>
  <c r="H1211" i="4"/>
  <c r="G1211" i="4"/>
  <c r="H1209" i="4"/>
  <c r="G1209" i="4"/>
  <c r="H1208" i="4"/>
  <c r="G1208" i="4"/>
  <c r="H1206" i="4"/>
  <c r="G1206" i="4"/>
  <c r="H1205" i="4"/>
  <c r="G1205" i="4"/>
  <c r="H1203" i="4"/>
  <c r="G1203" i="4"/>
  <c r="H1201" i="4"/>
  <c r="G1201" i="4"/>
  <c r="H1199" i="4"/>
  <c r="G1199" i="4"/>
  <c r="H1198" i="4"/>
  <c r="G1198" i="4"/>
  <c r="H1197" i="4"/>
  <c r="G1197" i="4"/>
  <c r="H1195" i="4"/>
  <c r="G1195" i="4"/>
  <c r="H1193" i="4"/>
  <c r="G1193" i="4"/>
  <c r="H1191" i="4"/>
  <c r="G1191" i="4"/>
  <c r="H1190" i="4"/>
  <c r="G1190" i="4"/>
  <c r="H1189" i="4"/>
  <c r="G1189" i="4"/>
  <c r="H1188" i="4"/>
  <c r="G1188" i="4"/>
  <c r="H1187" i="4"/>
  <c r="G1187" i="4"/>
  <c r="H1184" i="4"/>
  <c r="G1184" i="4"/>
  <c r="H1182" i="4"/>
  <c r="G1182" i="4"/>
  <c r="H1181" i="4"/>
  <c r="G1181" i="4"/>
  <c r="H1180" i="4"/>
  <c r="G1180" i="4"/>
  <c r="H1178" i="4"/>
  <c r="G1178" i="4"/>
  <c r="H1177" i="4"/>
  <c r="G1177" i="4"/>
  <c r="H1176" i="4"/>
  <c r="G1176" i="4"/>
  <c r="H1175" i="4"/>
  <c r="G1175" i="4"/>
  <c r="H1174" i="4"/>
  <c r="G1174" i="4"/>
  <c r="H1173" i="4"/>
  <c r="G1173" i="4"/>
  <c r="H1172" i="4"/>
  <c r="G1172" i="4"/>
  <c r="H1171" i="4"/>
  <c r="G1171" i="4"/>
  <c r="H1169" i="4"/>
  <c r="G1169" i="4"/>
  <c r="H1168" i="4"/>
  <c r="G1168" i="4"/>
  <c r="H1166" i="4"/>
  <c r="G1166" i="4"/>
  <c r="H1165" i="4"/>
  <c r="G1165" i="4"/>
  <c r="H1164" i="4"/>
  <c r="G1164" i="4"/>
  <c r="H1163" i="4"/>
  <c r="G1163" i="4"/>
  <c r="H1161" i="4"/>
  <c r="G1161" i="4"/>
  <c r="H1159" i="4"/>
  <c r="G1159" i="4"/>
  <c r="H1157" i="4"/>
  <c r="G1157" i="4"/>
  <c r="H1156" i="4"/>
  <c r="G1156" i="4"/>
  <c r="H1155" i="4"/>
  <c r="G1155" i="4"/>
  <c r="H1154" i="4"/>
  <c r="G1154" i="4"/>
  <c r="H1153" i="4"/>
  <c r="G1153" i="4"/>
  <c r="H1152" i="4"/>
  <c r="G1152" i="4"/>
  <c r="H1150" i="4"/>
  <c r="G1150" i="4"/>
  <c r="AY190" i="6" s="1"/>
  <c r="H1146" i="4"/>
  <c r="G1146" i="4"/>
  <c r="H1145" i="4"/>
  <c r="G1145" i="4"/>
  <c r="H1143" i="4"/>
  <c r="G1143" i="4"/>
  <c r="H1141" i="4"/>
  <c r="G1141" i="4"/>
  <c r="H1139" i="4"/>
  <c r="G1139" i="4"/>
  <c r="H1136" i="4"/>
  <c r="G1136" i="4"/>
  <c r="H1135" i="4"/>
  <c r="G1135" i="4"/>
  <c r="H1134" i="4"/>
  <c r="G1134" i="4"/>
  <c r="H1133" i="4"/>
  <c r="G1133" i="4"/>
  <c r="H1132" i="4"/>
  <c r="G1132" i="4"/>
  <c r="H1131" i="4"/>
  <c r="G1131" i="4"/>
  <c r="H1129" i="4"/>
  <c r="G1129" i="4"/>
  <c r="H1128" i="4"/>
  <c r="G1128" i="4"/>
  <c r="H1127" i="4"/>
  <c r="G1127" i="4"/>
  <c r="H1126" i="4"/>
  <c r="G1126" i="4"/>
  <c r="H1125" i="4"/>
  <c r="G1125" i="4"/>
  <c r="H1124" i="4"/>
  <c r="G1124" i="4"/>
  <c r="H1123" i="4"/>
  <c r="G1123" i="4"/>
  <c r="H1122" i="4"/>
  <c r="G1122" i="4"/>
  <c r="H1121" i="4"/>
  <c r="G1121" i="4"/>
  <c r="H1120" i="4"/>
  <c r="G1120" i="4"/>
  <c r="H1119" i="4"/>
  <c r="G1119" i="4"/>
  <c r="H1118" i="4"/>
  <c r="G1118" i="4"/>
  <c r="H1117" i="4"/>
  <c r="G1117" i="4"/>
  <c r="H1116" i="4"/>
  <c r="G1116" i="4"/>
  <c r="H1115" i="4"/>
  <c r="G1115" i="4"/>
  <c r="H1114" i="4"/>
  <c r="G1114" i="4"/>
  <c r="H1113" i="4"/>
  <c r="G1113" i="4"/>
  <c r="H1112" i="4"/>
  <c r="G1112" i="4"/>
  <c r="H1110" i="4"/>
  <c r="G1110" i="4"/>
  <c r="H1109" i="4"/>
  <c r="G1109" i="4"/>
  <c r="H1107" i="4"/>
  <c r="G1107" i="4"/>
  <c r="H1102" i="4"/>
  <c r="G1102" i="4"/>
  <c r="H1098" i="4"/>
  <c r="G1098" i="4"/>
  <c r="H1094" i="4"/>
  <c r="G1094" i="4"/>
  <c r="H1093" i="4"/>
  <c r="G1093" i="4"/>
  <c r="H1092" i="4"/>
  <c r="G1092" i="4"/>
  <c r="H1090" i="4"/>
  <c r="G1090" i="4"/>
  <c r="H1089" i="4"/>
  <c r="G1089" i="4"/>
  <c r="H1086" i="4"/>
  <c r="G1086" i="4"/>
  <c r="H1085" i="4"/>
  <c r="G1085" i="4"/>
  <c r="H1084" i="4"/>
  <c r="G1084" i="4"/>
  <c r="H1083" i="4"/>
  <c r="G1083" i="4"/>
  <c r="H1081" i="4"/>
  <c r="G1081" i="4"/>
  <c r="H1080" i="4"/>
  <c r="G1080" i="4"/>
  <c r="H1079" i="4"/>
  <c r="G1079" i="4"/>
  <c r="H1078" i="4"/>
  <c r="G1078" i="4"/>
  <c r="H1077" i="4"/>
  <c r="G1077" i="4"/>
  <c r="H1076" i="4"/>
  <c r="G1076" i="4"/>
  <c r="H1075" i="4"/>
  <c r="G1075" i="4"/>
  <c r="H1074" i="4"/>
  <c r="G1074" i="4"/>
  <c r="H1073" i="4"/>
  <c r="G1073" i="4"/>
  <c r="H1072" i="4"/>
  <c r="G1072" i="4"/>
  <c r="H1063" i="4"/>
  <c r="G1063" i="4"/>
  <c r="H1061" i="4"/>
  <c r="G1061" i="4"/>
  <c r="A1060" i="4"/>
  <c r="H1059" i="4"/>
  <c r="G1059" i="4"/>
  <c r="H1058" i="4"/>
  <c r="G1058" i="4"/>
  <c r="A1058" i="4"/>
  <c r="H1057" i="4"/>
  <c r="G1057" i="4"/>
  <c r="H1056" i="4"/>
  <c r="G1056" i="4"/>
  <c r="A1056" i="4"/>
  <c r="H1055" i="4"/>
  <c r="G1055" i="4"/>
  <c r="H1054" i="4"/>
  <c r="G1054" i="4"/>
  <c r="A1054" i="4"/>
  <c r="H1053" i="4"/>
  <c r="G1053" i="4"/>
  <c r="H1052" i="4"/>
  <c r="G1052" i="4"/>
  <c r="A1052" i="4"/>
  <c r="H1051" i="4"/>
  <c r="G1051" i="4"/>
  <c r="A1050" i="4"/>
  <c r="H1049" i="4"/>
  <c r="G1049" i="4"/>
  <c r="AY177" i="6" s="1"/>
  <c r="A1049" i="4"/>
  <c r="H1047" i="4"/>
  <c r="G1047" i="4"/>
  <c r="A1047" i="4"/>
  <c r="H1046" i="4"/>
  <c r="G1046" i="4"/>
  <c r="A1046" i="4"/>
  <c r="A1045" i="4"/>
  <c r="H1044" i="4"/>
  <c r="G1044" i="4"/>
  <c r="A1044" i="4"/>
  <c r="A1043" i="4"/>
  <c r="H1041" i="4"/>
  <c r="G1041" i="4"/>
  <c r="A1041" i="4"/>
  <c r="A1040" i="4"/>
  <c r="H1038" i="4"/>
  <c r="G1038" i="4"/>
  <c r="A1038" i="4"/>
  <c r="H1037" i="4"/>
  <c r="G1037" i="4"/>
  <c r="A1037" i="4"/>
  <c r="H1036" i="4"/>
  <c r="G1036" i="4"/>
  <c r="A1036" i="4"/>
  <c r="H1035" i="4"/>
  <c r="G1035" i="4"/>
  <c r="A1035" i="4"/>
  <c r="H1034" i="4"/>
  <c r="G1034" i="4"/>
  <c r="A1034" i="4"/>
  <c r="H1033" i="4"/>
  <c r="G1033" i="4"/>
  <c r="A1033" i="4"/>
  <c r="H1032" i="4"/>
  <c r="G1032" i="4"/>
  <c r="A1032" i="4"/>
  <c r="H1031" i="4"/>
  <c r="G1031" i="4"/>
  <c r="A1031" i="4"/>
  <c r="H1030" i="4"/>
  <c r="G1030" i="4"/>
  <c r="A1030" i="4"/>
  <c r="H1028" i="4"/>
  <c r="G1028" i="4"/>
  <c r="A1028" i="4"/>
  <c r="H1027" i="4"/>
  <c r="G1027" i="4"/>
  <c r="A1027" i="4"/>
  <c r="A1026" i="4"/>
  <c r="H1025" i="4"/>
  <c r="G1025" i="4"/>
  <c r="A1025" i="4"/>
  <c r="A1024" i="4"/>
  <c r="H1023" i="4"/>
  <c r="G1023" i="4"/>
  <c r="A1023" i="4"/>
  <c r="H1022" i="4"/>
  <c r="G1022" i="4"/>
  <c r="A1022" i="4"/>
  <c r="H1021" i="4"/>
  <c r="G1021" i="4"/>
  <c r="A1021" i="4"/>
  <c r="H1020" i="4"/>
  <c r="G1020" i="4"/>
  <c r="A1020" i="4"/>
  <c r="H1017" i="4"/>
  <c r="G1017" i="4"/>
  <c r="A1017" i="4"/>
  <c r="H1016" i="4"/>
  <c r="G1016" i="4"/>
  <c r="A1016" i="4"/>
  <c r="H1014" i="4"/>
  <c r="G1014" i="4"/>
  <c r="A1014" i="4"/>
  <c r="H1013" i="4"/>
  <c r="G1013" i="4"/>
  <c r="A1013" i="4"/>
  <c r="H1012" i="4"/>
  <c r="G1012" i="4"/>
  <c r="A1012" i="4"/>
  <c r="A1011" i="4"/>
  <c r="H1009" i="4"/>
  <c r="G1009" i="4"/>
  <c r="A1009" i="4"/>
  <c r="H1008" i="4"/>
  <c r="G1008" i="4"/>
  <c r="A1008" i="4"/>
  <c r="A1007" i="4"/>
  <c r="H1006" i="4"/>
  <c r="G1006" i="4"/>
  <c r="A1006" i="4"/>
  <c r="A1005" i="4"/>
  <c r="H1004" i="4"/>
  <c r="G1004" i="4"/>
  <c r="A1004" i="4"/>
  <c r="H1003" i="4"/>
  <c r="G1003" i="4"/>
  <c r="A1003" i="4"/>
  <c r="H1002" i="4"/>
  <c r="G1002" i="4"/>
  <c r="A1002" i="4"/>
  <c r="H1001" i="4"/>
  <c r="G1001" i="4"/>
  <c r="A1001" i="4"/>
  <c r="H999" i="4"/>
  <c r="G999" i="4"/>
  <c r="A999" i="4"/>
  <c r="H998" i="4"/>
  <c r="G998" i="4"/>
  <c r="A998" i="4"/>
  <c r="H996" i="4"/>
  <c r="G996" i="4"/>
  <c r="A996" i="4"/>
  <c r="H993" i="4"/>
  <c r="G993" i="4"/>
  <c r="A993" i="4"/>
  <c r="A992" i="4"/>
  <c r="H991" i="4"/>
  <c r="G991" i="4"/>
  <c r="H990" i="4"/>
  <c r="G990" i="4"/>
  <c r="A990" i="4"/>
  <c r="H989" i="4"/>
  <c r="G989" i="4"/>
  <c r="A989" i="4"/>
  <c r="H988" i="4"/>
  <c r="G988" i="4"/>
  <c r="A988" i="4"/>
  <c r="G987" i="4"/>
  <c r="A987" i="4"/>
  <c r="A986" i="4"/>
  <c r="H983" i="4"/>
  <c r="G983" i="4"/>
  <c r="A983" i="4"/>
  <c r="H982" i="4"/>
  <c r="G982" i="4"/>
  <c r="A982" i="4"/>
  <c r="H981" i="4"/>
  <c r="G981" i="4"/>
  <c r="A981" i="4"/>
  <c r="H980" i="4"/>
  <c r="G980" i="4"/>
  <c r="A980" i="4"/>
  <c r="H979" i="4"/>
  <c r="G979" i="4"/>
  <c r="A979" i="4"/>
  <c r="H978" i="4"/>
  <c r="G978" i="4"/>
  <c r="A978" i="4"/>
  <c r="H977" i="4"/>
  <c r="G977" i="4"/>
  <c r="A977" i="4"/>
  <c r="H976" i="4"/>
  <c r="G976" i="4"/>
  <c r="A976" i="4"/>
  <c r="H975" i="4"/>
  <c r="G975" i="4"/>
  <c r="A975" i="4"/>
  <c r="A974" i="4"/>
  <c r="H972" i="4"/>
  <c r="G972" i="4"/>
  <c r="H970" i="4"/>
  <c r="G970" i="4"/>
  <c r="H967" i="4"/>
  <c r="G967" i="4"/>
  <c r="H966" i="4"/>
  <c r="G966" i="4"/>
  <c r="H965" i="4"/>
  <c r="G965" i="4"/>
  <c r="H963" i="4"/>
  <c r="G963" i="4"/>
  <c r="H961" i="4"/>
  <c r="G961" i="4"/>
  <c r="H958" i="4"/>
  <c r="G958" i="4"/>
  <c r="H956" i="4"/>
  <c r="G956" i="4"/>
  <c r="H955" i="4"/>
  <c r="G955" i="4"/>
  <c r="H954" i="4"/>
  <c r="G954" i="4"/>
  <c r="H953" i="4"/>
  <c r="G953" i="4"/>
  <c r="H952" i="4"/>
  <c r="G952" i="4"/>
  <c r="H949" i="4"/>
  <c r="G949" i="4"/>
  <c r="H945" i="4"/>
  <c r="G945" i="4"/>
  <c r="H941" i="4"/>
  <c r="G941" i="4"/>
  <c r="H940" i="4"/>
  <c r="G940" i="4"/>
  <c r="A940" i="4"/>
  <c r="H938" i="4"/>
  <c r="G938" i="4"/>
  <c r="A938" i="4"/>
  <c r="A936" i="4"/>
  <c r="H935" i="4"/>
  <c r="G935" i="4"/>
  <c r="A935" i="4"/>
  <c r="H934" i="4"/>
  <c r="G934" i="4"/>
  <c r="A934" i="4"/>
  <c r="H933" i="4"/>
  <c r="G933" i="4"/>
  <c r="A933" i="4"/>
  <c r="H932" i="4"/>
  <c r="G932" i="4"/>
  <c r="A932" i="4"/>
  <c r="H931" i="4"/>
  <c r="G931" i="4"/>
  <c r="A931" i="4"/>
  <c r="H930" i="4"/>
  <c r="G930" i="4"/>
  <c r="A930" i="4"/>
  <c r="H929" i="4"/>
  <c r="G929" i="4"/>
  <c r="A929" i="4"/>
  <c r="H928" i="4"/>
  <c r="G928" i="4"/>
  <c r="A928" i="4"/>
  <c r="H927" i="4"/>
  <c r="G927" i="4"/>
  <c r="A927" i="4"/>
  <c r="H926" i="4"/>
  <c r="G926" i="4"/>
  <c r="A926" i="4"/>
  <c r="H925" i="4"/>
  <c r="G925" i="4"/>
  <c r="A925" i="4"/>
  <c r="H924" i="4"/>
  <c r="G924" i="4"/>
  <c r="A924" i="4"/>
  <c r="H923" i="4"/>
  <c r="G923" i="4"/>
  <c r="A923" i="4"/>
  <c r="H922" i="4"/>
  <c r="G922" i="4"/>
  <c r="A922" i="4"/>
  <c r="H921" i="4"/>
  <c r="G921" i="4"/>
  <c r="A921" i="4"/>
  <c r="H920" i="4"/>
  <c r="G920" i="4"/>
  <c r="A920" i="4"/>
  <c r="H919" i="4"/>
  <c r="G919" i="4"/>
  <c r="A919" i="4"/>
  <c r="H918" i="4"/>
  <c r="G918" i="4"/>
  <c r="A918" i="4"/>
  <c r="H917" i="4"/>
  <c r="G917" i="4"/>
  <c r="A917" i="4"/>
  <c r="H915" i="4"/>
  <c r="G915" i="4"/>
  <c r="A915" i="4"/>
  <c r="A914" i="4"/>
  <c r="H913" i="4"/>
  <c r="G913" i="4"/>
  <c r="A913" i="4"/>
  <c r="A912" i="4"/>
  <c r="H911" i="4"/>
  <c r="G911" i="4"/>
  <c r="A911" i="4"/>
  <c r="A910" i="4"/>
  <c r="H909" i="4"/>
  <c r="G909" i="4"/>
  <c r="A909" i="4"/>
  <c r="H908" i="4"/>
  <c r="G908" i="4"/>
  <c r="A908" i="4"/>
  <c r="H907" i="4"/>
  <c r="G907" i="4"/>
  <c r="A907" i="4"/>
  <c r="H906" i="4"/>
  <c r="G906" i="4"/>
  <c r="A906" i="4"/>
  <c r="H905" i="4"/>
  <c r="G905" i="4"/>
  <c r="A905" i="4"/>
  <c r="H904" i="4"/>
  <c r="G904" i="4"/>
  <c r="A904" i="4"/>
  <c r="H903" i="4"/>
  <c r="G903" i="4"/>
  <c r="A903" i="4"/>
  <c r="H902" i="4"/>
  <c r="G902" i="4"/>
  <c r="A902" i="4"/>
  <c r="A901" i="4"/>
  <c r="H900" i="4"/>
  <c r="G900" i="4"/>
  <c r="AY161" i="6" s="1"/>
  <c r="A900" i="4"/>
  <c r="A899" i="4"/>
  <c r="H898" i="4"/>
  <c r="G898" i="4"/>
  <c r="A898" i="4"/>
  <c r="H897" i="4"/>
  <c r="G897" i="4"/>
  <c r="A897" i="4"/>
  <c r="H896" i="4"/>
  <c r="G896" i="4"/>
  <c r="A896" i="4"/>
  <c r="H895" i="4"/>
  <c r="G895" i="4"/>
  <c r="A895" i="4"/>
  <c r="H894" i="4"/>
  <c r="G894" i="4"/>
  <c r="A894" i="4"/>
  <c r="H893" i="4"/>
  <c r="G893" i="4"/>
  <c r="A893" i="4"/>
  <c r="H892" i="4"/>
  <c r="G892" i="4"/>
  <c r="A892" i="4"/>
  <c r="H891" i="4"/>
  <c r="G891" i="4"/>
  <c r="A891" i="4"/>
  <c r="H890" i="4"/>
  <c r="G890" i="4"/>
  <c r="A890" i="4"/>
  <c r="H889" i="4"/>
  <c r="G889" i="4"/>
  <c r="A889" i="4"/>
  <c r="H888" i="4"/>
  <c r="G888" i="4"/>
  <c r="A888" i="4"/>
  <c r="H887" i="4"/>
  <c r="G887" i="4"/>
  <c r="A887" i="4"/>
  <c r="H886" i="4"/>
  <c r="G886" i="4"/>
  <c r="A886" i="4"/>
  <c r="H885" i="4"/>
  <c r="G885" i="4"/>
  <c r="A885" i="4"/>
  <c r="H884" i="4"/>
  <c r="G884" i="4"/>
  <c r="A884" i="4"/>
  <c r="H882" i="4"/>
  <c r="G882" i="4"/>
  <c r="A882" i="4"/>
  <c r="A881" i="4"/>
  <c r="H880" i="4"/>
  <c r="G880" i="4"/>
  <c r="A880" i="4"/>
  <c r="H879" i="4"/>
  <c r="G879" i="4"/>
  <c r="A879" i="4"/>
  <c r="A878" i="4"/>
  <c r="H877" i="4"/>
  <c r="G877" i="4"/>
  <c r="A877" i="4"/>
  <c r="A876" i="4"/>
  <c r="H875" i="4"/>
  <c r="G875" i="4"/>
  <c r="A875" i="4"/>
  <c r="H874" i="4"/>
  <c r="G874" i="4"/>
  <c r="A874" i="4"/>
  <c r="H873" i="4"/>
  <c r="G873" i="4"/>
  <c r="A873" i="4"/>
  <c r="H872" i="4"/>
  <c r="G872" i="4"/>
  <c r="A872" i="4"/>
  <c r="H871" i="4"/>
  <c r="G871" i="4"/>
  <c r="A871" i="4"/>
  <c r="A870" i="4"/>
  <c r="H869" i="4"/>
  <c r="G869" i="4"/>
  <c r="A869" i="4"/>
  <c r="A868" i="4"/>
  <c r="H867" i="4"/>
  <c r="G867" i="4"/>
  <c r="AY155" i="6" s="1"/>
  <c r="A867" i="4"/>
  <c r="H865" i="4"/>
  <c r="G865" i="4"/>
  <c r="A865" i="4"/>
  <c r="H864" i="4"/>
  <c r="G864" i="4"/>
  <c r="A864" i="4"/>
  <c r="H863" i="4"/>
  <c r="G863" i="4"/>
  <c r="A863" i="4"/>
  <c r="H862" i="4"/>
  <c r="G862" i="4"/>
  <c r="A862" i="4"/>
  <c r="H861" i="4"/>
  <c r="G861" i="4"/>
  <c r="A861" i="4"/>
  <c r="A860" i="4"/>
  <c r="H859" i="4"/>
  <c r="G859" i="4"/>
  <c r="A859" i="4"/>
  <c r="A858" i="4"/>
  <c r="H857" i="4"/>
  <c r="G857" i="4"/>
  <c r="A857" i="4"/>
  <c r="H856" i="4"/>
  <c r="G856" i="4"/>
  <c r="A856" i="4"/>
  <c r="H854" i="4"/>
  <c r="G854" i="4"/>
  <c r="A854" i="4"/>
  <c r="H853" i="4"/>
  <c r="G853" i="4"/>
  <c r="A853" i="4"/>
  <c r="H852" i="4"/>
  <c r="G852" i="4"/>
  <c r="A852" i="4"/>
  <c r="H851" i="4"/>
  <c r="G851" i="4"/>
  <c r="A851" i="4"/>
  <c r="H850" i="4"/>
  <c r="G850" i="4"/>
  <c r="A850" i="4"/>
  <c r="A849" i="4"/>
  <c r="H848" i="4"/>
  <c r="G848" i="4"/>
  <c r="A848" i="4"/>
  <c r="A847" i="4"/>
  <c r="H846" i="4"/>
  <c r="G846" i="4"/>
  <c r="A846" i="4"/>
  <c r="H845" i="4"/>
  <c r="G845" i="4"/>
  <c r="A845" i="4"/>
  <c r="H844" i="4"/>
  <c r="G844" i="4"/>
  <c r="A844" i="4"/>
  <c r="H843" i="4"/>
  <c r="G843" i="4"/>
  <c r="A843" i="4"/>
  <c r="A842" i="4"/>
  <c r="H841" i="4"/>
  <c r="G841" i="4"/>
  <c r="A841" i="4"/>
  <c r="H840" i="4"/>
  <c r="G840" i="4"/>
  <c r="A840" i="4"/>
  <c r="A839" i="4"/>
  <c r="H838" i="4"/>
  <c r="G838" i="4"/>
  <c r="A838" i="4"/>
  <c r="A837" i="4"/>
  <c r="H836" i="4"/>
  <c r="G836" i="4"/>
  <c r="A836" i="4"/>
  <c r="H835" i="4"/>
  <c r="G835" i="4"/>
  <c r="A835" i="4"/>
  <c r="H834" i="4"/>
  <c r="G834" i="4"/>
  <c r="A834" i="4"/>
  <c r="H833" i="4"/>
  <c r="G833" i="4"/>
  <c r="A833" i="4"/>
  <c r="I832" i="4"/>
  <c r="H832" i="4"/>
  <c r="A941" i="4" l="1"/>
  <c r="A942" i="4"/>
  <c r="A939" i="4"/>
  <c r="A1051" i="4"/>
  <c r="A1053" i="4"/>
  <c r="A1055" i="4"/>
  <c r="A1057" i="4"/>
  <c r="A1059" i="4"/>
  <c r="A1061" i="4"/>
  <c r="A181" i="6"/>
  <c r="A943" i="4"/>
  <c r="B951" i="4"/>
  <c r="B1011" i="4"/>
  <c r="B1160" i="4"/>
  <c r="B1007" i="4"/>
  <c r="B1082" i="4"/>
  <c r="B1179" i="4"/>
  <c r="B1207" i="4"/>
  <c r="B901" i="4"/>
  <c r="B914" i="4"/>
  <c r="B1167" i="4"/>
  <c r="B1204" i="4"/>
  <c r="B1045" i="4"/>
  <c r="B1214" i="4"/>
  <c r="B1024" i="4"/>
  <c r="B1106" i="4"/>
  <c r="B1158" i="4"/>
  <c r="B1200" i="4"/>
  <c r="B1210" i="4"/>
  <c r="B1212" i="4"/>
  <c r="B1230" i="4"/>
  <c r="B1234" i="4"/>
  <c r="B1026" i="4"/>
  <c r="B1239" i="4"/>
  <c r="B1285" i="4"/>
  <c r="B1050" i="4"/>
  <c r="B1236" i="4"/>
  <c r="B1289" i="4"/>
  <c r="B842" i="4"/>
  <c r="B849" i="4"/>
  <c r="B860" i="4"/>
  <c r="B1255" i="4"/>
  <c r="B1281" i="4"/>
  <c r="B1283" i="4"/>
  <c r="B1149" i="4"/>
  <c r="B1273" i="4"/>
  <c r="B839" i="4"/>
  <c r="B878" i="4"/>
  <c r="B960" i="4"/>
  <c r="B1186" i="4"/>
  <c r="B1221" i="4"/>
  <c r="B971" i="4"/>
  <c r="B936" i="4"/>
  <c r="B969" i="4"/>
  <c r="B1005" i="4"/>
  <c r="B847" i="4"/>
  <c r="B876" i="4"/>
  <c r="B910" i="4"/>
  <c r="B912" i="4"/>
  <c r="B1060" i="4"/>
  <c r="B1104" i="4"/>
  <c r="B1250" i="4"/>
  <c r="B1260" i="4"/>
  <c r="B868" i="4"/>
  <c r="B870" i="4"/>
  <c r="B881" i="4"/>
  <c r="B939" i="4"/>
  <c r="B974" i="4"/>
  <c r="B992" i="4"/>
  <c r="B1040" i="4"/>
  <c r="B1043" i="4"/>
  <c r="B1097" i="4"/>
  <c r="B1108" i="4"/>
  <c r="B1138" i="4"/>
  <c r="B1194" i="4"/>
  <c r="B1196" i="4"/>
  <c r="B1217" i="4"/>
  <c r="B1226" i="4"/>
  <c r="B1228" i="4"/>
  <c r="B1244" i="4"/>
  <c r="B1269" i="4"/>
  <c r="B1271" i="4"/>
  <c r="B944" i="4"/>
  <c r="B1062" i="4"/>
  <c r="B1130" i="4"/>
  <c r="B1262" i="4"/>
  <c r="B986" i="4"/>
  <c r="B1246" i="4"/>
  <c r="B837" i="4"/>
  <c r="B858" i="4"/>
  <c r="B899" i="4"/>
  <c r="B957" i="4"/>
  <c r="B1183" i="4"/>
  <c r="B1202" i="4"/>
  <c r="B1224" i="4"/>
  <c r="B1232" i="4"/>
  <c r="B1241" i="4"/>
  <c r="B1252" i="4"/>
  <c r="B1267" i="4"/>
  <c r="B1279" i="4"/>
  <c r="G832" i="4"/>
  <c r="A832" i="4"/>
  <c r="H831" i="4"/>
  <c r="G831" i="4"/>
  <c r="A831" i="4"/>
  <c r="H830" i="4"/>
  <c r="G830" i="4"/>
  <c r="A830" i="4"/>
  <c r="H829" i="4"/>
  <c r="G829" i="4"/>
  <c r="A829" i="4"/>
  <c r="H828" i="4"/>
  <c r="G828" i="4"/>
  <c r="A828" i="4"/>
  <c r="H827" i="4"/>
  <c r="G827" i="4"/>
  <c r="A827" i="4"/>
  <c r="A826" i="4"/>
  <c r="H825" i="4"/>
  <c r="G825" i="4"/>
  <c r="A825" i="4"/>
  <c r="H823" i="4"/>
  <c r="G823" i="4"/>
  <c r="A823" i="4"/>
  <c r="H822" i="4"/>
  <c r="G822" i="4"/>
  <c r="A822" i="4"/>
  <c r="H821" i="4"/>
  <c r="G821" i="4"/>
  <c r="A821" i="4"/>
  <c r="A820" i="4"/>
  <c r="H819" i="4"/>
  <c r="G819" i="4"/>
  <c r="A819" i="4"/>
  <c r="H818" i="4"/>
  <c r="G818" i="4"/>
  <c r="A818" i="4"/>
  <c r="H817" i="4"/>
  <c r="G817" i="4"/>
  <c r="A817" i="4"/>
  <c r="H816" i="4"/>
  <c r="G816" i="4"/>
  <c r="A816" i="4"/>
  <c r="H815" i="4"/>
  <c r="G815" i="4"/>
  <c r="A815" i="4"/>
  <c r="H814" i="4"/>
  <c r="G814" i="4"/>
  <c r="A814" i="4"/>
  <c r="H813" i="4"/>
  <c r="G813" i="4"/>
  <c r="A813" i="4"/>
  <c r="H812" i="4"/>
  <c r="G812" i="4"/>
  <c r="A812" i="4"/>
  <c r="H811" i="4"/>
  <c r="G811" i="4"/>
  <c r="A811" i="4"/>
  <c r="A810" i="4"/>
  <c r="H809" i="4"/>
  <c r="G809" i="4"/>
  <c r="A809" i="4"/>
  <c r="A808" i="4"/>
  <c r="H807" i="4"/>
  <c r="G807" i="4"/>
  <c r="A807" i="4"/>
  <c r="H806" i="4"/>
  <c r="G806" i="4"/>
  <c r="A806" i="4"/>
  <c r="H805" i="4"/>
  <c r="G805" i="4"/>
  <c r="A805" i="4"/>
  <c r="H804" i="4"/>
  <c r="G804" i="4"/>
  <c r="A804" i="4"/>
  <c r="H803" i="4"/>
  <c r="G803" i="4"/>
  <c r="A803" i="4"/>
  <c r="H800" i="4"/>
  <c r="G800" i="4"/>
  <c r="A800" i="4"/>
  <c r="H799" i="4"/>
  <c r="G799" i="4"/>
  <c r="A799" i="4"/>
  <c r="A798" i="4"/>
  <c r="H797" i="4"/>
  <c r="G797" i="4"/>
  <c r="A797" i="4"/>
  <c r="A796" i="4"/>
  <c r="H795" i="4"/>
  <c r="G795" i="4"/>
  <c r="A795" i="4"/>
  <c r="H793" i="4"/>
  <c r="G793" i="4"/>
  <c r="A793" i="4"/>
  <c r="H792" i="4"/>
  <c r="G792" i="4"/>
  <c r="A792" i="4"/>
  <c r="A791" i="4"/>
  <c r="H790" i="4"/>
  <c r="G790" i="4"/>
  <c r="A790" i="4"/>
  <c r="H789" i="4"/>
  <c r="G789" i="4"/>
  <c r="A789" i="4"/>
  <c r="H788" i="4"/>
  <c r="G788" i="4"/>
  <c r="A788" i="4"/>
  <c r="H787" i="4"/>
  <c r="G787" i="4"/>
  <c r="A787" i="4"/>
  <c r="H786" i="4"/>
  <c r="G786" i="4"/>
  <c r="A786" i="4"/>
  <c r="H785" i="4"/>
  <c r="G785" i="4"/>
  <c r="A785" i="4"/>
  <c r="H784" i="4"/>
  <c r="G784" i="4"/>
  <c r="A784" i="4"/>
  <c r="A783" i="4"/>
  <c r="H782" i="4"/>
  <c r="G782" i="4"/>
  <c r="A782" i="4"/>
  <c r="A781" i="4"/>
  <c r="H780" i="4"/>
  <c r="G780" i="4"/>
  <c r="A780" i="4"/>
  <c r="H779" i="4"/>
  <c r="G779" i="4"/>
  <c r="A779" i="4"/>
  <c r="H778" i="4"/>
  <c r="G778" i="4"/>
  <c r="A778" i="4"/>
  <c r="H777" i="4"/>
  <c r="G777" i="4"/>
  <c r="A777" i="4"/>
  <c r="H776" i="4"/>
  <c r="G776" i="4"/>
  <c r="A776" i="4"/>
  <c r="H775" i="4"/>
  <c r="G775" i="4"/>
  <c r="A775" i="4"/>
  <c r="A774" i="4"/>
  <c r="H773" i="4"/>
  <c r="G773" i="4"/>
  <c r="A773" i="4"/>
  <c r="A772" i="4"/>
  <c r="H771" i="4"/>
  <c r="G771" i="4"/>
  <c r="A771" i="4"/>
  <c r="H770" i="4"/>
  <c r="G770" i="4"/>
  <c r="A770" i="4"/>
  <c r="H769" i="4"/>
  <c r="G769" i="4"/>
  <c r="A769" i="4"/>
  <c r="H768" i="4"/>
  <c r="G768" i="4"/>
  <c r="A768" i="4"/>
  <c r="H767" i="4"/>
  <c r="G767" i="4"/>
  <c r="A767" i="4"/>
  <c r="H766" i="4"/>
  <c r="G766" i="4"/>
  <c r="A766" i="4"/>
  <c r="A765" i="4"/>
  <c r="H763" i="4"/>
  <c r="G763" i="4"/>
  <c r="A763" i="4"/>
  <c r="H762" i="4"/>
  <c r="G762" i="4"/>
  <c r="A762" i="4"/>
  <c r="A761" i="4"/>
  <c r="H760" i="4"/>
  <c r="G760" i="4"/>
  <c r="A760" i="4"/>
  <c r="H759" i="4"/>
  <c r="G759" i="4"/>
  <c r="A759" i="4"/>
  <c r="H758" i="4"/>
  <c r="G758" i="4"/>
  <c r="A758" i="4"/>
  <c r="H757" i="4"/>
  <c r="G757" i="4"/>
  <c r="A757" i="4"/>
  <c r="H756" i="4"/>
  <c r="G756" i="4"/>
  <c r="A756" i="4"/>
  <c r="H755" i="4"/>
  <c r="G755" i="4"/>
  <c r="A755" i="4"/>
  <c r="H754" i="4"/>
  <c r="G754" i="4"/>
  <c r="A754" i="4"/>
  <c r="H753" i="4"/>
  <c r="G753" i="4"/>
  <c r="A753" i="4"/>
  <c r="H752" i="4"/>
  <c r="G752" i="4"/>
  <c r="A752" i="4"/>
  <c r="A751" i="4"/>
  <c r="H750" i="4"/>
  <c r="G750" i="4"/>
  <c r="A750" i="4"/>
  <c r="A749" i="4"/>
  <c r="H748" i="4"/>
  <c r="G748" i="4"/>
  <c r="A748" i="4"/>
  <c r="H744" i="4"/>
  <c r="G744" i="4"/>
  <c r="A744" i="4"/>
  <c r="H743" i="4"/>
  <c r="G743" i="4"/>
  <c r="A743" i="4"/>
  <c r="H742" i="4"/>
  <c r="G742" i="4"/>
  <c r="A742" i="4"/>
  <c r="H741" i="4"/>
  <c r="G741" i="4"/>
  <c r="A741" i="4"/>
  <c r="H740" i="4"/>
  <c r="G740" i="4"/>
  <c r="A740" i="4"/>
  <c r="H739" i="4"/>
  <c r="G739" i="4"/>
  <c r="A739" i="4"/>
  <c r="H738" i="4"/>
  <c r="G738" i="4"/>
  <c r="A738" i="4"/>
  <c r="H737" i="4"/>
  <c r="G737" i="4"/>
  <c r="A737" i="4"/>
  <c r="H736" i="4"/>
  <c r="G736" i="4"/>
  <c r="A736" i="4"/>
  <c r="H735" i="4"/>
  <c r="G735" i="4"/>
  <c r="A735" i="4"/>
  <c r="H734" i="4"/>
  <c r="G734" i="4"/>
  <c r="A734" i="4"/>
  <c r="H733" i="4"/>
  <c r="G733" i="4"/>
  <c r="A733" i="4"/>
  <c r="A732" i="4"/>
  <c r="H731" i="4"/>
  <c r="G731" i="4"/>
  <c r="A731" i="4"/>
  <c r="I730" i="4"/>
  <c r="G730" i="4" s="1"/>
  <c r="H730" i="4"/>
  <c r="A730" i="4"/>
  <c r="H729" i="4"/>
  <c r="G729" i="4"/>
  <c r="A729" i="4"/>
  <c r="H727" i="4"/>
  <c r="G727" i="4"/>
  <c r="A727" i="4"/>
  <c r="A726" i="4"/>
  <c r="H724" i="4"/>
  <c r="G724" i="4"/>
  <c r="A724" i="4"/>
  <c r="A723" i="4"/>
  <c r="H721" i="4"/>
  <c r="G721" i="4"/>
  <c r="A721" i="4"/>
  <c r="H720" i="4"/>
  <c r="G720" i="4"/>
  <c r="A720" i="4"/>
  <c r="H719" i="4"/>
  <c r="G719" i="4"/>
  <c r="A719" i="4"/>
  <c r="H718" i="4"/>
  <c r="G718" i="4"/>
  <c r="A718" i="4"/>
  <c r="A717" i="4"/>
  <c r="H716" i="4"/>
  <c r="G716" i="4"/>
  <c r="A716" i="4"/>
  <c r="H715" i="4"/>
  <c r="G715" i="4"/>
  <c r="A715" i="4"/>
  <c r="H714" i="4"/>
  <c r="G714" i="4"/>
  <c r="A714" i="4"/>
  <c r="H713" i="4"/>
  <c r="G713" i="4"/>
  <c r="A713" i="4"/>
  <c r="H710" i="4"/>
  <c r="G710" i="4"/>
  <c r="A710" i="4"/>
  <c r="H709" i="4"/>
  <c r="G709" i="4"/>
  <c r="A709" i="4"/>
  <c r="A708" i="4"/>
  <c r="H706" i="4"/>
  <c r="G706" i="4"/>
  <c r="A706" i="4"/>
  <c r="H703" i="4"/>
  <c r="G703" i="4"/>
  <c r="A703" i="4"/>
  <c r="H702" i="4"/>
  <c r="G702" i="4"/>
  <c r="A702" i="4"/>
  <c r="H699" i="4"/>
  <c r="G699" i="4"/>
  <c r="A699" i="4"/>
  <c r="A698" i="4"/>
  <c r="H697" i="4"/>
  <c r="G697" i="4"/>
  <c r="A697" i="4"/>
  <c r="H693" i="4"/>
  <c r="G693" i="4"/>
  <c r="A693" i="4"/>
  <c r="A692" i="4"/>
  <c r="H691" i="4"/>
  <c r="G691" i="4"/>
  <c r="A691" i="4"/>
  <c r="H690" i="4"/>
  <c r="G690" i="4"/>
  <c r="A690" i="4"/>
  <c r="H689" i="4"/>
  <c r="G689" i="4"/>
  <c r="A689" i="4"/>
  <c r="H688" i="4"/>
  <c r="G688" i="4"/>
  <c r="A688" i="4"/>
  <c r="H686" i="4"/>
  <c r="G686" i="4"/>
  <c r="A686" i="4"/>
  <c r="H685" i="4"/>
  <c r="G685" i="4"/>
  <c r="A685" i="4"/>
  <c r="H683" i="4"/>
  <c r="G683" i="4"/>
  <c r="A683" i="4"/>
  <c r="H682" i="4"/>
  <c r="G682" i="4"/>
  <c r="A682" i="4"/>
  <c r="A681" i="4"/>
  <c r="H680" i="4"/>
  <c r="G680" i="4"/>
  <c r="AY125" i="6" s="1"/>
  <c r="A680" i="4"/>
  <c r="H679" i="4"/>
  <c r="G679" i="4"/>
  <c r="A679" i="4"/>
  <c r="H677" i="4"/>
  <c r="G677" i="4"/>
  <c r="A677" i="4"/>
  <c r="A676" i="4"/>
  <c r="H668" i="4"/>
  <c r="A668" i="4"/>
  <c r="A667" i="4"/>
  <c r="H666" i="4"/>
  <c r="G666" i="4"/>
  <c r="A666" i="4"/>
  <c r="H665" i="4"/>
  <c r="G665" i="4"/>
  <c r="A665" i="4"/>
  <c r="H664" i="4"/>
  <c r="G664" i="4"/>
  <c r="A664" i="4"/>
  <c r="H663" i="4"/>
  <c r="G663" i="4"/>
  <c r="A663" i="4"/>
  <c r="A662" i="4"/>
  <c r="H661" i="4"/>
  <c r="G661" i="4"/>
  <c r="A661" i="4"/>
  <c r="H660" i="4"/>
  <c r="G660" i="4"/>
  <c r="A660" i="4"/>
  <c r="H659" i="4"/>
  <c r="G659" i="4"/>
  <c r="A659" i="4"/>
  <c r="A658" i="4"/>
  <c r="H656" i="4"/>
  <c r="G656" i="4"/>
  <c r="AY121" i="6" s="1"/>
  <c r="A656" i="4"/>
  <c r="H654" i="4"/>
  <c r="G654" i="4"/>
  <c r="A654" i="4"/>
  <c r="I653" i="4"/>
  <c r="H653" i="4"/>
  <c r="A1065" i="4" l="1"/>
  <c r="A1071" i="4"/>
  <c r="A1070" i="4"/>
  <c r="A1067" i="4"/>
  <c r="A1069" i="4"/>
  <c r="A1066" i="4"/>
  <c r="A1068" i="4"/>
  <c r="A1064" i="4"/>
  <c r="A182" i="6"/>
  <c r="A1095" i="4" s="1"/>
  <c r="A1081" i="4"/>
  <c r="A1079" i="4"/>
  <c r="A1078" i="4"/>
  <c r="A1077" i="4"/>
  <c r="A1075" i="4"/>
  <c r="A1073" i="4"/>
  <c r="A1063" i="4"/>
  <c r="A1080" i="4"/>
  <c r="A1076" i="4"/>
  <c r="A1074" i="4"/>
  <c r="A1072" i="4"/>
  <c r="A1062" i="4"/>
  <c r="B820" i="4"/>
  <c r="B662" i="4"/>
  <c r="B667" i="4"/>
  <c r="B761" i="4"/>
  <c r="B708" i="4"/>
  <c r="B765" i="4"/>
  <c r="B658" i="4"/>
  <c r="B698" i="4"/>
  <c r="B717" i="4"/>
  <c r="B751" i="4"/>
  <c r="B732" i="4"/>
  <c r="B796" i="4"/>
  <c r="B808" i="4"/>
  <c r="B826" i="4"/>
  <c r="B749" i="4"/>
  <c r="B772" i="4"/>
  <c r="B774" i="4"/>
  <c r="B798" i="4"/>
  <c r="B676" i="4"/>
  <c r="B681" i="4"/>
  <c r="B692" i="4"/>
  <c r="B723" i="4"/>
  <c r="B726" i="4"/>
  <c r="B783" i="4"/>
  <c r="B791" i="4"/>
  <c r="B810" i="4"/>
  <c r="B781" i="4"/>
  <c r="G653" i="4"/>
  <c r="A653" i="4"/>
  <c r="H652" i="4"/>
  <c r="G652" i="4"/>
  <c r="A652" i="4"/>
  <c r="H651" i="4"/>
  <c r="G651" i="4"/>
  <c r="A651" i="4"/>
  <c r="A650" i="4"/>
  <c r="H648" i="4"/>
  <c r="G648" i="4"/>
  <c r="A648" i="4"/>
  <c r="H647" i="4"/>
  <c r="G647" i="4"/>
  <c r="A647" i="4"/>
  <c r="H646" i="4"/>
  <c r="G646" i="4"/>
  <c r="A646" i="4"/>
  <c r="H645" i="4"/>
  <c r="G645" i="4"/>
  <c r="A645" i="4"/>
  <c r="H644" i="4"/>
  <c r="G644" i="4"/>
  <c r="A644" i="4"/>
  <c r="H643" i="4"/>
  <c r="G643" i="4"/>
  <c r="A643" i="4"/>
  <c r="H642" i="4"/>
  <c r="G642" i="4"/>
  <c r="A642" i="4"/>
  <c r="H641" i="4"/>
  <c r="G641" i="4"/>
  <c r="A641" i="4"/>
  <c r="H640" i="4"/>
  <c r="G640" i="4"/>
  <c r="A640" i="4"/>
  <c r="A639" i="4"/>
  <c r="H638" i="4"/>
  <c r="G638" i="4"/>
  <c r="A638" i="4"/>
  <c r="H637" i="4"/>
  <c r="G637" i="4"/>
  <c r="A637" i="4"/>
  <c r="H636" i="4"/>
  <c r="G636" i="4"/>
  <c r="A636" i="4"/>
  <c r="A635" i="4"/>
  <c r="H633" i="4"/>
  <c r="G633" i="4"/>
  <c r="A633" i="4"/>
  <c r="H632" i="4"/>
  <c r="G632" i="4"/>
  <c r="A632" i="4"/>
  <c r="H631" i="4"/>
  <c r="G631" i="4"/>
  <c r="A631" i="4"/>
  <c r="H630" i="4"/>
  <c r="G630" i="4"/>
  <c r="A630" i="4"/>
  <c r="H627" i="4"/>
  <c r="G627" i="4"/>
  <c r="A627" i="4"/>
  <c r="H626" i="4"/>
  <c r="G626" i="4"/>
  <c r="A626" i="4"/>
  <c r="A625" i="4"/>
  <c r="H623" i="4"/>
  <c r="G623" i="4"/>
  <c r="A623" i="4"/>
  <c r="H622" i="4"/>
  <c r="G622" i="4"/>
  <c r="A622" i="4"/>
  <c r="H621" i="4"/>
  <c r="G621" i="4"/>
  <c r="A621" i="4"/>
  <c r="A620" i="4"/>
  <c r="H619" i="4"/>
  <c r="G619" i="4"/>
  <c r="A619" i="4"/>
  <c r="H618" i="4"/>
  <c r="G618" i="4"/>
  <c r="A618" i="4"/>
  <c r="A617" i="4"/>
  <c r="H616" i="4"/>
  <c r="G616" i="4"/>
  <c r="A616" i="4"/>
  <c r="H613" i="4"/>
  <c r="G613" i="4"/>
  <c r="A613" i="4"/>
  <c r="A612" i="4"/>
  <c r="H610" i="4"/>
  <c r="G610" i="4"/>
  <c r="A610" i="4"/>
  <c r="H607" i="4"/>
  <c r="G607" i="4"/>
  <c r="A607" i="4"/>
  <c r="H606" i="4"/>
  <c r="G606" i="4"/>
  <c r="A606" i="4"/>
  <c r="A605" i="4"/>
  <c r="H603" i="4"/>
  <c r="G603" i="4"/>
  <c r="A603" i="4"/>
  <c r="H602" i="4"/>
  <c r="G602" i="4"/>
  <c r="A602" i="4"/>
  <c r="H599" i="4"/>
  <c r="G599" i="4"/>
  <c r="A599" i="4"/>
  <c r="H598" i="4"/>
  <c r="G598" i="4"/>
  <c r="A598" i="4"/>
  <c r="H597" i="4"/>
  <c r="G597" i="4"/>
  <c r="A597" i="4"/>
  <c r="H596" i="4"/>
  <c r="G596" i="4"/>
  <c r="A596" i="4"/>
  <c r="H595" i="4"/>
  <c r="G595" i="4"/>
  <c r="A595" i="4"/>
  <c r="A594" i="4"/>
  <c r="H593" i="4"/>
  <c r="G593" i="4"/>
  <c r="A593" i="4"/>
  <c r="H592" i="4"/>
  <c r="G592" i="4"/>
  <c r="A592" i="4"/>
  <c r="A591" i="4"/>
  <c r="H590" i="4"/>
  <c r="G590" i="4"/>
  <c r="A590" i="4"/>
  <c r="H588" i="4"/>
  <c r="G588" i="4"/>
  <c r="A588" i="4"/>
  <c r="H587" i="4"/>
  <c r="G587" i="4"/>
  <c r="A587" i="4"/>
  <c r="A586" i="4"/>
  <c r="H584" i="4"/>
  <c r="G584" i="4"/>
  <c r="AY109" i="6" s="1"/>
  <c r="A584" i="4"/>
  <c r="A583" i="4"/>
  <c r="H582" i="4"/>
  <c r="G582" i="4"/>
  <c r="A582" i="4"/>
  <c r="A581" i="4"/>
  <c r="H580" i="4"/>
  <c r="G580" i="4"/>
  <c r="A580" i="4"/>
  <c r="H578" i="4"/>
  <c r="G578" i="4"/>
  <c r="A578" i="4"/>
  <c r="H577" i="4"/>
  <c r="G577" i="4"/>
  <c r="A577" i="4"/>
  <c r="H575" i="4"/>
  <c r="G575" i="4"/>
  <c r="A575" i="4"/>
  <c r="A574" i="4"/>
  <c r="H573" i="4"/>
  <c r="G573" i="4"/>
  <c r="A573" i="4"/>
  <c r="A572" i="4"/>
  <c r="H570" i="4"/>
  <c r="G570" i="4"/>
  <c r="A570" i="4"/>
  <c r="A569" i="4"/>
  <c r="H568" i="4"/>
  <c r="G568" i="4"/>
  <c r="A568" i="4"/>
  <c r="H564" i="4"/>
  <c r="G564" i="4"/>
  <c r="A564" i="4"/>
  <c r="H563" i="4"/>
  <c r="G563" i="4"/>
  <c r="A563" i="4"/>
  <c r="H562" i="4"/>
  <c r="G562" i="4"/>
  <c r="A562" i="4"/>
  <c r="H561" i="4"/>
  <c r="G561" i="4"/>
  <c r="A561" i="4"/>
  <c r="H560" i="4"/>
  <c r="G560" i="4"/>
  <c r="A560" i="4"/>
  <c r="H559" i="4"/>
  <c r="G559" i="4"/>
  <c r="A559" i="4"/>
  <c r="H558" i="4"/>
  <c r="G558" i="4"/>
  <c r="A558" i="4"/>
  <c r="H557" i="4"/>
  <c r="G557" i="4"/>
  <c r="A557" i="4"/>
  <c r="A556" i="4"/>
  <c r="H555" i="4"/>
  <c r="G555" i="4"/>
  <c r="A555" i="4"/>
  <c r="H554" i="4"/>
  <c r="G554" i="4"/>
  <c r="A554" i="4"/>
  <c r="H552" i="4"/>
  <c r="G552" i="4"/>
  <c r="A552" i="4"/>
  <c r="H551" i="4"/>
  <c r="G551" i="4"/>
  <c r="A551" i="4"/>
  <c r="H550" i="4"/>
  <c r="G550" i="4"/>
  <c r="A550" i="4"/>
  <c r="H549" i="4"/>
  <c r="G549" i="4"/>
  <c r="A549" i="4"/>
  <c r="H548" i="4"/>
  <c r="G548" i="4"/>
  <c r="A548" i="4"/>
  <c r="A547" i="4"/>
  <c r="H546" i="4"/>
  <c r="G546" i="4"/>
  <c r="A546" i="4"/>
  <c r="H545" i="4"/>
  <c r="G545" i="4"/>
  <c r="A545" i="4"/>
  <c r="H544" i="4"/>
  <c r="G544" i="4"/>
  <c r="A544" i="4"/>
  <c r="H543" i="4"/>
  <c r="G543" i="4"/>
  <c r="A543" i="4"/>
  <c r="H542" i="4"/>
  <c r="G542" i="4"/>
  <c r="A542" i="4"/>
  <c r="H540" i="4"/>
  <c r="G540" i="4"/>
  <c r="A540" i="4"/>
  <c r="H539" i="4"/>
  <c r="G539" i="4"/>
  <c r="A539" i="4"/>
  <c r="H538" i="4"/>
  <c r="G538" i="4"/>
  <c r="A538" i="4"/>
  <c r="H537" i="4"/>
  <c r="G537" i="4"/>
  <c r="A537" i="4"/>
  <c r="H536" i="4"/>
  <c r="G536" i="4"/>
  <c r="A536" i="4"/>
  <c r="A535" i="4"/>
  <c r="H534" i="4"/>
  <c r="G534" i="4"/>
  <c r="A534" i="4"/>
  <c r="H533" i="4"/>
  <c r="G533" i="4"/>
  <c r="A533" i="4"/>
  <c r="H532" i="4"/>
  <c r="G532" i="4"/>
  <c r="A532" i="4"/>
  <c r="H531" i="4"/>
  <c r="G531" i="4"/>
  <c r="A531" i="4"/>
  <c r="H530" i="4"/>
  <c r="G530" i="4"/>
  <c r="A530" i="4"/>
  <c r="H529" i="4"/>
  <c r="G529" i="4"/>
  <c r="A529" i="4"/>
  <c r="H528" i="4"/>
  <c r="G528" i="4"/>
  <c r="A528" i="4"/>
  <c r="H527" i="4"/>
  <c r="G527" i="4"/>
  <c r="A527" i="4"/>
  <c r="H526" i="4"/>
  <c r="G526" i="4"/>
  <c r="A526" i="4"/>
  <c r="H525" i="4"/>
  <c r="G525" i="4"/>
  <c r="A525" i="4"/>
  <c r="H524" i="4"/>
  <c r="G524" i="4"/>
  <c r="A524" i="4"/>
  <c r="A523" i="4"/>
  <c r="H522" i="4"/>
  <c r="G522" i="4"/>
  <c r="A522" i="4"/>
  <c r="H520" i="4"/>
  <c r="G520" i="4"/>
  <c r="A520" i="4"/>
  <c r="H519" i="4"/>
  <c r="G519" i="4"/>
  <c r="A519" i="4"/>
  <c r="H518" i="4"/>
  <c r="G518" i="4"/>
  <c r="A518" i="4"/>
  <c r="H516" i="4"/>
  <c r="G516" i="4"/>
  <c r="A516" i="4"/>
  <c r="A515" i="4"/>
  <c r="H513" i="4"/>
  <c r="G513" i="4"/>
  <c r="A513" i="4"/>
  <c r="H512" i="4"/>
  <c r="G512" i="4"/>
  <c r="A512" i="4"/>
  <c r="H511" i="4"/>
  <c r="G511" i="4"/>
  <c r="A511" i="4"/>
  <c r="A510" i="4"/>
  <c r="H509" i="4"/>
  <c r="G509" i="4"/>
  <c r="A509" i="4"/>
  <c r="H508" i="4"/>
  <c r="G508" i="4"/>
  <c r="A508" i="4"/>
  <c r="H507" i="4"/>
  <c r="G507" i="4"/>
  <c r="A507" i="4"/>
  <c r="A506" i="4"/>
  <c r="H505" i="4"/>
  <c r="G505" i="4"/>
  <c r="A505" i="4"/>
  <c r="A504" i="4"/>
  <c r="H503" i="4"/>
  <c r="G503" i="4"/>
  <c r="A503" i="4"/>
  <c r="A502" i="4"/>
  <c r="H501" i="4"/>
  <c r="G501" i="4"/>
  <c r="A501" i="4"/>
  <c r="H500" i="4"/>
  <c r="G500" i="4"/>
  <c r="A500" i="4"/>
  <c r="A499" i="4"/>
  <c r="H498" i="4"/>
  <c r="G498" i="4"/>
  <c r="A498" i="4"/>
  <c r="A497" i="4"/>
  <c r="H496" i="4"/>
  <c r="G496" i="4"/>
  <c r="A496" i="4"/>
  <c r="H495" i="4"/>
  <c r="G495" i="4"/>
  <c r="A495" i="4"/>
  <c r="H494" i="4"/>
  <c r="G494" i="4"/>
  <c r="A494" i="4"/>
  <c r="H493" i="4"/>
  <c r="G493" i="4"/>
  <c r="A493" i="4"/>
  <c r="H492" i="4"/>
  <c r="G492" i="4"/>
  <c r="A492" i="4"/>
  <c r="A491" i="4"/>
  <c r="H490" i="4"/>
  <c r="G490" i="4"/>
  <c r="A490" i="4"/>
  <c r="A489" i="4"/>
  <c r="H486" i="4"/>
  <c r="G486" i="4"/>
  <c r="A486" i="4"/>
  <c r="A485" i="4"/>
  <c r="H484" i="4"/>
  <c r="G484" i="4"/>
  <c r="A484" i="4"/>
  <c r="H482" i="4"/>
  <c r="G482" i="4"/>
  <c r="A482" i="4"/>
  <c r="H481" i="4"/>
  <c r="G481" i="4"/>
  <c r="A481" i="4"/>
  <c r="A480" i="4"/>
  <c r="H479" i="4"/>
  <c r="G479" i="4"/>
  <c r="A479" i="4"/>
  <c r="H478" i="4"/>
  <c r="G478" i="4"/>
  <c r="A478" i="4"/>
  <c r="H477" i="4"/>
  <c r="G477" i="4"/>
  <c r="A477" i="4"/>
  <c r="H476" i="4"/>
  <c r="G476" i="4"/>
  <c r="A476" i="4"/>
  <c r="H475" i="4"/>
  <c r="G475" i="4"/>
  <c r="A475" i="4"/>
  <c r="H474" i="4"/>
  <c r="G474" i="4"/>
  <c r="A474" i="4"/>
  <c r="H473" i="4"/>
  <c r="G473" i="4"/>
  <c r="A473" i="4"/>
  <c r="H472" i="4"/>
  <c r="G472" i="4"/>
  <c r="A472" i="4"/>
  <c r="H471" i="4"/>
  <c r="G471" i="4"/>
  <c r="A471" i="4"/>
  <c r="H470" i="4"/>
  <c r="G470" i="4"/>
  <c r="A470" i="4"/>
  <c r="H469" i="4"/>
  <c r="G469" i="4"/>
  <c r="A469" i="4"/>
  <c r="G468" i="4"/>
  <c r="A468" i="4"/>
  <c r="H467" i="4"/>
  <c r="G467" i="4"/>
  <c r="A467" i="4"/>
  <c r="A466" i="4"/>
  <c r="H465" i="4"/>
  <c r="G465" i="4"/>
  <c r="A465" i="4"/>
  <c r="A464" i="4"/>
  <c r="H463" i="4"/>
  <c r="G463" i="4"/>
  <c r="A463" i="4"/>
  <c r="H461" i="4"/>
  <c r="G461" i="4"/>
  <c r="A461" i="4"/>
  <c r="A460" i="4"/>
  <c r="H459" i="4"/>
  <c r="G459" i="4"/>
  <c r="A459" i="4"/>
  <c r="H458" i="4"/>
  <c r="G458" i="4"/>
  <c r="A458" i="4"/>
  <c r="H457" i="4"/>
  <c r="G457" i="4"/>
  <c r="A457" i="4"/>
  <c r="H455" i="4"/>
  <c r="G455" i="4"/>
  <c r="A455" i="4"/>
  <c r="H454" i="4"/>
  <c r="G454" i="4"/>
  <c r="A454" i="4"/>
  <c r="A453" i="4"/>
  <c r="H452" i="4"/>
  <c r="G452" i="4"/>
  <c r="H450" i="4"/>
  <c r="G450" i="4"/>
  <c r="A450" i="4"/>
  <c r="H449" i="4"/>
  <c r="H448" i="4"/>
  <c r="G448" i="4"/>
  <c r="A448" i="4"/>
  <c r="H447" i="4"/>
  <c r="G447" i="4"/>
  <c r="A447" i="4"/>
  <c r="A446" i="4"/>
  <c r="H445" i="4"/>
  <c r="G445" i="4"/>
  <c r="A445" i="4"/>
  <c r="A444" i="4"/>
  <c r="H443" i="4"/>
  <c r="G443" i="4"/>
  <c r="A443" i="4"/>
  <c r="H442" i="4"/>
  <c r="G442" i="4"/>
  <c r="A442" i="4"/>
  <c r="H441" i="4"/>
  <c r="G441" i="4"/>
  <c r="A441" i="4"/>
  <c r="H440" i="4"/>
  <c r="G440" i="4"/>
  <c r="A440" i="4"/>
  <c r="H439" i="4"/>
  <c r="G439" i="4"/>
  <c r="A439" i="4"/>
  <c r="A438" i="4"/>
  <c r="H437" i="4"/>
  <c r="G437" i="4"/>
  <c r="A437" i="4"/>
  <c r="H436" i="4"/>
  <c r="G436" i="4"/>
  <c r="A436" i="4"/>
  <c r="A435" i="4"/>
  <c r="H434" i="4"/>
  <c r="G434" i="4"/>
  <c r="A434" i="4"/>
  <c r="H433" i="4"/>
  <c r="G433" i="4"/>
  <c r="A433" i="4"/>
  <c r="H432" i="4"/>
  <c r="G432" i="4"/>
  <c r="A432" i="4"/>
  <c r="H431" i="4"/>
  <c r="G431" i="4"/>
  <c r="A431" i="4"/>
  <c r="H430" i="4"/>
  <c r="G430" i="4"/>
  <c r="A430" i="4"/>
  <c r="H429" i="4"/>
  <c r="G429" i="4"/>
  <c r="A429" i="4"/>
  <c r="H428" i="4"/>
  <c r="G428" i="4"/>
  <c r="A428" i="4"/>
  <c r="H427" i="4"/>
  <c r="G427" i="4"/>
  <c r="A427" i="4"/>
  <c r="A426" i="4"/>
  <c r="H424" i="4"/>
  <c r="G424" i="4"/>
  <c r="A424" i="4"/>
  <c r="A423" i="4"/>
  <c r="H422" i="4"/>
  <c r="G422" i="4"/>
  <c r="A422" i="4"/>
  <c r="H421" i="4"/>
  <c r="G421" i="4"/>
  <c r="A421" i="4"/>
  <c r="A420" i="4"/>
  <c r="H419" i="4"/>
  <c r="G419" i="4"/>
  <c r="A419" i="4"/>
  <c r="A418" i="4"/>
  <c r="H417" i="4"/>
  <c r="G417" i="4"/>
  <c r="AY78" i="6" s="1"/>
  <c r="A417" i="4"/>
  <c r="A416" i="4"/>
  <c r="H415" i="4"/>
  <c r="G415" i="4"/>
  <c r="A415" i="4"/>
  <c r="A414" i="4"/>
  <c r="H413" i="4"/>
  <c r="G413" i="4"/>
  <c r="A413" i="4"/>
  <c r="H412" i="4"/>
  <c r="G412" i="4"/>
  <c r="A412" i="4"/>
  <c r="H411" i="4"/>
  <c r="G411" i="4"/>
  <c r="A411" i="4"/>
  <c r="A410" i="4"/>
  <c r="H409" i="4"/>
  <c r="G409" i="4"/>
  <c r="A409" i="4"/>
  <c r="A408" i="4"/>
  <c r="H407" i="4"/>
  <c r="G407" i="4"/>
  <c r="A407" i="4"/>
  <c r="H406" i="4"/>
  <c r="G406" i="4"/>
  <c r="A406" i="4"/>
  <c r="A405" i="4"/>
  <c r="H404" i="4"/>
  <c r="G404" i="4"/>
  <c r="A404" i="4"/>
  <c r="A403" i="4"/>
  <c r="H402" i="4"/>
  <c r="G402" i="4"/>
  <c r="A402" i="4"/>
  <c r="H401" i="4"/>
  <c r="G401" i="4"/>
  <c r="A401" i="4"/>
  <c r="H400" i="4"/>
  <c r="G400" i="4"/>
  <c r="A400" i="4"/>
  <c r="H399" i="4"/>
  <c r="G399" i="4"/>
  <c r="A399" i="4"/>
  <c r="A398" i="4"/>
  <c r="H397" i="4"/>
  <c r="G397" i="4"/>
  <c r="A397" i="4"/>
  <c r="H395" i="4"/>
  <c r="G395" i="4"/>
  <c r="A395" i="4"/>
  <c r="A394" i="4"/>
  <c r="H393" i="4"/>
  <c r="G393" i="4"/>
  <c r="A393" i="4"/>
  <c r="A392" i="4"/>
  <c r="H391" i="4"/>
  <c r="G391" i="4"/>
  <c r="A391" i="4"/>
  <c r="H389" i="4"/>
  <c r="G389" i="4"/>
  <c r="A389" i="4"/>
  <c r="H388" i="4"/>
  <c r="G388" i="4"/>
  <c r="A388" i="4"/>
  <c r="H387" i="4"/>
  <c r="G387" i="4"/>
  <c r="A387" i="4"/>
  <c r="H386" i="4"/>
  <c r="G386" i="4"/>
  <c r="A386" i="4"/>
  <c r="H383" i="4"/>
  <c r="G383" i="4"/>
  <c r="A383" i="4"/>
  <c r="A382" i="4"/>
  <c r="H381" i="4"/>
  <c r="G381" i="4"/>
  <c r="A381" i="4"/>
  <c r="H380" i="4"/>
  <c r="G380" i="4"/>
  <c r="A380" i="4"/>
  <c r="A379" i="4"/>
  <c r="H378" i="4"/>
  <c r="G378" i="4"/>
  <c r="A378" i="4"/>
  <c r="H377" i="4"/>
  <c r="G377" i="4"/>
  <c r="A377" i="4"/>
  <c r="H376" i="4"/>
  <c r="G376" i="4"/>
  <c r="A376" i="4"/>
  <c r="H375" i="4"/>
  <c r="G375" i="4"/>
  <c r="A375" i="4"/>
  <c r="H373" i="4"/>
  <c r="G373" i="4"/>
  <c r="A373" i="4"/>
  <c r="H372" i="4"/>
  <c r="G372" i="4"/>
  <c r="A372" i="4"/>
  <c r="H371" i="4"/>
  <c r="G371" i="4"/>
  <c r="A371" i="4"/>
  <c r="H370" i="4"/>
  <c r="G370" i="4"/>
  <c r="A370" i="4"/>
  <c r="H369" i="4"/>
  <c r="G369" i="4"/>
  <c r="A369" i="4"/>
  <c r="A368" i="4"/>
  <c r="H367" i="4"/>
  <c r="G367" i="4"/>
  <c r="A367" i="4"/>
  <c r="H366" i="4"/>
  <c r="G366" i="4"/>
  <c r="A366" i="4"/>
  <c r="H365" i="4"/>
  <c r="G365" i="4"/>
  <c r="A365" i="4"/>
  <c r="H364" i="4"/>
  <c r="G364" i="4"/>
  <c r="A364" i="4"/>
  <c r="H363" i="4"/>
  <c r="G363" i="4"/>
  <c r="A363" i="4"/>
  <c r="A362" i="4"/>
  <c r="H361" i="4"/>
  <c r="G361" i="4"/>
  <c r="A361" i="4"/>
  <c r="H359" i="4"/>
  <c r="G359" i="4"/>
  <c r="A359" i="4"/>
  <c r="A358" i="4"/>
  <c r="H357" i="4"/>
  <c r="G357" i="4"/>
  <c r="A357" i="4"/>
  <c r="H356" i="4"/>
  <c r="G356" i="4"/>
  <c r="A356" i="4"/>
  <c r="H355" i="4"/>
  <c r="G355" i="4"/>
  <c r="A355" i="4"/>
  <c r="H354" i="4"/>
  <c r="G354" i="4"/>
  <c r="A354" i="4"/>
  <c r="H353" i="4"/>
  <c r="G353" i="4"/>
  <c r="A353" i="4"/>
  <c r="H352" i="4"/>
  <c r="G352" i="4"/>
  <c r="A352" i="4"/>
  <c r="A351" i="4"/>
  <c r="H350" i="4"/>
  <c r="G350" i="4"/>
  <c r="AY63" i="6" s="1"/>
  <c r="A350" i="4"/>
  <c r="H349" i="4"/>
  <c r="G349" i="4"/>
  <c r="A349" i="4"/>
  <c r="H348" i="4"/>
  <c r="G348" i="4"/>
  <c r="A348" i="4"/>
  <c r="H346" i="4"/>
  <c r="G346" i="4"/>
  <c r="A346" i="4"/>
  <c r="H345" i="4"/>
  <c r="G345" i="4"/>
  <c r="A345" i="4"/>
  <c r="A344" i="4"/>
  <c r="H343" i="4"/>
  <c r="G343" i="4"/>
  <c r="A343" i="4"/>
  <c r="H342" i="4"/>
  <c r="G342" i="4"/>
  <c r="A342" i="4"/>
  <c r="H341" i="4"/>
  <c r="G341" i="4"/>
  <c r="A341" i="4"/>
  <c r="H340" i="4"/>
  <c r="G340" i="4"/>
  <c r="A340" i="4"/>
  <c r="H339" i="4"/>
  <c r="G339" i="4"/>
  <c r="A339" i="4"/>
  <c r="H338" i="4"/>
  <c r="G338" i="4"/>
  <c r="A338" i="4"/>
  <c r="H336" i="4"/>
  <c r="G336" i="4"/>
  <c r="A336" i="4"/>
  <c r="A335" i="4"/>
  <c r="H334" i="4"/>
  <c r="G334" i="4"/>
  <c r="A334" i="4"/>
  <c r="H333" i="4"/>
  <c r="G333" i="4"/>
  <c r="A333" i="4"/>
  <c r="H332" i="4"/>
  <c r="G332" i="4"/>
  <c r="A332" i="4"/>
  <c r="H331" i="4"/>
  <c r="G331" i="4"/>
  <c r="A331" i="4"/>
  <c r="A330" i="4"/>
  <c r="H329" i="4"/>
  <c r="G329" i="4"/>
  <c r="A329" i="4"/>
  <c r="A328" i="4"/>
  <c r="H327" i="4"/>
  <c r="G327" i="4"/>
  <c r="A327" i="4"/>
  <c r="H326" i="4"/>
  <c r="G326" i="4"/>
  <c r="A326" i="4"/>
  <c r="H325" i="4"/>
  <c r="G325" i="4"/>
  <c r="A325" i="4"/>
  <c r="H324" i="4"/>
  <c r="G324" i="4"/>
  <c r="A324" i="4"/>
  <c r="H323" i="4"/>
  <c r="G323" i="4"/>
  <c r="A323" i="4"/>
  <c r="H322" i="4"/>
  <c r="G322" i="4"/>
  <c r="A322" i="4"/>
  <c r="A321" i="4"/>
  <c r="H320" i="4"/>
  <c r="G320" i="4"/>
  <c r="A320" i="4"/>
  <c r="A319" i="4"/>
  <c r="H318" i="4"/>
  <c r="G318" i="4"/>
  <c r="A318" i="4"/>
  <c r="A317" i="4"/>
  <c r="H315" i="4"/>
  <c r="G315" i="4"/>
  <c r="A315" i="4"/>
  <c r="H314" i="4"/>
  <c r="G314" i="4"/>
  <c r="A314" i="4"/>
  <c r="H313" i="4"/>
  <c r="G313" i="4"/>
  <c r="A313" i="4"/>
  <c r="H312" i="4"/>
  <c r="G312" i="4"/>
  <c r="A312" i="4"/>
  <c r="H311" i="4"/>
  <c r="G311" i="4"/>
  <c r="A311" i="4"/>
  <c r="H310" i="4"/>
  <c r="G310" i="4"/>
  <c r="A310" i="4"/>
  <c r="H309" i="4"/>
  <c r="G309" i="4"/>
  <c r="A309" i="4"/>
  <c r="H308" i="4"/>
  <c r="G308" i="4"/>
  <c r="A308" i="4"/>
  <c r="A307" i="4"/>
  <c r="H306" i="4"/>
  <c r="G306" i="4"/>
  <c r="A306" i="4"/>
  <c r="H304" i="4"/>
  <c r="G304" i="4"/>
  <c r="A304" i="4"/>
  <c r="H303" i="4"/>
  <c r="G303" i="4"/>
  <c r="A303" i="4"/>
  <c r="H302" i="4"/>
  <c r="G302" i="4"/>
  <c r="A302" i="4"/>
  <c r="H301" i="4"/>
  <c r="G301" i="4"/>
  <c r="A301" i="4"/>
  <c r="H300" i="4"/>
  <c r="G300" i="4"/>
  <c r="A300" i="4"/>
  <c r="H299" i="4"/>
  <c r="G299" i="4"/>
  <c r="A299" i="4"/>
  <c r="H298" i="4"/>
  <c r="G298" i="4"/>
  <c r="A298" i="4"/>
  <c r="A297" i="4"/>
  <c r="H296" i="4"/>
  <c r="G296" i="4"/>
  <c r="A296" i="4"/>
  <c r="H294" i="4"/>
  <c r="G294" i="4"/>
  <c r="A294" i="4"/>
  <c r="H293" i="4"/>
  <c r="G293" i="4"/>
  <c r="A293" i="4"/>
  <c r="H292" i="4"/>
  <c r="G292" i="4"/>
  <c r="A292" i="4"/>
  <c r="H291" i="4"/>
  <c r="G291" i="4"/>
  <c r="A291" i="4"/>
  <c r="H290" i="4"/>
  <c r="G290" i="4"/>
  <c r="A290" i="4"/>
  <c r="H289" i="4"/>
  <c r="G289" i="4"/>
  <c r="A289" i="4"/>
  <c r="A288" i="4"/>
  <c r="H286" i="4"/>
  <c r="G286" i="4"/>
  <c r="A286" i="4"/>
  <c r="A285" i="4"/>
  <c r="H284" i="4"/>
  <c r="G284" i="4"/>
  <c r="A284" i="4"/>
  <c r="A283" i="4"/>
  <c r="H282" i="4"/>
  <c r="G282" i="4"/>
  <c r="A282" i="4"/>
  <c r="H281" i="4"/>
  <c r="G281" i="4"/>
  <c r="A281" i="4"/>
  <c r="H280" i="4"/>
  <c r="G280" i="4"/>
  <c r="A280" i="4"/>
  <c r="H278" i="4"/>
  <c r="G278" i="4"/>
  <c r="A278" i="4"/>
  <c r="H277" i="4"/>
  <c r="G277" i="4"/>
  <c r="A277" i="4"/>
  <c r="H276" i="4"/>
  <c r="G276" i="4"/>
  <c r="A276" i="4"/>
  <c r="H275" i="4"/>
  <c r="G275" i="4"/>
  <c r="A275" i="4"/>
  <c r="A274" i="4"/>
  <c r="H273" i="4"/>
  <c r="G273" i="4"/>
  <c r="A273" i="4"/>
  <c r="H271" i="4"/>
  <c r="G271" i="4"/>
  <c r="A271" i="4"/>
  <c r="H270" i="4"/>
  <c r="G270" i="4"/>
  <c r="A270" i="4"/>
  <c r="H269" i="4"/>
  <c r="G269" i="4"/>
  <c r="A269" i="4"/>
  <c r="H268" i="4"/>
  <c r="G268" i="4"/>
  <c r="A268" i="4"/>
  <c r="H267" i="4"/>
  <c r="G267" i="4"/>
  <c r="A267" i="4"/>
  <c r="H266" i="4"/>
  <c r="G266" i="4"/>
  <c r="A266" i="4"/>
  <c r="H265" i="4"/>
  <c r="G265" i="4"/>
  <c r="A265" i="4"/>
  <c r="A264" i="4"/>
  <c r="H262" i="4"/>
  <c r="G262" i="4"/>
  <c r="A262" i="4"/>
  <c r="H261" i="4"/>
  <c r="G261" i="4"/>
  <c r="A261" i="4"/>
  <c r="H260" i="4"/>
  <c r="G260" i="4"/>
  <c r="A260" i="4"/>
  <c r="A259" i="4"/>
  <c r="H257" i="4"/>
  <c r="G257" i="4"/>
  <c r="A257" i="4"/>
  <c r="H256" i="4"/>
  <c r="G256" i="4"/>
  <c r="A256" i="4"/>
  <c r="A255" i="4"/>
  <c r="H254" i="4"/>
  <c r="G254" i="4"/>
  <c r="A254" i="4"/>
  <c r="H253" i="4"/>
  <c r="G253" i="4"/>
  <c r="A253" i="4"/>
  <c r="H252" i="4"/>
  <c r="G252" i="4"/>
  <c r="A252" i="4"/>
  <c r="H251" i="4"/>
  <c r="G251" i="4"/>
  <c r="A251" i="4"/>
  <c r="H250" i="4"/>
  <c r="G250" i="4"/>
  <c r="A250" i="4"/>
  <c r="H249" i="4"/>
  <c r="G249" i="4"/>
  <c r="A249" i="4"/>
  <c r="H247" i="4"/>
  <c r="G247" i="4"/>
  <c r="A247" i="4"/>
  <c r="H246" i="4"/>
  <c r="G246" i="4"/>
  <c r="A246" i="4"/>
  <c r="A245" i="4"/>
  <c r="H244" i="4"/>
  <c r="G244" i="4"/>
  <c r="A244" i="4"/>
  <c r="H243" i="4"/>
  <c r="G243" i="4"/>
  <c r="A243" i="4"/>
  <c r="H241" i="4"/>
  <c r="G241" i="4"/>
  <c r="A241" i="4"/>
  <c r="H240" i="4"/>
  <c r="G240" i="4"/>
  <c r="A240" i="4"/>
  <c r="H239" i="4"/>
  <c r="G239" i="4"/>
  <c r="A239" i="4"/>
  <c r="H238" i="4"/>
  <c r="G238" i="4"/>
  <c r="A238" i="4"/>
  <c r="H237" i="4"/>
  <c r="G237" i="4"/>
  <c r="A237" i="4"/>
  <c r="H236" i="4"/>
  <c r="G236" i="4"/>
  <c r="A236" i="4"/>
  <c r="H235" i="4"/>
  <c r="G235" i="4"/>
  <c r="A235" i="4"/>
  <c r="H234" i="4"/>
  <c r="G234" i="4"/>
  <c r="A234" i="4"/>
  <c r="A233" i="4"/>
  <c r="H232" i="4"/>
  <c r="G232" i="4"/>
  <c r="A232" i="4"/>
  <c r="H231" i="4"/>
  <c r="G231" i="4"/>
  <c r="A231" i="4"/>
  <c r="H230" i="4"/>
  <c r="G230" i="4"/>
  <c r="A230" i="4"/>
  <c r="H228" i="4"/>
  <c r="G228" i="4"/>
  <c r="A228" i="4"/>
  <c r="A227" i="4"/>
  <c r="H225" i="4"/>
  <c r="G225" i="4"/>
  <c r="A225" i="4"/>
  <c r="H221" i="4"/>
  <c r="G221" i="4"/>
  <c r="A221" i="4"/>
  <c r="H220" i="4"/>
  <c r="G220" i="4"/>
  <c r="A220" i="4"/>
  <c r="A219" i="4"/>
  <c r="H217" i="4"/>
  <c r="G217" i="4"/>
  <c r="A217" i="4"/>
  <c r="H216" i="4"/>
  <c r="G216" i="4"/>
  <c r="A216" i="4"/>
  <c r="H215" i="4"/>
  <c r="G215" i="4"/>
  <c r="A215" i="4"/>
  <c r="A214" i="4"/>
  <c r="H213" i="4"/>
  <c r="G213" i="4"/>
  <c r="A213" i="4"/>
  <c r="H212" i="4"/>
  <c r="G212" i="4"/>
  <c r="A212" i="4"/>
  <c r="H211" i="4"/>
  <c r="G211" i="4"/>
  <c r="A211" i="4"/>
  <c r="A210" i="4"/>
  <c r="H208" i="4"/>
  <c r="G208" i="4"/>
  <c r="A208" i="4"/>
  <c r="A207" i="4"/>
  <c r="H204" i="4"/>
  <c r="G204" i="4"/>
  <c r="AY34" i="6" s="1"/>
  <c r="A204" i="4"/>
  <c r="H202" i="4"/>
  <c r="G202" i="4"/>
  <c r="A202" i="4"/>
  <c r="H201" i="4"/>
  <c r="G201" i="4"/>
  <c r="A201" i="4"/>
  <c r="A200" i="4"/>
  <c r="H197" i="4"/>
  <c r="G197" i="4"/>
  <c r="A197" i="4"/>
  <c r="A196" i="4"/>
  <c r="H194" i="4"/>
  <c r="G194" i="4"/>
  <c r="A194" i="4"/>
  <c r="H193" i="4"/>
  <c r="G193" i="4"/>
  <c r="A193" i="4"/>
  <c r="H192" i="4"/>
  <c r="G192" i="4"/>
  <c r="A192" i="4"/>
  <c r="H191" i="4"/>
  <c r="G191" i="4"/>
  <c r="A191" i="4"/>
  <c r="H189" i="4"/>
  <c r="G189" i="4"/>
  <c r="A189" i="4"/>
  <c r="A188" i="4"/>
  <c r="H187" i="4"/>
  <c r="G187" i="4"/>
  <c r="A187" i="4"/>
  <c r="A186" i="4"/>
  <c r="H185" i="4"/>
  <c r="G185" i="4"/>
  <c r="A185" i="4"/>
  <c r="H183" i="4"/>
  <c r="G183" i="4"/>
  <c r="A183" i="4"/>
  <c r="H182" i="4"/>
  <c r="G182" i="4"/>
  <c r="A182" i="4"/>
  <c r="H181" i="4"/>
  <c r="G181" i="4"/>
  <c r="A181" i="4"/>
  <c r="A180" i="4"/>
  <c r="H177" i="4"/>
  <c r="G177" i="4"/>
  <c r="A177" i="4"/>
  <c r="H174" i="4"/>
  <c r="G174" i="4"/>
  <c r="A174" i="4"/>
  <c r="H173" i="4"/>
  <c r="G173" i="4"/>
  <c r="A173" i="4"/>
  <c r="A172" i="4"/>
  <c r="H170" i="4"/>
  <c r="G170" i="4"/>
  <c r="A170" i="4"/>
  <c r="I169" i="4"/>
  <c r="I2125" i="4" s="1"/>
  <c r="H169" i="4"/>
  <c r="AY391" i="6" l="1"/>
  <c r="A1096" i="4"/>
  <c r="A1091" i="4"/>
  <c r="A1088" i="4"/>
  <c r="A183" i="6"/>
  <c r="A1087" i="4"/>
  <c r="A1094" i="4"/>
  <c r="A1092" i="4"/>
  <c r="A1089" i="4"/>
  <c r="A1085" i="4"/>
  <c r="A1083" i="4"/>
  <c r="A1093" i="4"/>
  <c r="A1090" i="4"/>
  <c r="A1086" i="4"/>
  <c r="A1084" i="4"/>
  <c r="A1082" i="4"/>
  <c r="B574" i="4"/>
  <c r="B382" i="4"/>
  <c r="B405" i="4"/>
  <c r="B499" i="4"/>
  <c r="B180" i="4"/>
  <c r="B485" i="4"/>
  <c r="B497" i="4"/>
  <c r="B307" i="4"/>
  <c r="B297" i="4"/>
  <c r="B321" i="4"/>
  <c r="B172" i="4"/>
  <c r="B186" i="4"/>
  <c r="B274" i="4"/>
  <c r="B285" i="4"/>
  <c r="B625" i="4"/>
  <c r="B410" i="4"/>
  <c r="B515" i="4"/>
  <c r="B635" i="4"/>
  <c r="B288" i="4"/>
  <c r="B420" i="4"/>
  <c r="B502" i="4"/>
  <c r="B569" i="4"/>
  <c r="B210" i="4"/>
  <c r="B219" i="4"/>
  <c r="B233" i="4"/>
  <c r="B255" i="4"/>
  <c r="B344" i="4"/>
  <c r="B368" i="4"/>
  <c r="B379" i="4"/>
  <c r="B466" i="4"/>
  <c r="B491" i="4"/>
  <c r="B506" i="4"/>
  <c r="B547" i="4"/>
  <c r="B605" i="4"/>
  <c r="B227" i="4"/>
  <c r="B259" i="4"/>
  <c r="B264" i="4"/>
  <c r="B335" i="4"/>
  <c r="B358" i="4"/>
  <c r="B453" i="4"/>
  <c r="B535" i="4"/>
  <c r="B586" i="4"/>
  <c r="B650" i="4"/>
  <c r="B245" i="4"/>
  <c r="B328" i="4"/>
  <c r="B416" i="4"/>
  <c r="B444" i="4"/>
  <c r="B423" i="4"/>
  <c r="B317" i="4"/>
  <c r="B319" i="4"/>
  <c r="B438" i="4"/>
  <c r="B460" i="4"/>
  <c r="B480" i="4"/>
  <c r="B510" i="4"/>
  <c r="B556" i="4"/>
  <c r="B612" i="4"/>
  <c r="B620" i="4"/>
  <c r="B188" i="4"/>
  <c r="B196" i="4"/>
  <c r="B200" i="4"/>
  <c r="B214" i="4"/>
  <c r="B283" i="4"/>
  <c r="B330" i="4"/>
  <c r="B351" i="4"/>
  <c r="B362" i="4"/>
  <c r="B392" i="4"/>
  <c r="B394" i="4"/>
  <c r="B403" i="4"/>
  <c r="B414" i="4"/>
  <c r="B435" i="4"/>
  <c r="B446" i="4"/>
  <c r="B523" i="4"/>
  <c r="B581" i="4"/>
  <c r="B583" i="4"/>
  <c r="B617" i="4"/>
  <c r="B639" i="4"/>
  <c r="B426" i="4"/>
  <c r="B594" i="4"/>
  <c r="B207" i="4"/>
  <c r="B398" i="4"/>
  <c r="B408" i="4"/>
  <c r="B418" i="4"/>
  <c r="B464" i="4"/>
  <c r="B489" i="4"/>
  <c r="B504" i="4"/>
  <c r="B572" i="4"/>
  <c r="B591" i="4"/>
  <c r="G169" i="4"/>
  <c r="A169" i="4"/>
  <c r="H168" i="4"/>
  <c r="G168" i="4"/>
  <c r="A168" i="4"/>
  <c r="H167" i="4"/>
  <c r="G167" i="4"/>
  <c r="A167" i="4"/>
  <c r="H166" i="4"/>
  <c r="G166" i="4"/>
  <c r="A166" i="4"/>
  <c r="H165" i="4"/>
  <c r="G165" i="4"/>
  <c r="A165" i="4"/>
  <c r="A164" i="4"/>
  <c r="H162" i="4"/>
  <c r="G162" i="4"/>
  <c r="A162" i="4"/>
  <c r="H161" i="4"/>
  <c r="G161" i="4"/>
  <c r="A161" i="4"/>
  <c r="H159" i="4"/>
  <c r="G159" i="4"/>
  <c r="A159" i="4"/>
  <c r="A158" i="4"/>
  <c r="H156" i="4"/>
  <c r="G156" i="4"/>
  <c r="A156" i="4"/>
  <c r="H155" i="4"/>
  <c r="G155" i="4"/>
  <c r="A155" i="4"/>
  <c r="A154" i="4"/>
  <c r="H153" i="4"/>
  <c r="G153" i="4"/>
  <c r="A153" i="4"/>
  <c r="H150" i="4"/>
  <c r="G150" i="4"/>
  <c r="A150" i="4"/>
  <c r="H149" i="4"/>
  <c r="G149" i="4"/>
  <c r="A149" i="4"/>
  <c r="H148" i="4"/>
  <c r="G148" i="4"/>
  <c r="A148" i="4"/>
  <c r="H147" i="4"/>
  <c r="G147" i="4"/>
  <c r="A147" i="4"/>
  <c r="H146" i="4"/>
  <c r="G146" i="4"/>
  <c r="A146" i="4"/>
  <c r="H145" i="4"/>
  <c r="G145" i="4"/>
  <c r="A145" i="4"/>
  <c r="H144" i="4"/>
  <c r="G144" i="4"/>
  <c r="A144" i="4"/>
  <c r="A143" i="4"/>
  <c r="H142" i="4"/>
  <c r="G142" i="4"/>
  <c r="A142" i="4"/>
  <c r="H140" i="4"/>
  <c r="G140" i="4"/>
  <c r="A140" i="4"/>
  <c r="H139" i="4"/>
  <c r="G139" i="4"/>
  <c r="A139" i="4"/>
  <c r="H137" i="4"/>
  <c r="G137" i="4"/>
  <c r="A137" i="4"/>
  <c r="H136" i="4"/>
  <c r="G136" i="4"/>
  <c r="A136" i="4"/>
  <c r="H135" i="4"/>
  <c r="G135" i="4"/>
  <c r="A135" i="4"/>
  <c r="A134" i="4"/>
  <c r="H133" i="4"/>
  <c r="G133" i="4"/>
  <c r="A133" i="4"/>
  <c r="H132" i="4"/>
  <c r="G132" i="4"/>
  <c r="A132" i="4"/>
  <c r="H131" i="4"/>
  <c r="G131" i="4"/>
  <c r="A131" i="4"/>
  <c r="A130" i="4"/>
  <c r="H129" i="4"/>
  <c r="G129" i="4"/>
  <c r="A129" i="4"/>
  <c r="H128" i="4"/>
  <c r="G128" i="4"/>
  <c r="A128" i="4"/>
  <c r="A127" i="4"/>
  <c r="H126" i="4"/>
  <c r="G126" i="4"/>
  <c r="A126" i="4"/>
  <c r="H125" i="4"/>
  <c r="G125" i="4"/>
  <c r="A125" i="4"/>
  <c r="H124" i="4"/>
  <c r="G124" i="4"/>
  <c r="A124" i="4"/>
  <c r="H122" i="4"/>
  <c r="G122" i="4"/>
  <c r="A122" i="4"/>
  <c r="A121" i="4"/>
  <c r="H120" i="4"/>
  <c r="G120" i="4"/>
  <c r="A120" i="4"/>
  <c r="H118" i="4"/>
  <c r="G118" i="4"/>
  <c r="A118" i="4"/>
  <c r="H117" i="4"/>
  <c r="G117" i="4"/>
  <c r="A117" i="4"/>
  <c r="H116" i="4"/>
  <c r="G116" i="4"/>
  <c r="A116" i="4"/>
  <c r="H115" i="4"/>
  <c r="G115" i="4"/>
  <c r="A115" i="4"/>
  <c r="A114" i="4"/>
  <c r="H113" i="4"/>
  <c r="G113" i="4"/>
  <c r="A113" i="4"/>
  <c r="H112" i="4"/>
  <c r="G112" i="4"/>
  <c r="A112" i="4"/>
  <c r="H110" i="4"/>
  <c r="G110" i="4"/>
  <c r="A110" i="4"/>
  <c r="A109" i="4"/>
  <c r="H108" i="4"/>
  <c r="G108" i="4"/>
  <c r="A108" i="4"/>
  <c r="H105" i="4"/>
  <c r="G105" i="4"/>
  <c r="A105" i="4"/>
  <c r="H104" i="4"/>
  <c r="G104" i="4"/>
  <c r="A104" i="4"/>
  <c r="H103" i="4"/>
  <c r="G103" i="4"/>
  <c r="A103" i="4"/>
  <c r="H102" i="4"/>
  <c r="G102" i="4"/>
  <c r="A102" i="4"/>
  <c r="H101" i="4"/>
  <c r="G101" i="4"/>
  <c r="A101" i="4"/>
  <c r="H100" i="4"/>
  <c r="G100" i="4"/>
  <c r="A100" i="4"/>
  <c r="H99" i="4"/>
  <c r="G99" i="4"/>
  <c r="A99" i="4"/>
  <c r="A98" i="4"/>
  <c r="H97" i="4"/>
  <c r="G97" i="4"/>
  <c r="A97" i="4"/>
  <c r="H94" i="4"/>
  <c r="G94" i="4"/>
  <c r="A94" i="4"/>
  <c r="A93" i="4"/>
  <c r="H92" i="4"/>
  <c r="G92" i="4"/>
  <c r="A92" i="4"/>
  <c r="H91" i="4"/>
  <c r="G91" i="4"/>
  <c r="A91" i="4"/>
  <c r="H90" i="4"/>
  <c r="G90" i="4"/>
  <c r="A90" i="4"/>
  <c r="H89" i="4"/>
  <c r="G89" i="4"/>
  <c r="A89" i="4"/>
  <c r="A88" i="4"/>
  <c r="H86" i="4"/>
  <c r="G86" i="4"/>
  <c r="A86" i="4"/>
  <c r="A85" i="4"/>
  <c r="H84" i="4"/>
  <c r="G84" i="4"/>
  <c r="A84" i="4"/>
  <c r="H82" i="4"/>
  <c r="G82" i="4"/>
  <c r="A82" i="4"/>
  <c r="H81" i="4"/>
  <c r="G81" i="4"/>
  <c r="A81" i="4"/>
  <c r="H80" i="4"/>
  <c r="G80" i="4"/>
  <c r="A80" i="4"/>
  <c r="A79" i="4"/>
  <c r="H78" i="4"/>
  <c r="G78" i="4"/>
  <c r="A78" i="4"/>
  <c r="H77" i="4"/>
  <c r="G77" i="4"/>
  <c r="A77" i="4"/>
  <c r="H76" i="4"/>
  <c r="G76" i="4"/>
  <c r="A76" i="4"/>
  <c r="H75" i="4"/>
  <c r="G75" i="4"/>
  <c r="A75" i="4"/>
  <c r="H74" i="4"/>
  <c r="G74" i="4"/>
  <c r="A74" i="4"/>
  <c r="A73" i="4"/>
  <c r="H72" i="4"/>
  <c r="G72" i="4"/>
  <c r="A72" i="4"/>
  <c r="H70" i="4"/>
  <c r="G70" i="4"/>
  <c r="A70" i="4"/>
  <c r="A69" i="4"/>
  <c r="H67" i="4"/>
  <c r="G67" i="4"/>
  <c r="A67" i="4"/>
  <c r="A66" i="4"/>
  <c r="H65" i="4"/>
  <c r="G65" i="4"/>
  <c r="A65" i="4"/>
  <c r="A64" i="4"/>
  <c r="H62" i="4"/>
  <c r="G62" i="4"/>
  <c r="A62" i="4"/>
  <c r="A61" i="4"/>
  <c r="H60" i="4"/>
  <c r="G60" i="4"/>
  <c r="A60" i="4"/>
  <c r="A59" i="4"/>
  <c r="H57" i="4"/>
  <c r="G57" i="4"/>
  <c r="A57" i="4"/>
  <c r="A56" i="4"/>
  <c r="H55" i="4"/>
  <c r="G55" i="4"/>
  <c r="A55" i="4"/>
  <c r="A54" i="4"/>
  <c r="H53" i="4"/>
  <c r="G53" i="4"/>
  <c r="A53" i="4"/>
  <c r="H51" i="4"/>
  <c r="G51" i="4"/>
  <c r="A51" i="4"/>
  <c r="H50" i="4"/>
  <c r="G50" i="4"/>
  <c r="A50" i="4"/>
  <c r="H49" i="4"/>
  <c r="G49" i="4"/>
  <c r="A49" i="4"/>
  <c r="H48" i="4"/>
  <c r="G48" i="4"/>
  <c r="A48" i="4"/>
  <c r="H47" i="4"/>
  <c r="G47" i="4"/>
  <c r="A47" i="4"/>
  <c r="H46" i="4"/>
  <c r="G46" i="4"/>
  <c r="A46" i="4"/>
  <c r="A45" i="4"/>
  <c r="H44" i="4"/>
  <c r="G44" i="4"/>
  <c r="A44" i="4"/>
  <c r="A43" i="4"/>
  <c r="H42" i="4"/>
  <c r="G42" i="4"/>
  <c r="A42" i="4"/>
  <c r="H40" i="4"/>
  <c r="G40" i="4"/>
  <c r="A40" i="4"/>
  <c r="H39" i="4"/>
  <c r="G39" i="4"/>
  <c r="A39" i="4"/>
  <c r="H38" i="4"/>
  <c r="G38" i="4"/>
  <c r="A38" i="4"/>
  <c r="H37" i="4"/>
  <c r="G37" i="4"/>
  <c r="A37" i="4"/>
  <c r="H36" i="4"/>
  <c r="G36" i="4"/>
  <c r="A36" i="4"/>
  <c r="H35" i="4"/>
  <c r="G35" i="4"/>
  <c r="A35" i="4"/>
  <c r="H34" i="4"/>
  <c r="G34" i="4"/>
  <c r="A34" i="4"/>
  <c r="H33" i="4"/>
  <c r="G33" i="4"/>
  <c r="A33" i="4"/>
  <c r="H32" i="4"/>
  <c r="G32" i="4"/>
  <c r="A32" i="4"/>
  <c r="A31" i="4"/>
  <c r="H30" i="4"/>
  <c r="G30" i="4"/>
  <c r="A30" i="4"/>
  <c r="H29" i="4"/>
  <c r="G29" i="4"/>
  <c r="A29" i="4"/>
  <c r="H28" i="4"/>
  <c r="G28" i="4"/>
  <c r="A28" i="4"/>
  <c r="H27" i="4"/>
  <c r="G27" i="4"/>
  <c r="A27" i="4"/>
  <c r="H26" i="4"/>
  <c r="G26" i="4"/>
  <c r="A26" i="4"/>
  <c r="H25" i="4"/>
  <c r="G25" i="4"/>
  <c r="A25" i="4"/>
  <c r="H24" i="4"/>
  <c r="G24" i="4"/>
  <c r="A24" i="4"/>
  <c r="H23" i="4"/>
  <c r="G23" i="4"/>
  <c r="A23" i="4"/>
  <c r="H22" i="4"/>
  <c r="G22" i="4"/>
  <c r="A22" i="4"/>
  <c r="H21" i="4"/>
  <c r="G21" i="4"/>
  <c r="A21" i="4"/>
  <c r="A20" i="4"/>
  <c r="H19" i="4"/>
  <c r="G19" i="4"/>
  <c r="A19" i="4"/>
  <c r="H18" i="4"/>
  <c r="G18" i="4"/>
  <c r="A18" i="4"/>
  <c r="H17" i="4"/>
  <c r="G17" i="4"/>
  <c r="A17" i="4"/>
  <c r="H16" i="4"/>
  <c r="G16" i="4"/>
  <c r="A16" i="4"/>
  <c r="H15" i="4"/>
  <c r="G15" i="4"/>
  <c r="A15" i="4"/>
  <c r="H14" i="4"/>
  <c r="G14" i="4"/>
  <c r="A14" i="4"/>
  <c r="H13" i="4"/>
  <c r="G13" i="4"/>
  <c r="A13" i="4"/>
  <c r="H12" i="4"/>
  <c r="G12" i="4"/>
  <c r="A12" i="4"/>
  <c r="H11" i="4"/>
  <c r="G11" i="4"/>
  <c r="A11" i="4"/>
  <c r="H10" i="4"/>
  <c r="G10" i="4"/>
  <c r="A10" i="4"/>
  <c r="H9" i="4"/>
  <c r="G9" i="4"/>
  <c r="A9" i="4"/>
  <c r="H8" i="4"/>
  <c r="G8" i="4"/>
  <c r="A8" i="4"/>
  <c r="A7" i="4"/>
  <c r="AF406" i="6"/>
  <c r="AE406" i="6" s="1"/>
  <c r="X406" i="6"/>
  <c r="BF405" i="6"/>
  <c r="AZ405" i="6"/>
  <c r="AU405" i="6"/>
  <c r="AM405" i="6"/>
  <c r="M405" i="6"/>
  <c r="AZ404" i="6"/>
  <c r="AU404" i="6"/>
  <c r="H2125" i="4" l="1"/>
  <c r="A1103" i="4"/>
  <c r="A184" i="6"/>
  <c r="A1100" i="4"/>
  <c r="A1101" i="4"/>
  <c r="A1099" i="4"/>
  <c r="A1098" i="4"/>
  <c r="A1102" i="4"/>
  <c r="A1097" i="4"/>
  <c r="G2125" i="4"/>
  <c r="G2130" i="4"/>
  <c r="G2129" i="4" s="1"/>
  <c r="B143" i="4"/>
  <c r="B158" i="4"/>
  <c r="B134" i="4"/>
  <c r="B154" i="4"/>
  <c r="B79" i="4"/>
  <c r="B164" i="4"/>
  <c r="B114" i="4"/>
  <c r="B7" i="4"/>
  <c r="B31" i="4"/>
  <c r="B20" i="4"/>
  <c r="B88" i="4"/>
  <c r="B98" i="4"/>
  <c r="H2130" i="4"/>
  <c r="H2129" i="4" s="1"/>
  <c r="B64" i="4"/>
  <c r="B54" i="4"/>
  <c r="B59" i="4"/>
  <c r="B61" i="4"/>
  <c r="B85" i="4"/>
  <c r="B43" i="4"/>
  <c r="B45" i="4"/>
  <c r="B69" i="4"/>
  <c r="B93" i="4"/>
  <c r="B109" i="4"/>
  <c r="B127" i="4"/>
  <c r="B121" i="4"/>
  <c r="B130" i="4"/>
  <c r="B56" i="4"/>
  <c r="B66" i="4"/>
  <c r="B73" i="4"/>
  <c r="M404" i="6"/>
  <c r="AZ403" i="6"/>
  <c r="A185" i="6" l="1"/>
  <c r="A1104" i="4"/>
  <c r="A1105" i="4"/>
  <c r="J2124" i="4"/>
  <c r="G2126" i="4"/>
  <c r="AC406" i="6"/>
  <c r="AD406" i="6"/>
  <c r="M403" i="6"/>
  <c r="AZ402" i="6"/>
  <c r="AU402" i="6"/>
  <c r="M402" i="6"/>
  <c r="AZ401" i="6"/>
  <c r="A186" i="6" l="1"/>
  <c r="A1107" i="4"/>
  <c r="A1106" i="4"/>
  <c r="B2129" i="4"/>
  <c r="M401" i="6"/>
  <c r="BN399" i="6"/>
  <c r="BF399" i="6"/>
  <c r="AZ399" i="6"/>
  <c r="AU399" i="6"/>
  <c r="AM399" i="6"/>
  <c r="M399" i="6"/>
  <c r="BN398" i="6"/>
  <c r="A1128" i="4" l="1"/>
  <c r="A1126" i="4"/>
  <c r="A1124" i="4"/>
  <c r="A1122" i="4"/>
  <c r="A1120" i="4"/>
  <c r="A1118" i="4"/>
  <c r="A1116" i="4"/>
  <c r="A1114" i="4"/>
  <c r="A1112" i="4"/>
  <c r="A1109" i="4"/>
  <c r="A1129" i="4"/>
  <c r="A1127" i="4"/>
  <c r="A1125" i="4"/>
  <c r="A1123" i="4"/>
  <c r="A1121" i="4"/>
  <c r="A1119" i="4"/>
  <c r="A1117" i="4"/>
  <c r="A1115" i="4"/>
  <c r="A1113" i="4"/>
  <c r="A1110" i="4"/>
  <c r="A1108" i="4"/>
  <c r="A187" i="6"/>
  <c r="A1111" i="4"/>
  <c r="AZ398" i="6"/>
  <c r="AM398" i="6"/>
  <c r="M398" i="6"/>
  <c r="BN397" i="6"/>
  <c r="AZ397" i="6"/>
  <c r="AU397" i="6"/>
  <c r="M397" i="6"/>
  <c r="BN396" i="6"/>
  <c r="AZ396" i="6"/>
  <c r="AU396" i="6"/>
  <c r="M396" i="6"/>
  <c r="BN395" i="6"/>
  <c r="AZ395" i="6"/>
  <c r="AU395" i="6"/>
  <c r="A1137" i="4" l="1"/>
  <c r="A188" i="6"/>
  <c r="A1133" i="4"/>
  <c r="A1136" i="4"/>
  <c r="A1132" i="4"/>
  <c r="A1135" i="4"/>
  <c r="A1131" i="4"/>
  <c r="A1134" i="4"/>
  <c r="A1130" i="4"/>
  <c r="M395" i="6"/>
  <c r="BN394" i="6"/>
  <c r="AZ394" i="6"/>
  <c r="M394" i="6"/>
  <c r="BN393" i="6"/>
  <c r="AZ393" i="6"/>
  <c r="M393" i="6"/>
  <c r="A1147" i="4" l="1"/>
  <c r="A1140" i="4"/>
  <c r="A1142" i="4"/>
  <c r="A1144" i="4"/>
  <c r="A1148" i="4"/>
  <c r="A1141" i="4"/>
  <c r="A1145" i="4"/>
  <c r="A1139" i="4"/>
  <c r="A189" i="6"/>
  <c r="A1146" i="4"/>
  <c r="A1138" i="4"/>
  <c r="A1143" i="4"/>
  <c r="BN391" i="6"/>
  <c r="A948" i="4" l="1"/>
  <c r="A190" i="6"/>
  <c r="A947" i="4"/>
  <c r="A949" i="4"/>
  <c r="A950" i="4"/>
  <c r="A946" i="4"/>
  <c r="A945" i="4"/>
  <c r="A944" i="4"/>
  <c r="P391" i="6"/>
  <c r="M391" i="6"/>
  <c r="G391" i="6"/>
  <c r="BG389" i="6"/>
  <c r="AX389" i="6"/>
  <c r="AW389" i="6"/>
  <c r="AT389" i="6"/>
  <c r="AS389" i="6"/>
  <c r="AP389" i="6"/>
  <c r="AO389" i="6"/>
  <c r="AL389" i="6"/>
  <c r="AK389" i="6"/>
  <c r="AI389" i="6"/>
  <c r="AF389" i="6"/>
  <c r="AE389" i="6"/>
  <c r="AA389" i="6"/>
  <c r="X389" i="6"/>
  <c r="N389" i="6" s="1"/>
  <c r="BG388" i="6"/>
  <c r="AX388" i="6"/>
  <c r="AW388" i="6"/>
  <c r="AT388" i="6"/>
  <c r="AS388" i="6"/>
  <c r="AP388" i="6"/>
  <c r="AO388" i="6"/>
  <c r="AL388" i="6"/>
  <c r="AK388" i="6"/>
  <c r="AI388" i="6"/>
  <c r="AF388" i="6"/>
  <c r="AE388" i="6"/>
  <c r="AA388" i="6"/>
  <c r="X388" i="6"/>
  <c r="N388" i="6" s="1"/>
  <c r="BF387" i="6"/>
  <c r="AX387" i="6"/>
  <c r="AW387" i="6"/>
  <c r="AT387" i="6"/>
  <c r="AS387" i="6"/>
  <c r="AP387" i="6"/>
  <c r="AO387" i="6"/>
  <c r="AL387" i="6"/>
  <c r="AK387" i="6"/>
  <c r="AI387" i="6"/>
  <c r="AF387" i="6"/>
  <c r="AE387" i="6"/>
  <c r="AA387" i="6"/>
  <c r="X387" i="6"/>
  <c r="N387" i="6" s="1"/>
  <c r="AX386" i="6"/>
  <c r="AW386" i="6"/>
  <c r="AT386" i="6"/>
  <c r="AS386" i="6"/>
  <c r="AP386" i="6"/>
  <c r="AO386" i="6"/>
  <c r="AL386" i="6"/>
  <c r="AK386" i="6"/>
  <c r="AF386" i="6"/>
  <c r="AE386" i="6"/>
  <c r="AA386" i="6"/>
  <c r="X386" i="6"/>
  <c r="N386" i="6" s="1"/>
  <c r="AX385" i="6"/>
  <c r="AW385" i="6"/>
  <c r="AT385" i="6"/>
  <c r="AS385" i="6"/>
  <c r="AQ385" i="6"/>
  <c r="AP385" i="6"/>
  <c r="AO385" i="6"/>
  <c r="AL385" i="6"/>
  <c r="AK385" i="6"/>
  <c r="AI385" i="6"/>
  <c r="AF385" i="6"/>
  <c r="AE385" i="6"/>
  <c r="AA385" i="6"/>
  <c r="X385" i="6"/>
  <c r="N385" i="6" s="1"/>
  <c r="AX384" i="6"/>
  <c r="AW384" i="6"/>
  <c r="AT384" i="6"/>
  <c r="AS384" i="6"/>
  <c r="AP384" i="6"/>
  <c r="AO384" i="6"/>
  <c r="AL384" i="6"/>
  <c r="AK384" i="6"/>
  <c r="AF384" i="6"/>
  <c r="AE384" i="6"/>
  <c r="AA384" i="6"/>
  <c r="X384" i="6"/>
  <c r="N384" i="6" s="1"/>
  <c r="AX383" i="6"/>
  <c r="AW383" i="6"/>
  <c r="AT383" i="6"/>
  <c r="AS383" i="6"/>
  <c r="AQ383" i="6"/>
  <c r="AP383" i="6"/>
  <c r="AO383" i="6"/>
  <c r="AL383" i="6"/>
  <c r="AK383" i="6"/>
  <c r="AI383" i="6"/>
  <c r="AF383" i="6"/>
  <c r="AE383" i="6"/>
  <c r="AA383" i="6"/>
  <c r="X383" i="6"/>
  <c r="N383" i="6" s="1"/>
  <c r="AX382" i="6"/>
  <c r="AW382" i="6"/>
  <c r="AT382" i="6"/>
  <c r="AS382" i="6"/>
  <c r="AP382" i="6"/>
  <c r="AO382" i="6"/>
  <c r="AL382" i="6"/>
  <c r="AK382" i="6"/>
  <c r="AI382" i="6"/>
  <c r="AF382" i="6"/>
  <c r="AE382" i="6"/>
  <c r="AA382" i="6"/>
  <c r="X382" i="6"/>
  <c r="N382" i="6" s="1"/>
  <c r="AX381" i="6"/>
  <c r="AW381" i="6"/>
  <c r="AT381" i="6"/>
  <c r="AS381" i="6"/>
  <c r="AP381" i="6"/>
  <c r="AO381" i="6"/>
  <c r="AL381" i="6"/>
  <c r="AK381" i="6"/>
  <c r="AI381" i="6"/>
  <c r="AF381" i="6"/>
  <c r="AE381" i="6"/>
  <c r="AA381" i="6"/>
  <c r="X381" i="6"/>
  <c r="N381" i="6" s="1"/>
  <c r="AX380" i="6"/>
  <c r="AW380" i="6"/>
  <c r="AT380" i="6"/>
  <c r="AS380" i="6"/>
  <c r="AQ380" i="6"/>
  <c r="AP380" i="6"/>
  <c r="AO380" i="6"/>
  <c r="AL380" i="6"/>
  <c r="AK380" i="6"/>
  <c r="AI380" i="6"/>
  <c r="AF380" i="6"/>
  <c r="AE380" i="6"/>
  <c r="AA380" i="6"/>
  <c r="X380" i="6"/>
  <c r="N380" i="6" s="1"/>
  <c r="AX379" i="6"/>
  <c r="AW379" i="6"/>
  <c r="AT379" i="6"/>
  <c r="AS379" i="6"/>
  <c r="AQ379" i="6"/>
  <c r="AP379" i="6"/>
  <c r="AO379" i="6"/>
  <c r="AL379" i="6"/>
  <c r="AK379" i="6"/>
  <c r="AF379" i="6"/>
  <c r="AE379" i="6"/>
  <c r="AA379" i="6"/>
  <c r="X379" i="6"/>
  <c r="N379" i="6" s="1"/>
  <c r="AX378" i="6"/>
  <c r="AW378" i="6"/>
  <c r="AT378" i="6"/>
  <c r="AS378" i="6"/>
  <c r="AP378" i="6"/>
  <c r="AO378" i="6"/>
  <c r="AL378" i="6"/>
  <c r="AK378" i="6"/>
  <c r="AF378" i="6"/>
  <c r="AE378" i="6"/>
  <c r="AA378" i="6"/>
  <c r="X378" i="6"/>
  <c r="N378" i="6" s="1"/>
  <c r="BG377" i="6"/>
  <c r="BF377" i="6"/>
  <c r="AX377" i="6"/>
  <c r="AW377" i="6"/>
  <c r="AT377" i="6"/>
  <c r="AS377" i="6"/>
  <c r="AP377" i="6"/>
  <c r="AO377" i="6"/>
  <c r="AL377" i="6"/>
  <c r="AK377" i="6"/>
  <c r="AF377" i="6"/>
  <c r="AE377" i="6"/>
  <c r="AA377" i="6"/>
  <c r="X377" i="6"/>
  <c r="N377" i="6" s="1"/>
  <c r="AX376" i="6"/>
  <c r="AW376" i="6"/>
  <c r="AT376" i="6"/>
  <c r="AS376" i="6"/>
  <c r="AP376" i="6"/>
  <c r="AO376" i="6"/>
  <c r="AL376" i="6"/>
  <c r="AK376" i="6"/>
  <c r="AI376" i="6"/>
  <c r="AF376" i="6"/>
  <c r="AE376" i="6"/>
  <c r="AA376" i="6"/>
  <c r="X376" i="6"/>
  <c r="N376" i="6" s="1"/>
  <c r="BF375" i="6"/>
  <c r="AX375" i="6"/>
  <c r="AW375" i="6"/>
  <c r="AT375" i="6"/>
  <c r="AS375" i="6"/>
  <c r="AP375" i="6"/>
  <c r="AO375" i="6"/>
  <c r="AL375" i="6"/>
  <c r="AK375" i="6"/>
  <c r="AI375" i="6"/>
  <c r="AF375" i="6"/>
  <c r="AE375" i="6"/>
  <c r="AA375" i="6"/>
  <c r="X375" i="6"/>
  <c r="N375" i="6" s="1"/>
  <c r="AX374" i="6"/>
  <c r="AW374" i="6"/>
  <c r="AT374" i="6"/>
  <c r="AS374" i="6"/>
  <c r="AP374" i="6"/>
  <c r="AO374" i="6"/>
  <c r="AL374" i="6"/>
  <c r="AK374" i="6"/>
  <c r="AF374" i="6"/>
  <c r="AE374" i="6"/>
  <c r="AA374" i="6"/>
  <c r="X374" i="6"/>
  <c r="N374" i="6" s="1"/>
  <c r="BG373" i="6"/>
  <c r="AX373" i="6"/>
  <c r="AW373" i="6"/>
  <c r="AT373" i="6"/>
  <c r="AS373" i="6"/>
  <c r="AP373" i="6"/>
  <c r="AO373" i="6"/>
  <c r="AL373" i="6"/>
  <c r="AK373" i="6"/>
  <c r="AF373" i="6"/>
  <c r="AE373" i="6"/>
  <c r="AA373" i="6"/>
  <c r="X373" i="6"/>
  <c r="N373" i="6" s="1"/>
  <c r="BG372" i="6"/>
  <c r="BF372" i="6"/>
  <c r="AX372" i="6"/>
  <c r="AW372" i="6"/>
  <c r="AT372" i="6"/>
  <c r="AS372" i="6"/>
  <c r="AP372" i="6"/>
  <c r="AO372" i="6"/>
  <c r="AL372" i="6"/>
  <c r="AK372" i="6"/>
  <c r="AI372" i="6"/>
  <c r="AF372" i="6"/>
  <c r="AE372" i="6"/>
  <c r="AA372" i="6"/>
  <c r="X372" i="6"/>
  <c r="N372" i="6" s="1"/>
  <c r="BG371" i="6"/>
  <c r="AX371" i="6"/>
  <c r="AW371" i="6"/>
  <c r="AT371" i="6"/>
  <c r="AS371" i="6"/>
  <c r="AP371" i="6"/>
  <c r="AO371" i="6"/>
  <c r="AL371" i="6"/>
  <c r="AK371" i="6"/>
  <c r="AI371" i="6"/>
  <c r="AF371" i="6"/>
  <c r="AE371" i="6"/>
  <c r="AA371" i="6"/>
  <c r="X371" i="6"/>
  <c r="N371" i="6" s="1"/>
  <c r="BF370" i="6"/>
  <c r="AX370" i="6"/>
  <c r="AW370" i="6"/>
  <c r="AT370" i="6"/>
  <c r="AS370" i="6"/>
  <c r="AQ370" i="6"/>
  <c r="AP370" i="6"/>
  <c r="AO370" i="6"/>
  <c r="AL370" i="6"/>
  <c r="AK370" i="6"/>
  <c r="AI370" i="6"/>
  <c r="AF370" i="6"/>
  <c r="AE370" i="6"/>
  <c r="AA370" i="6"/>
  <c r="X370" i="6"/>
  <c r="N370" i="6" s="1"/>
  <c r="BG369" i="6"/>
  <c r="AX369" i="6"/>
  <c r="AW369" i="6"/>
  <c r="AT369" i="6"/>
  <c r="AS369" i="6"/>
  <c r="AP369" i="6"/>
  <c r="AO369" i="6"/>
  <c r="AL369" i="6"/>
  <c r="AK369" i="6"/>
  <c r="AF369" i="6"/>
  <c r="AE369" i="6"/>
  <c r="AA369" i="6"/>
  <c r="X369" i="6"/>
  <c r="N369" i="6" s="1"/>
  <c r="AX368" i="6"/>
  <c r="AW368" i="6"/>
  <c r="AT368" i="6"/>
  <c r="AS368" i="6"/>
  <c r="AP368" i="6"/>
  <c r="AO368" i="6"/>
  <c r="AL368" i="6"/>
  <c r="AK368" i="6"/>
  <c r="AI368" i="6"/>
  <c r="AF368" i="6"/>
  <c r="AE368" i="6"/>
  <c r="AA368" i="6"/>
  <c r="X368" i="6"/>
  <c r="N368" i="6" s="1"/>
  <c r="AX367" i="6"/>
  <c r="AW367" i="6"/>
  <c r="AT367" i="6"/>
  <c r="AS367" i="6"/>
  <c r="AP367" i="6"/>
  <c r="AO367" i="6"/>
  <c r="AL367" i="6"/>
  <c r="AK367" i="6"/>
  <c r="AI367" i="6"/>
  <c r="AF367" i="6"/>
  <c r="AE367" i="6"/>
  <c r="AA367" i="6"/>
  <c r="X367" i="6"/>
  <c r="N367" i="6" s="1"/>
  <c r="BG366" i="6"/>
  <c r="AX366" i="6"/>
  <c r="AW366" i="6"/>
  <c r="AT366" i="6"/>
  <c r="AS366" i="6"/>
  <c r="AP366" i="6"/>
  <c r="AO366" i="6"/>
  <c r="AL366" i="6"/>
  <c r="AK366" i="6"/>
  <c r="AI366" i="6"/>
  <c r="AF366" i="6"/>
  <c r="AE366" i="6"/>
  <c r="AA366" i="6"/>
  <c r="X366" i="6"/>
  <c r="N366" i="6" s="1"/>
  <c r="AX365" i="6"/>
  <c r="AW365" i="6"/>
  <c r="AT365" i="6"/>
  <c r="AS365" i="6"/>
  <c r="AP365" i="6"/>
  <c r="AO365" i="6"/>
  <c r="AL365" i="6"/>
  <c r="AK365" i="6"/>
  <c r="AI365" i="6"/>
  <c r="AF365" i="6"/>
  <c r="AE365" i="6"/>
  <c r="AA365" i="6"/>
  <c r="X365" i="6"/>
  <c r="N365" i="6" s="1"/>
  <c r="AX364" i="6"/>
  <c r="AW364" i="6"/>
  <c r="AT364" i="6"/>
  <c r="AS364" i="6"/>
  <c r="AP364" i="6"/>
  <c r="AO364" i="6"/>
  <c r="AL364" i="6"/>
  <c r="AK364" i="6"/>
  <c r="AI364" i="6"/>
  <c r="AF364" i="6"/>
  <c r="AE364" i="6"/>
  <c r="AA364" i="6"/>
  <c r="X364" i="6"/>
  <c r="N364" i="6" s="1"/>
  <c r="AX363" i="6"/>
  <c r="AW363" i="6"/>
  <c r="AT363" i="6"/>
  <c r="AS363" i="6"/>
  <c r="AP363" i="6"/>
  <c r="AO363" i="6"/>
  <c r="AL363" i="6"/>
  <c r="AK363" i="6"/>
  <c r="AI363" i="6"/>
  <c r="AF363" i="6"/>
  <c r="AE363" i="6"/>
  <c r="AA363" i="6"/>
  <c r="X363" i="6"/>
  <c r="N363" i="6" s="1"/>
  <c r="AX362" i="6"/>
  <c r="AW362" i="6"/>
  <c r="AT362" i="6"/>
  <c r="AS362" i="6"/>
  <c r="AP362" i="6"/>
  <c r="AO362" i="6"/>
  <c r="AL362" i="6"/>
  <c r="AK362" i="6"/>
  <c r="AI362" i="6"/>
  <c r="AF362" i="6"/>
  <c r="AE362" i="6"/>
  <c r="AA362" i="6"/>
  <c r="X362" i="6"/>
  <c r="N362" i="6" s="1"/>
  <c r="AX361" i="6"/>
  <c r="AW361" i="6"/>
  <c r="AT361" i="6"/>
  <c r="AS361" i="6"/>
  <c r="AP361" i="6"/>
  <c r="AO361" i="6"/>
  <c r="AL361" i="6"/>
  <c r="AK361" i="6"/>
  <c r="AI361" i="6"/>
  <c r="AF361" i="6"/>
  <c r="AE361" i="6"/>
  <c r="AA361" i="6"/>
  <c r="X361" i="6"/>
  <c r="N361" i="6" s="1"/>
  <c r="AX360" i="6"/>
  <c r="AW360" i="6"/>
  <c r="AT360" i="6"/>
  <c r="AS360" i="6"/>
  <c r="AP360" i="6"/>
  <c r="AO360" i="6"/>
  <c r="AL360" i="6"/>
  <c r="AK360" i="6"/>
  <c r="AF360" i="6"/>
  <c r="AE360" i="6"/>
  <c r="AA360" i="6"/>
  <c r="X360" i="6"/>
  <c r="N360" i="6" s="1"/>
  <c r="AX359" i="6"/>
  <c r="AW359" i="6"/>
  <c r="AT359" i="6"/>
  <c r="AS359" i="6"/>
  <c r="AP359" i="6"/>
  <c r="AO359" i="6"/>
  <c r="AL359" i="6"/>
  <c r="AK359" i="6"/>
  <c r="AI359" i="6"/>
  <c r="AF359" i="6"/>
  <c r="AE359" i="6"/>
  <c r="AA359" i="6"/>
  <c r="X359" i="6"/>
  <c r="N359" i="6" s="1"/>
  <c r="AX358" i="6"/>
  <c r="AW358" i="6"/>
  <c r="AT358" i="6"/>
  <c r="AS358" i="6"/>
  <c r="AP358" i="6"/>
  <c r="AO358" i="6"/>
  <c r="AL358" i="6"/>
  <c r="AK358" i="6"/>
  <c r="AI358" i="6"/>
  <c r="AF358" i="6"/>
  <c r="AE358" i="6"/>
  <c r="AA358" i="6"/>
  <c r="X358" i="6"/>
  <c r="N358" i="6" s="1"/>
  <c r="AX357" i="6"/>
  <c r="AW357" i="6"/>
  <c r="AT357" i="6"/>
  <c r="AS357" i="6"/>
  <c r="AP357" i="6"/>
  <c r="AO357" i="6"/>
  <c r="AM357" i="6"/>
  <c r="AI357" i="6" s="1"/>
  <c r="AL357" i="6"/>
  <c r="AK357" i="6"/>
  <c r="AF357" i="6"/>
  <c r="AE357" i="6"/>
  <c r="AA357" i="6"/>
  <c r="X357" i="6"/>
  <c r="N357" i="6" s="1"/>
  <c r="AX356" i="6"/>
  <c r="AW356" i="6"/>
  <c r="AT356" i="6"/>
  <c r="AS356" i="6"/>
  <c r="AP356" i="6"/>
  <c r="AO356" i="6"/>
  <c r="AL356" i="6"/>
  <c r="AK356" i="6"/>
  <c r="AI356" i="6"/>
  <c r="AF356" i="6"/>
  <c r="AE356" i="6"/>
  <c r="AA356" i="6"/>
  <c r="X356" i="6"/>
  <c r="N356" i="6" s="1"/>
  <c r="AX355" i="6"/>
  <c r="AW355" i="6"/>
  <c r="AT355" i="6"/>
  <c r="AS355" i="6"/>
  <c r="AP355" i="6"/>
  <c r="AO355" i="6"/>
  <c r="AM355" i="6"/>
  <c r="AI355" i="6" s="1"/>
  <c r="AL355" i="6"/>
  <c r="AK355" i="6"/>
  <c r="AF355" i="6"/>
  <c r="AE355" i="6"/>
  <c r="AA355" i="6"/>
  <c r="X355" i="6"/>
  <c r="N355" i="6" s="1"/>
  <c r="BG354" i="6"/>
  <c r="AX354" i="6"/>
  <c r="AW354" i="6"/>
  <c r="AT354" i="6"/>
  <c r="AS354" i="6"/>
  <c r="AQ354" i="6"/>
  <c r="AP354" i="6"/>
  <c r="AO354" i="6"/>
  <c r="AL354" i="6"/>
  <c r="AK354" i="6"/>
  <c r="AI354" i="6"/>
  <c r="AF354" i="6"/>
  <c r="AE354" i="6"/>
  <c r="AA354" i="6"/>
  <c r="X354" i="6"/>
  <c r="N354" i="6" s="1"/>
  <c r="AX353" i="6"/>
  <c r="AW353" i="6"/>
  <c r="AT353" i="6"/>
  <c r="AS353" i="6"/>
  <c r="AP353" i="6"/>
  <c r="AO353" i="6"/>
  <c r="AL353" i="6"/>
  <c r="AK353" i="6"/>
  <c r="AI353" i="6"/>
  <c r="AF353" i="6"/>
  <c r="AE353" i="6"/>
  <c r="AA353" i="6"/>
  <c r="X353" i="6"/>
  <c r="N353" i="6" s="1"/>
  <c r="BG352" i="6"/>
  <c r="AX352" i="6"/>
  <c r="AW352" i="6"/>
  <c r="AT352" i="6"/>
  <c r="AS352" i="6"/>
  <c r="AP352" i="6"/>
  <c r="AO352" i="6"/>
  <c r="AL352" i="6"/>
  <c r="AK352" i="6"/>
  <c r="AF352" i="6"/>
  <c r="AE352" i="6"/>
  <c r="AA352" i="6"/>
  <c r="X352" i="6"/>
  <c r="N352" i="6" s="1"/>
  <c r="AX351" i="6"/>
  <c r="AW351" i="6"/>
  <c r="AT351" i="6"/>
  <c r="AS351" i="6"/>
  <c r="AP351" i="6"/>
  <c r="AO351" i="6"/>
  <c r="AL351" i="6"/>
  <c r="AK351" i="6"/>
  <c r="AF351" i="6"/>
  <c r="AE351" i="6"/>
  <c r="AA351" i="6"/>
  <c r="X351" i="6"/>
  <c r="N351" i="6" s="1"/>
  <c r="BG350" i="6"/>
  <c r="AX350" i="6"/>
  <c r="AW350" i="6"/>
  <c r="AT350" i="6"/>
  <c r="AS350" i="6"/>
  <c r="AP350" i="6"/>
  <c r="AO350" i="6"/>
  <c r="AL350" i="6"/>
  <c r="AK350" i="6"/>
  <c r="AI350" i="6"/>
  <c r="AF350" i="6"/>
  <c r="AE350" i="6"/>
  <c r="AA350" i="6"/>
  <c r="X350" i="6"/>
  <c r="N350" i="6" s="1"/>
  <c r="AX349" i="6"/>
  <c r="AW349" i="6"/>
  <c r="AT349" i="6"/>
  <c r="AS349" i="6"/>
  <c r="AP349" i="6"/>
  <c r="AO349" i="6"/>
  <c r="AL349" i="6"/>
  <c r="AK349" i="6"/>
  <c r="AI349" i="6"/>
  <c r="AF349" i="6"/>
  <c r="AE349" i="6"/>
  <c r="AA349" i="6"/>
  <c r="X349" i="6"/>
  <c r="N349" i="6" s="1"/>
  <c r="AX348" i="6"/>
  <c r="AW348" i="6"/>
  <c r="AT348" i="6"/>
  <c r="AS348" i="6"/>
  <c r="AQ348" i="6"/>
  <c r="AP348" i="6"/>
  <c r="AO348" i="6"/>
  <c r="AL348" i="6"/>
  <c r="AK348" i="6"/>
  <c r="AI348" i="6"/>
  <c r="AF348" i="6"/>
  <c r="AE348" i="6"/>
  <c r="AA348" i="6"/>
  <c r="X348" i="6"/>
  <c r="N348" i="6" s="1"/>
  <c r="AX347" i="6"/>
  <c r="AW347" i="6"/>
  <c r="AT347" i="6"/>
  <c r="AS347" i="6"/>
  <c r="AQ347" i="6"/>
  <c r="AP347" i="6"/>
  <c r="AO347" i="6"/>
  <c r="AL347" i="6"/>
  <c r="AK347" i="6"/>
  <c r="AF347" i="6"/>
  <c r="AE347" i="6"/>
  <c r="AA347" i="6"/>
  <c r="X347" i="6"/>
  <c r="N347" i="6" s="1"/>
  <c r="BG346" i="6"/>
  <c r="AX346" i="6"/>
  <c r="AW346" i="6"/>
  <c r="AT346" i="6"/>
  <c r="AS346" i="6"/>
  <c r="AP346" i="6"/>
  <c r="AO346" i="6"/>
  <c r="AM346" i="6"/>
  <c r="AI346" i="6" s="1"/>
  <c r="AL346" i="6"/>
  <c r="AK346" i="6"/>
  <c r="AF346" i="6"/>
  <c r="AE346" i="6"/>
  <c r="AA346" i="6"/>
  <c r="X346" i="6"/>
  <c r="N346" i="6" s="1"/>
  <c r="BG345" i="6"/>
  <c r="AX345" i="6"/>
  <c r="AW345" i="6"/>
  <c r="AT345" i="6"/>
  <c r="AS345" i="6"/>
  <c r="AQ345" i="6"/>
  <c r="AP345" i="6"/>
  <c r="AO345" i="6"/>
  <c r="AL345" i="6"/>
  <c r="AK345" i="6"/>
  <c r="AI345" i="6"/>
  <c r="AF345" i="6"/>
  <c r="AE345" i="6"/>
  <c r="AA345" i="6"/>
  <c r="X345" i="6"/>
  <c r="N345" i="6" s="1"/>
  <c r="AX344" i="6"/>
  <c r="AW344" i="6"/>
  <c r="AT344" i="6"/>
  <c r="AS344" i="6"/>
  <c r="AP344" i="6"/>
  <c r="AO344" i="6"/>
  <c r="AL344" i="6"/>
  <c r="AK344" i="6"/>
  <c r="AI344" i="6"/>
  <c r="AF344" i="6"/>
  <c r="AE344" i="6"/>
  <c r="AA344" i="6"/>
  <c r="X344" i="6"/>
  <c r="N344" i="6" s="1"/>
  <c r="AX343" i="6"/>
  <c r="AW343" i="6"/>
  <c r="AT343" i="6"/>
  <c r="AS343" i="6"/>
  <c r="AP343" i="6"/>
  <c r="AO343" i="6"/>
  <c r="AL343" i="6"/>
  <c r="AK343" i="6"/>
  <c r="AI343" i="6"/>
  <c r="AF343" i="6"/>
  <c r="AE343" i="6"/>
  <c r="AA343" i="6"/>
  <c r="X343" i="6"/>
  <c r="N343" i="6" s="1"/>
  <c r="BG342" i="6"/>
  <c r="AX342" i="6"/>
  <c r="AW342" i="6"/>
  <c r="AT342" i="6"/>
  <c r="AS342" i="6"/>
  <c r="AP342" i="6"/>
  <c r="AO342" i="6"/>
  <c r="AL342" i="6"/>
  <c r="AK342" i="6"/>
  <c r="AI342" i="6"/>
  <c r="AF342" i="6"/>
  <c r="AE342" i="6"/>
  <c r="AA342" i="6"/>
  <c r="X342" i="6"/>
  <c r="N342" i="6" s="1"/>
  <c r="BG341" i="6"/>
  <c r="AX341" i="6"/>
  <c r="AW341" i="6"/>
  <c r="AT341" i="6"/>
  <c r="AS341" i="6"/>
  <c r="AP341" i="6"/>
  <c r="AO341" i="6"/>
  <c r="AL341" i="6"/>
  <c r="AK341" i="6"/>
  <c r="AF341" i="6"/>
  <c r="AE341" i="6"/>
  <c r="AA341" i="6"/>
  <c r="X341" i="6"/>
  <c r="N341" i="6" s="1"/>
  <c r="AX340" i="6"/>
  <c r="AW340" i="6"/>
  <c r="AT340" i="6"/>
  <c r="AS340" i="6"/>
  <c r="AP340" i="6"/>
  <c r="AO340" i="6"/>
  <c r="AL340" i="6"/>
  <c r="AK340" i="6"/>
  <c r="AF340" i="6"/>
  <c r="AE340" i="6"/>
  <c r="AA340" i="6"/>
  <c r="X340" i="6"/>
  <c r="N340" i="6" s="1"/>
  <c r="AX339" i="6"/>
  <c r="AW339" i="6"/>
  <c r="AT339" i="6"/>
  <c r="AS339" i="6"/>
  <c r="AP339" i="6"/>
  <c r="AO339" i="6"/>
  <c r="AL339" i="6"/>
  <c r="AK339" i="6"/>
  <c r="AF339" i="6"/>
  <c r="AE339" i="6"/>
  <c r="AA339" i="6"/>
  <c r="X339" i="6"/>
  <c r="N339" i="6" s="1"/>
  <c r="AX338" i="6"/>
  <c r="AW338" i="6"/>
  <c r="AT338" i="6"/>
  <c r="AS338" i="6"/>
  <c r="AP338" i="6"/>
  <c r="AO338" i="6"/>
  <c r="AL338" i="6"/>
  <c r="AK338" i="6"/>
  <c r="AI338" i="6"/>
  <c r="AF338" i="6"/>
  <c r="AE338" i="6"/>
  <c r="AA338" i="6"/>
  <c r="X338" i="6"/>
  <c r="N338" i="6" s="1"/>
  <c r="AX337" i="6"/>
  <c r="AW337" i="6"/>
  <c r="AT337" i="6"/>
  <c r="AS337" i="6"/>
  <c r="AP337" i="6"/>
  <c r="AO337" i="6"/>
  <c r="AL337" i="6"/>
  <c r="AK337" i="6"/>
  <c r="AF337" i="6"/>
  <c r="AE337" i="6"/>
  <c r="AA337" i="6"/>
  <c r="X337" i="6"/>
  <c r="N337" i="6" s="1"/>
  <c r="AX336" i="6"/>
  <c r="AW336" i="6"/>
  <c r="AT336" i="6"/>
  <c r="AS336" i="6"/>
  <c r="AP336" i="6"/>
  <c r="AO336" i="6"/>
  <c r="AL336" i="6"/>
  <c r="AK336" i="6"/>
  <c r="AI336" i="6"/>
  <c r="AF336" i="6"/>
  <c r="AE336" i="6"/>
  <c r="AA336" i="6"/>
  <c r="X336" i="6"/>
  <c r="N336" i="6" s="1"/>
  <c r="AX335" i="6"/>
  <c r="AW335" i="6"/>
  <c r="AT335" i="6"/>
  <c r="AS335" i="6"/>
  <c r="AP335" i="6"/>
  <c r="AO335" i="6"/>
  <c r="AL335" i="6"/>
  <c r="AK335" i="6"/>
  <c r="AI335" i="6"/>
  <c r="AF335" i="6"/>
  <c r="AE335" i="6"/>
  <c r="AA335" i="6"/>
  <c r="X335" i="6"/>
  <c r="N335" i="6" s="1"/>
  <c r="BG334" i="6"/>
  <c r="AX334" i="6"/>
  <c r="AW334" i="6"/>
  <c r="AT334" i="6"/>
  <c r="AS334" i="6"/>
  <c r="AP334" i="6"/>
  <c r="AO334" i="6"/>
  <c r="AL334" i="6"/>
  <c r="AK334" i="6"/>
  <c r="AI334" i="6"/>
  <c r="AF334" i="6"/>
  <c r="AE334" i="6"/>
  <c r="AA334" i="6"/>
  <c r="X334" i="6"/>
  <c r="N334" i="6" s="1"/>
  <c r="AX333" i="6"/>
  <c r="AW333" i="6"/>
  <c r="AT333" i="6"/>
  <c r="AS333" i="6"/>
  <c r="AP333" i="6"/>
  <c r="AO333" i="6"/>
  <c r="AL333" i="6"/>
  <c r="AK333" i="6"/>
  <c r="AI333" i="6"/>
  <c r="AF333" i="6"/>
  <c r="AE333" i="6"/>
  <c r="AA333" i="6"/>
  <c r="X333" i="6"/>
  <c r="N333" i="6" s="1"/>
  <c r="AX332" i="6"/>
  <c r="AW332" i="6"/>
  <c r="AT332" i="6"/>
  <c r="AS332" i="6"/>
  <c r="AP332" i="6"/>
  <c r="AO332" i="6"/>
  <c r="AL332" i="6"/>
  <c r="AK332" i="6"/>
  <c r="AF332" i="6"/>
  <c r="AE332" i="6"/>
  <c r="AA332" i="6"/>
  <c r="X332" i="6"/>
  <c r="N332" i="6" s="1"/>
  <c r="BG331" i="6"/>
  <c r="BF331" i="6"/>
  <c r="AX331" i="6"/>
  <c r="AW331" i="6"/>
  <c r="AT331" i="6"/>
  <c r="AS331" i="6"/>
  <c r="AP331" i="6"/>
  <c r="AO331" i="6"/>
  <c r="AL331" i="6"/>
  <c r="AK331" i="6"/>
  <c r="AF331" i="6"/>
  <c r="AE331" i="6"/>
  <c r="AA331" i="6"/>
  <c r="X331" i="6"/>
  <c r="N331" i="6" s="1"/>
  <c r="AX330" i="6"/>
  <c r="AW330" i="6"/>
  <c r="AT330" i="6"/>
  <c r="AS330" i="6"/>
  <c r="AP330" i="6"/>
  <c r="AO330" i="6"/>
  <c r="AL330" i="6"/>
  <c r="AK330" i="6"/>
  <c r="AI330" i="6"/>
  <c r="AF330" i="6"/>
  <c r="AE330" i="6"/>
  <c r="AA330" i="6"/>
  <c r="X330" i="6"/>
  <c r="N330" i="6" s="1"/>
  <c r="BG329" i="6"/>
  <c r="AX329" i="6"/>
  <c r="AW329" i="6"/>
  <c r="AT329" i="6"/>
  <c r="AS329" i="6"/>
  <c r="AQ329" i="6"/>
  <c r="AP329" i="6"/>
  <c r="AO329" i="6"/>
  <c r="AL329" i="6"/>
  <c r="AK329" i="6"/>
  <c r="AF329" i="6"/>
  <c r="AE329" i="6"/>
  <c r="AA329" i="6"/>
  <c r="X329" i="6"/>
  <c r="N329" i="6" s="1"/>
  <c r="BF328" i="6"/>
  <c r="AX328" i="6"/>
  <c r="AW328" i="6"/>
  <c r="AT328" i="6"/>
  <c r="AS328" i="6"/>
  <c r="AP328" i="6"/>
  <c r="AO328" i="6"/>
  <c r="AL328" i="6"/>
  <c r="AK328" i="6"/>
  <c r="AI328" i="6"/>
  <c r="AF328" i="6"/>
  <c r="AE328" i="6"/>
  <c r="AA328" i="6"/>
  <c r="X328" i="6"/>
  <c r="N328" i="6" s="1"/>
  <c r="BG327" i="6"/>
  <c r="BF327" i="6"/>
  <c r="AX327" i="6"/>
  <c r="AW327" i="6"/>
  <c r="AT327" i="6"/>
  <c r="AS327" i="6"/>
  <c r="AP327" i="6"/>
  <c r="AO327" i="6"/>
  <c r="AI327" i="6"/>
  <c r="AL327" i="6"/>
  <c r="AK327" i="6"/>
  <c r="AF327" i="6"/>
  <c r="AE327" i="6"/>
  <c r="AA327" i="6"/>
  <c r="X327" i="6"/>
  <c r="N327" i="6" s="1"/>
  <c r="BG326" i="6"/>
  <c r="AX326" i="6"/>
  <c r="AW326" i="6"/>
  <c r="AT326" i="6"/>
  <c r="AS326" i="6"/>
  <c r="AP326" i="6"/>
  <c r="AO326" i="6"/>
  <c r="AK326" i="6"/>
  <c r="AF326" i="6"/>
  <c r="AE326" i="6"/>
  <c r="AA326" i="6"/>
  <c r="X326" i="6"/>
  <c r="N326" i="6" s="1"/>
  <c r="AX325" i="6"/>
  <c r="AW325" i="6"/>
  <c r="AT325" i="6"/>
  <c r="AS325" i="6"/>
  <c r="AQ325" i="6"/>
  <c r="AP325" i="6"/>
  <c r="AO325" i="6"/>
  <c r="AL325" i="6"/>
  <c r="AK325" i="6"/>
  <c r="AF325" i="6"/>
  <c r="AE325" i="6"/>
  <c r="AA325" i="6"/>
  <c r="X325" i="6"/>
  <c r="N325" i="6" s="1"/>
  <c r="AX324" i="6"/>
  <c r="AW324" i="6"/>
  <c r="AT324" i="6"/>
  <c r="AS324" i="6"/>
  <c r="AQ324" i="6"/>
  <c r="AP324" i="6"/>
  <c r="AO324" i="6"/>
  <c r="AL324" i="6"/>
  <c r="AK324" i="6"/>
  <c r="AI324" i="6"/>
  <c r="AF324" i="6"/>
  <c r="AE324" i="6"/>
  <c r="AA324" i="6"/>
  <c r="X324" i="6"/>
  <c r="N324" i="6" s="1"/>
  <c r="AX323" i="6"/>
  <c r="AW323" i="6"/>
  <c r="AT323" i="6"/>
  <c r="AS323" i="6"/>
  <c r="AP323" i="6"/>
  <c r="AO323" i="6"/>
  <c r="AL323" i="6"/>
  <c r="AK323" i="6"/>
  <c r="AI323" i="6"/>
  <c r="AF323" i="6"/>
  <c r="AE323" i="6"/>
  <c r="AA323" i="6"/>
  <c r="X323" i="6"/>
  <c r="N323" i="6" s="1"/>
  <c r="AX322" i="6"/>
  <c r="AW322" i="6"/>
  <c r="AT322" i="6"/>
  <c r="AS322" i="6"/>
  <c r="AP322" i="6"/>
  <c r="AO322" i="6"/>
  <c r="AL322" i="6"/>
  <c r="AK322" i="6"/>
  <c r="AI322" i="6"/>
  <c r="AF322" i="6"/>
  <c r="AE322" i="6"/>
  <c r="AA322" i="6"/>
  <c r="X322" i="6"/>
  <c r="N322" i="6" s="1"/>
  <c r="AX321" i="6"/>
  <c r="AW321" i="6"/>
  <c r="AT321" i="6"/>
  <c r="AS321" i="6"/>
  <c r="AQ321" i="6"/>
  <c r="AP321" i="6"/>
  <c r="AO321" i="6"/>
  <c r="AL321" i="6"/>
  <c r="AK321" i="6"/>
  <c r="AI321" i="6"/>
  <c r="AF321" i="6"/>
  <c r="AE321" i="6"/>
  <c r="AA321" i="6"/>
  <c r="X321" i="6"/>
  <c r="N321" i="6" s="1"/>
  <c r="AX320" i="6"/>
  <c r="AW320" i="6"/>
  <c r="AT320" i="6"/>
  <c r="AS320" i="6"/>
  <c r="AP320" i="6"/>
  <c r="AO320" i="6"/>
  <c r="AL320" i="6"/>
  <c r="AK320" i="6"/>
  <c r="AI320" i="6"/>
  <c r="AF320" i="6"/>
  <c r="AE320" i="6"/>
  <c r="AA320" i="6"/>
  <c r="X320" i="6"/>
  <c r="N320" i="6" s="1"/>
  <c r="BG319" i="6"/>
  <c r="AX319" i="6"/>
  <c r="AW319" i="6"/>
  <c r="AT319" i="6"/>
  <c r="AS319" i="6"/>
  <c r="AP319" i="6"/>
  <c r="AO319" i="6"/>
  <c r="AL319" i="6"/>
  <c r="AK319" i="6"/>
  <c r="AI319" i="6"/>
  <c r="AF319" i="6"/>
  <c r="AE319" i="6"/>
  <c r="AA319" i="6"/>
  <c r="X319" i="6"/>
  <c r="N319" i="6" s="1"/>
  <c r="AX318" i="6"/>
  <c r="AW318" i="6"/>
  <c r="AT318" i="6"/>
  <c r="AS318" i="6"/>
  <c r="AQ318" i="6"/>
  <c r="AP318" i="6"/>
  <c r="AO318" i="6"/>
  <c r="AL318" i="6"/>
  <c r="AK318" i="6"/>
  <c r="AI318" i="6"/>
  <c r="AF318" i="6"/>
  <c r="AE318" i="6"/>
  <c r="AA318" i="6"/>
  <c r="X318" i="6"/>
  <c r="N318" i="6" s="1"/>
  <c r="AX317" i="6"/>
  <c r="AW317" i="6"/>
  <c r="AT317" i="6"/>
  <c r="AS317" i="6"/>
  <c r="AP317" i="6"/>
  <c r="AO317" i="6"/>
  <c r="AL317" i="6"/>
  <c r="AK317" i="6"/>
  <c r="AF317" i="6"/>
  <c r="AE317" i="6"/>
  <c r="AA317" i="6"/>
  <c r="X317" i="6"/>
  <c r="N317" i="6" s="1"/>
  <c r="AX316" i="6"/>
  <c r="AW316" i="6"/>
  <c r="AT316" i="6"/>
  <c r="AS316" i="6"/>
  <c r="AP316" i="6"/>
  <c r="AO316" i="6"/>
  <c r="AL316" i="6"/>
  <c r="AK316" i="6"/>
  <c r="AI316" i="6"/>
  <c r="AF316" i="6"/>
  <c r="AE316" i="6"/>
  <c r="AA316" i="6"/>
  <c r="X316" i="6"/>
  <c r="N316" i="6" s="1"/>
  <c r="BG315" i="6"/>
  <c r="AX315" i="6"/>
  <c r="AW315" i="6"/>
  <c r="AT315" i="6"/>
  <c r="AS315" i="6"/>
  <c r="AP315" i="6"/>
  <c r="AO315" i="6"/>
  <c r="AL315" i="6"/>
  <c r="AK315" i="6"/>
  <c r="AI315" i="6"/>
  <c r="AF315" i="6"/>
  <c r="AE315" i="6"/>
  <c r="AA315" i="6"/>
  <c r="X315" i="6"/>
  <c r="N315" i="6" s="1"/>
  <c r="AX314" i="6"/>
  <c r="AW314" i="6"/>
  <c r="AT314" i="6"/>
  <c r="AS314" i="6"/>
  <c r="AP314" i="6"/>
  <c r="AO314" i="6"/>
  <c r="AL314" i="6"/>
  <c r="AK314" i="6"/>
  <c r="AI314" i="6"/>
  <c r="AF314" i="6"/>
  <c r="AE314" i="6"/>
  <c r="AA314" i="6"/>
  <c r="X314" i="6"/>
  <c r="N314" i="6" s="1"/>
  <c r="BF313" i="6"/>
  <c r="AX313" i="6"/>
  <c r="AW313" i="6"/>
  <c r="AT313" i="6"/>
  <c r="AS313" i="6"/>
  <c r="AP313" i="6"/>
  <c r="AO313" i="6"/>
  <c r="AL313" i="6"/>
  <c r="AK313" i="6"/>
  <c r="AF313" i="6"/>
  <c r="AE313" i="6"/>
  <c r="AA313" i="6"/>
  <c r="X313" i="6"/>
  <c r="N313" i="6" s="1"/>
  <c r="AX312" i="6"/>
  <c r="AW312" i="6"/>
  <c r="AT312" i="6"/>
  <c r="AS312" i="6"/>
  <c r="AQ312" i="6"/>
  <c r="AP312" i="6"/>
  <c r="AO312" i="6"/>
  <c r="AL312" i="6"/>
  <c r="AK312" i="6"/>
  <c r="AI312" i="6"/>
  <c r="AF312" i="6"/>
  <c r="AE312" i="6"/>
  <c r="AA312" i="6"/>
  <c r="X312" i="6"/>
  <c r="N312" i="6" s="1"/>
  <c r="AX311" i="6"/>
  <c r="AW311" i="6"/>
  <c r="AT311" i="6"/>
  <c r="AS311" i="6"/>
  <c r="AP311" i="6"/>
  <c r="AO311" i="6"/>
  <c r="AL311" i="6"/>
  <c r="AK311" i="6"/>
  <c r="AI311" i="6"/>
  <c r="AF311" i="6"/>
  <c r="AE311" i="6"/>
  <c r="AA311" i="6"/>
  <c r="X311" i="6"/>
  <c r="N311" i="6" s="1"/>
  <c r="AX310" i="6"/>
  <c r="AW310" i="6"/>
  <c r="AT310" i="6"/>
  <c r="AS310" i="6"/>
  <c r="AP310" i="6"/>
  <c r="AO310" i="6"/>
  <c r="AL310" i="6"/>
  <c r="AK310" i="6"/>
  <c r="AF310" i="6"/>
  <c r="AE310" i="6"/>
  <c r="AA310" i="6"/>
  <c r="X310" i="6"/>
  <c r="N310" i="6" s="1"/>
  <c r="BG309" i="6"/>
  <c r="AX309" i="6"/>
  <c r="AW309" i="6"/>
  <c r="AT309" i="6"/>
  <c r="AS309" i="6"/>
  <c r="AP309" i="6"/>
  <c r="AO309" i="6"/>
  <c r="AL309" i="6"/>
  <c r="AK309" i="6"/>
  <c r="AI309" i="6"/>
  <c r="AF309" i="6"/>
  <c r="AE309" i="6"/>
  <c r="AA309" i="6"/>
  <c r="X309" i="6"/>
  <c r="N309" i="6" s="1"/>
  <c r="AX308" i="6"/>
  <c r="AW308" i="6"/>
  <c r="AT308" i="6"/>
  <c r="AS308" i="6"/>
  <c r="AP308" i="6"/>
  <c r="AO308" i="6"/>
  <c r="AL308" i="6"/>
  <c r="AK308" i="6"/>
  <c r="AI308" i="6"/>
  <c r="AF308" i="6"/>
  <c r="AE308" i="6"/>
  <c r="AA308" i="6"/>
  <c r="X308" i="6"/>
  <c r="N308" i="6" s="1"/>
  <c r="BG307" i="6"/>
  <c r="AX307" i="6"/>
  <c r="AW307" i="6"/>
  <c r="AT307" i="6"/>
  <c r="AS307" i="6"/>
  <c r="AP307" i="6"/>
  <c r="AO307" i="6"/>
  <c r="AL307" i="6"/>
  <c r="AK307" i="6"/>
  <c r="AF307" i="6"/>
  <c r="AE307" i="6"/>
  <c r="AA307" i="6"/>
  <c r="X307" i="6"/>
  <c r="N307" i="6" s="1"/>
  <c r="AX306" i="6"/>
  <c r="AW306" i="6"/>
  <c r="AT306" i="6"/>
  <c r="AS306" i="6"/>
  <c r="AP306" i="6"/>
  <c r="AO306" i="6"/>
  <c r="AL306" i="6"/>
  <c r="AK306" i="6"/>
  <c r="AI306" i="6"/>
  <c r="AF306" i="6"/>
  <c r="AE306" i="6"/>
  <c r="AA306" i="6"/>
  <c r="X306" i="6"/>
  <c r="N306" i="6" s="1"/>
  <c r="BG305" i="6"/>
  <c r="BF305" i="6"/>
  <c r="AX305" i="6"/>
  <c r="AW305" i="6"/>
  <c r="AT305" i="6"/>
  <c r="AS305" i="6"/>
  <c r="AP305" i="6"/>
  <c r="AO305" i="6"/>
  <c r="AL305" i="6"/>
  <c r="AK305" i="6"/>
  <c r="AI305" i="6"/>
  <c r="AF305" i="6"/>
  <c r="AE305" i="6"/>
  <c r="AA305" i="6"/>
  <c r="X305" i="6"/>
  <c r="N305" i="6" s="1"/>
  <c r="BF304" i="6"/>
  <c r="AX304" i="6"/>
  <c r="AW304" i="6"/>
  <c r="AT304" i="6"/>
  <c r="AS304" i="6"/>
  <c r="AQ304" i="6"/>
  <c r="AP304" i="6"/>
  <c r="AO304" i="6"/>
  <c r="AM304" i="6"/>
  <c r="AL304" i="6"/>
  <c r="AK304" i="6"/>
  <c r="AF304" i="6"/>
  <c r="AE304" i="6"/>
  <c r="AA304" i="6"/>
  <c r="X304" i="6"/>
  <c r="N304" i="6" s="1"/>
  <c r="AX303" i="6"/>
  <c r="AW303" i="6"/>
  <c r="AT303" i="6"/>
  <c r="AS303" i="6"/>
  <c r="AP303" i="6"/>
  <c r="AO303" i="6"/>
  <c r="AL303" i="6"/>
  <c r="AK303" i="6"/>
  <c r="AI303" i="6"/>
  <c r="AF303" i="6"/>
  <c r="AE303" i="6"/>
  <c r="AA303" i="6"/>
  <c r="X303" i="6"/>
  <c r="N303" i="6" s="1"/>
  <c r="BG302" i="6"/>
  <c r="BF302" i="6"/>
  <c r="AX302" i="6"/>
  <c r="AW302" i="6"/>
  <c r="AT302" i="6"/>
  <c r="AS302" i="6"/>
  <c r="AP302" i="6"/>
  <c r="AO302" i="6"/>
  <c r="AF302" i="6"/>
  <c r="AE302" i="6"/>
  <c r="AJ332" i="6" l="1"/>
  <c r="A1151" i="4"/>
  <c r="A1154" i="4"/>
  <c r="A1149" i="4"/>
  <c r="A1155" i="4"/>
  <c r="A1150" i="4"/>
  <c r="A191" i="6"/>
  <c r="A1156" i="4"/>
  <c r="A1152" i="4"/>
  <c r="A1157" i="4"/>
  <c r="A1153" i="4"/>
  <c r="AV315" i="6"/>
  <c r="AC302" i="6"/>
  <c r="AJ325" i="6"/>
  <c r="AL302" i="6"/>
  <c r="AJ302" i="6" s="1"/>
  <c r="AR371" i="6"/>
  <c r="AR378" i="6"/>
  <c r="AV325" i="6"/>
  <c r="AR334" i="6"/>
  <c r="AN336" i="6"/>
  <c r="AV340" i="6"/>
  <c r="AR328" i="6"/>
  <c r="AV329" i="6"/>
  <c r="AR335" i="6"/>
  <c r="AJ339" i="6"/>
  <c r="AJ329" i="6"/>
  <c r="AV318" i="6"/>
  <c r="AN321" i="6"/>
  <c r="AV323" i="6"/>
  <c r="AD326" i="6"/>
  <c r="AC326" i="6" s="1"/>
  <c r="AB326" i="6" s="1"/>
  <c r="AV327" i="6"/>
  <c r="AJ328" i="6"/>
  <c r="AN328" i="6"/>
  <c r="AN333" i="6"/>
  <c r="AV333" i="6"/>
  <c r="AN334" i="6"/>
  <c r="AN335" i="6"/>
  <c r="AJ336" i="6"/>
  <c r="AN338" i="6"/>
  <c r="AV338" i="6"/>
  <c r="AN340" i="6"/>
  <c r="AR340" i="6"/>
  <c r="AJ341" i="6"/>
  <c r="AR341" i="6"/>
  <c r="AV341" i="6"/>
  <c r="AD342" i="6"/>
  <c r="AC342" i="6" s="1"/>
  <c r="AR343" i="6"/>
  <c r="AV345" i="6"/>
  <c r="AR351" i="6"/>
  <c r="AN360" i="6"/>
  <c r="AN364" i="6"/>
  <c r="AV389" i="6"/>
  <c r="AJ376" i="6"/>
  <c r="AV387" i="6"/>
  <c r="AV303" i="6"/>
  <c r="AV313" i="6"/>
  <c r="AR315" i="6"/>
  <c r="AN317" i="6"/>
  <c r="AV317" i="6"/>
  <c r="AV321" i="6"/>
  <c r="AR363" i="6"/>
  <c r="AN367" i="6"/>
  <c r="AN372" i="6"/>
  <c r="AJ318" i="6"/>
  <c r="AR320" i="6"/>
  <c r="AV320" i="6"/>
  <c r="AD321" i="6"/>
  <c r="AC321" i="6" s="1"/>
  <c r="AB321" i="6" s="1"/>
  <c r="AJ321" i="6"/>
  <c r="AR321" i="6"/>
  <c r="AN323" i="6"/>
  <c r="AR323" i="6"/>
  <c r="AV324" i="6"/>
  <c r="AR350" i="6"/>
  <c r="AN352" i="6"/>
  <c r="AN355" i="6"/>
  <c r="AR356" i="6"/>
  <c r="AV356" i="6"/>
  <c r="AN359" i="6"/>
  <c r="AV359" i="6"/>
  <c r="AN362" i="6"/>
  <c r="AV362" i="6"/>
  <c r="AN363" i="6"/>
  <c r="AJ364" i="6"/>
  <c r="AN366" i="6"/>
  <c r="AV366" i="6"/>
  <c r="AJ367" i="6"/>
  <c r="AV369" i="6"/>
  <c r="AN370" i="6"/>
  <c r="AJ371" i="6"/>
  <c r="AN371" i="6"/>
  <c r="AJ372" i="6"/>
  <c r="AN375" i="6"/>
  <c r="AV375" i="6"/>
  <c r="AR377" i="6"/>
  <c r="AV381" i="6"/>
  <c r="AV385" i="6"/>
  <c r="AD324" i="6"/>
  <c r="AC324" i="6" s="1"/>
  <c r="AB324" i="6" s="1"/>
  <c r="AJ385" i="6"/>
  <c r="AJ354" i="6"/>
  <c r="AJ356" i="6"/>
  <c r="AD357" i="6"/>
  <c r="AC357" i="6" s="1"/>
  <c r="AB357" i="6" s="1"/>
  <c r="AJ360" i="6"/>
  <c r="AV310" i="6"/>
  <c r="AJ345" i="6"/>
  <c r="AN346" i="6"/>
  <c r="AN347" i="6"/>
  <c r="AN348" i="6"/>
  <c r="AN349" i="6"/>
  <c r="AV349" i="6"/>
  <c r="AN350" i="6"/>
  <c r="AN351" i="6"/>
  <c r="AV354" i="6"/>
  <c r="AJ377" i="6"/>
  <c r="AN377" i="6"/>
  <c r="AR379" i="6"/>
  <c r="AV380" i="6"/>
  <c r="AN381" i="6"/>
  <c r="AR381" i="6"/>
  <c r="AD382" i="6"/>
  <c r="AC382" i="6" s="1"/>
  <c r="AB382" i="6" s="1"/>
  <c r="AN383" i="6"/>
  <c r="AN384" i="6"/>
  <c r="AV384" i="6"/>
  <c r="AN387" i="6"/>
  <c r="AR387" i="6"/>
  <c r="AV305" i="6"/>
  <c r="AR307" i="6"/>
  <c r="AV307" i="6"/>
  <c r="AD308" i="6"/>
  <c r="AC308" i="6" s="1"/>
  <c r="AB308" i="6" s="1"/>
  <c r="AJ308" i="6"/>
  <c r="AR308" i="6"/>
  <c r="AJ309" i="6"/>
  <c r="AR309" i="6"/>
  <c r="AJ310" i="6"/>
  <c r="AR310" i="6"/>
  <c r="AD311" i="6"/>
  <c r="AC311" i="6" s="1"/>
  <c r="AB311" i="6" s="1"/>
  <c r="AJ311" i="6"/>
  <c r="AR311" i="6"/>
  <c r="AJ312" i="6"/>
  <c r="AR312" i="6"/>
  <c r="AJ313" i="6"/>
  <c r="AR313" i="6"/>
  <c r="AN314" i="6"/>
  <c r="AR316" i="6"/>
  <c r="AR326" i="6"/>
  <c r="AV330" i="6"/>
  <c r="AJ331" i="6"/>
  <c r="AN331" i="6"/>
  <c r="AR331" i="6"/>
  <c r="AR337" i="6"/>
  <c r="AR342" i="6"/>
  <c r="AN344" i="6"/>
  <c r="AV344" i="6"/>
  <c r="AR347" i="6"/>
  <c r="AR348" i="6"/>
  <c r="AN353" i="6"/>
  <c r="AV353" i="6"/>
  <c r="AR358" i="6"/>
  <c r="AR361" i="6"/>
  <c r="AR365" i="6"/>
  <c r="AJ368" i="6"/>
  <c r="AR368" i="6"/>
  <c r="AV368" i="6"/>
  <c r="AN373" i="6"/>
  <c r="AV373" i="6"/>
  <c r="AJ380" i="6"/>
  <c r="AR382" i="6"/>
  <c r="AR383" i="6"/>
  <c r="AV388" i="6"/>
  <c r="AN389" i="6"/>
  <c r="AR389" i="6"/>
  <c r="AN302" i="6"/>
  <c r="AV302" i="6"/>
  <c r="AD303" i="6"/>
  <c r="AC303" i="6" s="1"/>
  <c r="AB303" i="6" s="1"/>
  <c r="AN303" i="6"/>
  <c r="AV304" i="6"/>
  <c r="AJ305" i="6"/>
  <c r="AR305" i="6"/>
  <c r="AD306" i="6"/>
  <c r="AC306" i="6" s="1"/>
  <c r="AB306" i="6" s="1"/>
  <c r="AJ306" i="6"/>
  <c r="AR306" i="6"/>
  <c r="AJ307" i="6"/>
  <c r="AV314" i="6"/>
  <c r="AN315" i="6"/>
  <c r="AN316" i="6"/>
  <c r="AJ317" i="6"/>
  <c r="AR319" i="6"/>
  <c r="AV319" i="6"/>
  <c r="AR322" i="6"/>
  <c r="AV322" i="6"/>
  <c r="AJ324" i="6"/>
  <c r="AN324" i="6"/>
  <c r="AR324" i="6"/>
  <c r="AJ326" i="6"/>
  <c r="AN326" i="6"/>
  <c r="AR327" i="6"/>
  <c r="AD328" i="6"/>
  <c r="AC328" i="6" s="1"/>
  <c r="AB328" i="6" s="1"/>
  <c r="AN330" i="6"/>
  <c r="AR330" i="6"/>
  <c r="AD331" i="6"/>
  <c r="AC331" i="6" s="1"/>
  <c r="AB331" i="6" s="1"/>
  <c r="AV331" i="6"/>
  <c r="AJ333" i="6"/>
  <c r="AV336" i="6"/>
  <c r="AN337" i="6"/>
  <c r="AJ338" i="6"/>
  <c r="AR339" i="6"/>
  <c r="AV339" i="6"/>
  <c r="AJ342" i="6"/>
  <c r="AN342" i="6"/>
  <c r="AN343" i="6"/>
  <c r="AJ344" i="6"/>
  <c r="AV346" i="6"/>
  <c r="AJ347" i="6"/>
  <c r="AJ348" i="6"/>
  <c r="AJ349" i="6"/>
  <c r="AV352" i="6"/>
  <c r="AJ353" i="6"/>
  <c r="AV355" i="6"/>
  <c r="AV357" i="6"/>
  <c r="AN358" i="6"/>
  <c r="AJ359" i="6"/>
  <c r="AV360" i="6"/>
  <c r="AN361" i="6"/>
  <c r="AJ362" i="6"/>
  <c r="AV364" i="6"/>
  <c r="AN365" i="6"/>
  <c r="AJ366" i="6"/>
  <c r="AV367" i="6"/>
  <c r="AN369" i="6"/>
  <c r="AR369" i="6"/>
  <c r="AR370" i="6"/>
  <c r="AV370" i="6"/>
  <c r="AD371" i="6"/>
  <c r="AC371" i="6" s="1"/>
  <c r="AB371" i="6" s="1"/>
  <c r="AV372" i="6"/>
  <c r="AJ373" i="6"/>
  <c r="AV374" i="6"/>
  <c r="AJ375" i="6"/>
  <c r="AR376" i="6"/>
  <c r="AV376" i="6"/>
  <c r="AD377" i="6"/>
  <c r="AC377" i="6" s="1"/>
  <c r="AB377" i="6" s="1"/>
  <c r="AV379" i="6"/>
  <c r="AJ382" i="6"/>
  <c r="AN382" i="6"/>
  <c r="AJ383" i="6"/>
  <c r="AJ384" i="6"/>
  <c r="AR386" i="6"/>
  <c r="AV386" i="6"/>
  <c r="AN388" i="6"/>
  <c r="AR388" i="6"/>
  <c r="AJ303" i="6"/>
  <c r="AR303" i="6"/>
  <c r="AD304" i="6"/>
  <c r="AC304" i="6" s="1"/>
  <c r="AB304" i="6" s="1"/>
  <c r="AN304" i="6"/>
  <c r="AN305" i="6"/>
  <c r="AN306" i="6"/>
  <c r="AV306" i="6"/>
  <c r="AN307" i="6"/>
  <c r="AN308" i="6"/>
  <c r="AV308" i="6"/>
  <c r="AD309" i="6"/>
  <c r="AC309" i="6" s="1"/>
  <c r="AB309" i="6" s="1"/>
  <c r="AN309" i="6"/>
  <c r="AV309" i="6"/>
  <c r="AN310" i="6"/>
  <c r="AN311" i="6"/>
  <c r="AV311" i="6"/>
  <c r="AN312" i="6"/>
  <c r="AV312" i="6"/>
  <c r="AN313" i="6"/>
  <c r="AJ314" i="6"/>
  <c r="AR314" i="6"/>
  <c r="AD315" i="6"/>
  <c r="AC315" i="6" s="1"/>
  <c r="AB315" i="6" s="1"/>
  <c r="AJ315" i="6"/>
  <c r="AV316" i="6"/>
  <c r="AR317" i="6"/>
  <c r="AD318" i="6"/>
  <c r="AC318" i="6" s="1"/>
  <c r="AB318" i="6" s="1"/>
  <c r="AN318" i="6"/>
  <c r="AR318" i="6"/>
  <c r="AN319" i="6"/>
  <c r="AN320" i="6"/>
  <c r="AN322" i="6"/>
  <c r="AJ323" i="6"/>
  <c r="AD325" i="6"/>
  <c r="AC325" i="6" s="1"/>
  <c r="AB325" i="6" s="1"/>
  <c r="AN325" i="6"/>
  <c r="AR325" i="6"/>
  <c r="AV326" i="6"/>
  <c r="AD327" i="6"/>
  <c r="AC327" i="6" s="1"/>
  <c r="AB327" i="6" s="1"/>
  <c r="AV328" i="6"/>
  <c r="AD329" i="6"/>
  <c r="AC329" i="6" s="1"/>
  <c r="AB329" i="6" s="1"/>
  <c r="AN329" i="6"/>
  <c r="AR329" i="6"/>
  <c r="AJ330" i="6"/>
  <c r="AD332" i="6"/>
  <c r="AC332" i="6" s="1"/>
  <c r="AB332" i="6" s="1"/>
  <c r="AN332" i="6"/>
  <c r="AV332" i="6"/>
  <c r="AR333" i="6"/>
  <c r="AV334" i="6"/>
  <c r="AV335" i="6"/>
  <c r="AD336" i="6"/>
  <c r="AC336" i="6" s="1"/>
  <c r="AB336" i="6" s="1"/>
  <c r="AR336" i="6"/>
  <c r="AV337" i="6"/>
  <c r="AD338" i="6"/>
  <c r="AC338" i="6" s="1"/>
  <c r="AR338" i="6"/>
  <c r="AD339" i="6"/>
  <c r="AC339" i="6" s="1"/>
  <c r="AN339" i="6"/>
  <c r="AJ340" i="6"/>
  <c r="AD341" i="6"/>
  <c r="AC341" i="6" s="1"/>
  <c r="AB341" i="6" s="1"/>
  <c r="AN341" i="6"/>
  <c r="AV342" i="6"/>
  <c r="AV343" i="6"/>
  <c r="AR344" i="6"/>
  <c r="AD345" i="6"/>
  <c r="AC345" i="6" s="1"/>
  <c r="AN345" i="6"/>
  <c r="AR345" i="6"/>
  <c r="AR346" i="6"/>
  <c r="AV347" i="6"/>
  <c r="AV348" i="6"/>
  <c r="AR349" i="6"/>
  <c r="AV350" i="6"/>
  <c r="AV351" i="6"/>
  <c r="AR352" i="6"/>
  <c r="AD353" i="6"/>
  <c r="AC353" i="6" s="1"/>
  <c r="AB353" i="6" s="1"/>
  <c r="AR353" i="6"/>
  <c r="AD354" i="6"/>
  <c r="AC354" i="6" s="1"/>
  <c r="AN354" i="6"/>
  <c r="AR354" i="6"/>
  <c r="AR355" i="6"/>
  <c r="AD356" i="6"/>
  <c r="AC356" i="6" s="1"/>
  <c r="AB356" i="6" s="1"/>
  <c r="AN356" i="6"/>
  <c r="AR357" i="6"/>
  <c r="AV358" i="6"/>
  <c r="AD359" i="6"/>
  <c r="AC359" i="6" s="1"/>
  <c r="AB359" i="6" s="1"/>
  <c r="AR359" i="6"/>
  <c r="AD360" i="6"/>
  <c r="AC360" i="6" s="1"/>
  <c r="AB360" i="6" s="1"/>
  <c r="AR360" i="6"/>
  <c r="AV361" i="6"/>
  <c r="AD362" i="6"/>
  <c r="AC362" i="6" s="1"/>
  <c r="AB362" i="6" s="1"/>
  <c r="AR362" i="6"/>
  <c r="AV363" i="6"/>
  <c r="AD364" i="6"/>
  <c r="AC364" i="6" s="1"/>
  <c r="AR364" i="6"/>
  <c r="AV365" i="6"/>
  <c r="AR366" i="6"/>
  <c r="AD367" i="6"/>
  <c r="AC367" i="6" s="1"/>
  <c r="AB367" i="6" s="1"/>
  <c r="AR367" i="6"/>
  <c r="AD368" i="6"/>
  <c r="AC368" i="6" s="1"/>
  <c r="AB368" i="6" s="1"/>
  <c r="AN368" i="6"/>
  <c r="AJ370" i="6"/>
  <c r="AV371" i="6"/>
  <c r="AR372" i="6"/>
  <c r="AR373" i="6"/>
  <c r="AD374" i="6"/>
  <c r="AC374" i="6" s="1"/>
  <c r="AB374" i="6" s="1"/>
  <c r="AR374" i="6"/>
  <c r="AR375" i="6"/>
  <c r="AD376" i="6"/>
  <c r="AC376" i="6" s="1"/>
  <c r="AB376" i="6" s="1"/>
  <c r="AN376" i="6"/>
  <c r="AV377" i="6"/>
  <c r="AD378" i="6"/>
  <c r="AC378" i="6" s="1"/>
  <c r="AB378" i="6" s="1"/>
  <c r="AN378" i="6"/>
  <c r="AV378" i="6"/>
  <c r="AD379" i="6"/>
  <c r="AC379" i="6" s="1"/>
  <c r="AN379" i="6"/>
  <c r="AD380" i="6"/>
  <c r="AC380" i="6" s="1"/>
  <c r="AB380" i="6" s="1"/>
  <c r="AN380" i="6"/>
  <c r="AR380" i="6"/>
  <c r="AJ381" i="6"/>
  <c r="AV382" i="6"/>
  <c r="AV383" i="6"/>
  <c r="AD384" i="6"/>
  <c r="AC384" i="6" s="1"/>
  <c r="AB384" i="6" s="1"/>
  <c r="AR384" i="6"/>
  <c r="AD385" i="6"/>
  <c r="AC385" i="6" s="1"/>
  <c r="AN385" i="6"/>
  <c r="AR385" i="6"/>
  <c r="AN386" i="6"/>
  <c r="AJ387" i="6"/>
  <c r="AJ388" i="6"/>
  <c r="AJ389" i="6"/>
  <c r="AR304" i="6"/>
  <c r="AR302" i="6"/>
  <c r="AJ327" i="6"/>
  <c r="AJ357" i="6"/>
  <c r="AJ374" i="6"/>
  <c r="AI304" i="6"/>
  <c r="AD305" i="6"/>
  <c r="AC305" i="6" s="1"/>
  <c r="AB305" i="6" s="1"/>
  <c r="AD307" i="6"/>
  <c r="AC307" i="6" s="1"/>
  <c r="AB307" i="6" s="1"/>
  <c r="AD310" i="6"/>
  <c r="AC310" i="6" s="1"/>
  <c r="AB310" i="6" s="1"/>
  <c r="AD312" i="6"/>
  <c r="AC312" i="6" s="1"/>
  <c r="AB312" i="6" s="1"/>
  <c r="AD313" i="6"/>
  <c r="AC313" i="6" s="1"/>
  <c r="AB313" i="6" s="1"/>
  <c r="AD314" i="6"/>
  <c r="AC314" i="6" s="1"/>
  <c r="AB314" i="6" s="1"/>
  <c r="AD316" i="6"/>
  <c r="AC316" i="6" s="1"/>
  <c r="AB316" i="6" s="1"/>
  <c r="AJ316" i="6"/>
  <c r="AD317" i="6"/>
  <c r="AC317" i="6" s="1"/>
  <c r="AB317" i="6" s="1"/>
  <c r="AD319" i="6"/>
  <c r="AC319" i="6" s="1"/>
  <c r="AB319" i="6" s="1"/>
  <c r="AJ319" i="6"/>
  <c r="AD320" i="6"/>
  <c r="AC320" i="6" s="1"/>
  <c r="AB320" i="6" s="1"/>
  <c r="AJ320" i="6"/>
  <c r="AD322" i="6"/>
  <c r="AC322" i="6" s="1"/>
  <c r="AB322" i="6" s="1"/>
  <c r="AJ322" i="6"/>
  <c r="AD323" i="6"/>
  <c r="AC323" i="6" s="1"/>
  <c r="AB323" i="6" s="1"/>
  <c r="AN327" i="6"/>
  <c r="AD330" i="6"/>
  <c r="AC330" i="6" s="1"/>
  <c r="AB330" i="6" s="1"/>
  <c r="AR332" i="6"/>
  <c r="AD333" i="6"/>
  <c r="AC333" i="6" s="1"/>
  <c r="AD334" i="6"/>
  <c r="AC334" i="6" s="1"/>
  <c r="AJ334" i="6"/>
  <c r="AD335" i="6"/>
  <c r="AC335" i="6" s="1"/>
  <c r="AJ335" i="6"/>
  <c r="AD337" i="6"/>
  <c r="AC337" i="6" s="1"/>
  <c r="AB337" i="6" s="1"/>
  <c r="AJ337" i="6"/>
  <c r="AD340" i="6"/>
  <c r="AC340" i="6" s="1"/>
  <c r="AB340" i="6" s="1"/>
  <c r="AD343" i="6"/>
  <c r="AC343" i="6" s="1"/>
  <c r="AB343" i="6" s="1"/>
  <c r="AJ343" i="6"/>
  <c r="AD344" i="6"/>
  <c r="AC344" i="6" s="1"/>
  <c r="AD346" i="6"/>
  <c r="AC346" i="6" s="1"/>
  <c r="AJ346" i="6"/>
  <c r="AD347" i="6"/>
  <c r="AC347" i="6" s="1"/>
  <c r="AD348" i="6"/>
  <c r="AC348" i="6" s="1"/>
  <c r="AD349" i="6"/>
  <c r="AC349" i="6" s="1"/>
  <c r="AD350" i="6"/>
  <c r="AC350" i="6" s="1"/>
  <c r="AB350" i="6" s="1"/>
  <c r="AJ350" i="6"/>
  <c r="AD351" i="6"/>
  <c r="AC351" i="6" s="1"/>
  <c r="AB351" i="6" s="1"/>
  <c r="AJ351" i="6"/>
  <c r="AD352" i="6"/>
  <c r="AC352" i="6" s="1"/>
  <c r="AB352" i="6" s="1"/>
  <c r="AD355" i="6"/>
  <c r="AC355" i="6" s="1"/>
  <c r="AJ355" i="6"/>
  <c r="AN357" i="6"/>
  <c r="AD358" i="6"/>
  <c r="AC358" i="6" s="1"/>
  <c r="AJ358" i="6"/>
  <c r="AD361" i="6"/>
  <c r="AC361" i="6" s="1"/>
  <c r="AB361" i="6" s="1"/>
  <c r="AJ361" i="6"/>
  <c r="AD363" i="6"/>
  <c r="AC363" i="6" s="1"/>
  <c r="AB363" i="6" s="1"/>
  <c r="AJ363" i="6"/>
  <c r="AD365" i="6"/>
  <c r="AC365" i="6" s="1"/>
  <c r="AB365" i="6" s="1"/>
  <c r="AJ365" i="6"/>
  <c r="AD366" i="6"/>
  <c r="AC366" i="6" s="1"/>
  <c r="AD369" i="6"/>
  <c r="AC369" i="6" s="1"/>
  <c r="AB369" i="6" s="1"/>
  <c r="AD370" i="6"/>
  <c r="AC370" i="6" s="1"/>
  <c r="AD372" i="6"/>
  <c r="AC372" i="6" s="1"/>
  <c r="AB372" i="6" s="1"/>
  <c r="AD373" i="6"/>
  <c r="AC373" i="6" s="1"/>
  <c r="AB373" i="6" s="1"/>
  <c r="AN374" i="6"/>
  <c r="AD375" i="6"/>
  <c r="AC375" i="6" s="1"/>
  <c r="AB375" i="6" s="1"/>
  <c r="AD381" i="6"/>
  <c r="AC381" i="6" s="1"/>
  <c r="AD383" i="6"/>
  <c r="AC383" i="6" s="1"/>
  <c r="AD386" i="6"/>
  <c r="AC386" i="6" s="1"/>
  <c r="AB386" i="6" s="1"/>
  <c r="AJ386" i="6"/>
  <c r="AD387" i="6"/>
  <c r="AC387" i="6" s="1"/>
  <c r="AD388" i="6"/>
  <c r="AC388" i="6" s="1"/>
  <c r="AB388" i="6" s="1"/>
  <c r="AD389" i="6"/>
  <c r="AC389" i="6" s="1"/>
  <c r="AB389" i="6" s="1"/>
  <c r="AB302" i="6"/>
  <c r="AA302" i="6"/>
  <c r="X302" i="6"/>
  <c r="N302" i="6" s="1"/>
  <c r="BG301" i="6"/>
  <c r="BF301" i="6"/>
  <c r="AX301" i="6"/>
  <c r="AW301" i="6"/>
  <c r="AT301" i="6"/>
  <c r="AS301" i="6"/>
  <c r="AQ301" i="6"/>
  <c r="AP301" i="6"/>
  <c r="AO301" i="6"/>
  <c r="AL301" i="6"/>
  <c r="AK301" i="6"/>
  <c r="AF301" i="6"/>
  <c r="AE301" i="6"/>
  <c r="AA301" i="6"/>
  <c r="X301" i="6"/>
  <c r="N301" i="6" s="1"/>
  <c r="BG300" i="6"/>
  <c r="AX300" i="6"/>
  <c r="AW300" i="6"/>
  <c r="AT300" i="6"/>
  <c r="AS300" i="6"/>
  <c r="AQ300" i="6"/>
  <c r="AP300" i="6"/>
  <c r="AO300" i="6"/>
  <c r="AM300" i="6"/>
  <c r="AI300" i="6" s="1"/>
  <c r="AL300" i="6"/>
  <c r="AK300" i="6"/>
  <c r="AF300" i="6"/>
  <c r="AE300" i="6"/>
  <c r="AA300" i="6"/>
  <c r="X300" i="6"/>
  <c r="N300" i="6" s="1"/>
  <c r="BG299" i="6"/>
  <c r="AX299" i="6"/>
  <c r="AW299" i="6"/>
  <c r="AT299" i="6"/>
  <c r="AS299" i="6"/>
  <c r="AQ299" i="6"/>
  <c r="AP299" i="6"/>
  <c r="AO299" i="6"/>
  <c r="AL299" i="6"/>
  <c r="AK299" i="6"/>
  <c r="AF299" i="6"/>
  <c r="AE299" i="6"/>
  <c r="AA299" i="6"/>
  <c r="X299" i="6"/>
  <c r="N299" i="6" s="1"/>
  <c r="BG298" i="6"/>
  <c r="BF298" i="6"/>
  <c r="AX298" i="6"/>
  <c r="AW298" i="6"/>
  <c r="AT298" i="6"/>
  <c r="AS298" i="6"/>
  <c r="AQ298" i="6"/>
  <c r="AP298" i="6"/>
  <c r="AO298" i="6"/>
  <c r="AL298" i="6"/>
  <c r="AK298" i="6"/>
  <c r="AF298" i="6"/>
  <c r="AE298" i="6"/>
  <c r="AA298" i="6"/>
  <c r="X298" i="6"/>
  <c r="N298" i="6" s="1"/>
  <c r="AX297" i="6"/>
  <c r="AW297" i="6"/>
  <c r="AT297" i="6"/>
  <c r="AS297" i="6"/>
  <c r="AP297" i="6"/>
  <c r="AO297" i="6"/>
  <c r="AL297" i="6"/>
  <c r="AK297" i="6"/>
  <c r="AF297" i="6"/>
  <c r="AE297" i="6"/>
  <c r="AA297" i="6"/>
  <c r="X297" i="6"/>
  <c r="N297" i="6" s="1"/>
  <c r="AX296" i="6"/>
  <c r="AW296" i="6"/>
  <c r="AT296" i="6"/>
  <c r="AS296" i="6"/>
  <c r="AQ296" i="6"/>
  <c r="AP296" i="6"/>
  <c r="AO296" i="6"/>
  <c r="AL296" i="6"/>
  <c r="AK296" i="6"/>
  <c r="AI296" i="6"/>
  <c r="AF296" i="6"/>
  <c r="AE296" i="6"/>
  <c r="AA296" i="6"/>
  <c r="X296" i="6"/>
  <c r="N296" i="6" s="1"/>
  <c r="AX295" i="6"/>
  <c r="AW295" i="6"/>
  <c r="AT295" i="6"/>
  <c r="AS295" i="6"/>
  <c r="AQ295" i="6"/>
  <c r="AP295" i="6"/>
  <c r="AO295" i="6"/>
  <c r="AL295" i="6"/>
  <c r="AK295" i="6"/>
  <c r="AF295" i="6"/>
  <c r="AE295" i="6"/>
  <c r="AA295" i="6"/>
  <c r="X295" i="6"/>
  <c r="N295" i="6" s="1"/>
  <c r="BG294" i="6"/>
  <c r="AX294" i="6"/>
  <c r="AW294" i="6"/>
  <c r="AT294" i="6"/>
  <c r="AS294" i="6"/>
  <c r="AP294" i="6"/>
  <c r="AO294" i="6"/>
  <c r="AL294" i="6"/>
  <c r="AK294" i="6"/>
  <c r="AI294" i="6"/>
  <c r="AF294" i="6"/>
  <c r="AE294" i="6"/>
  <c r="AA294" i="6"/>
  <c r="X294" i="6"/>
  <c r="N294" i="6" s="1"/>
  <c r="BG293" i="6"/>
  <c r="AX293" i="6"/>
  <c r="AW293" i="6"/>
  <c r="AT293" i="6"/>
  <c r="AS293" i="6"/>
  <c r="AP293" i="6"/>
  <c r="AO293" i="6"/>
  <c r="AL293" i="6"/>
  <c r="AK293" i="6"/>
  <c r="AF293" i="6"/>
  <c r="AE293" i="6"/>
  <c r="AA293" i="6"/>
  <c r="X293" i="6"/>
  <c r="N293" i="6" s="1"/>
  <c r="BG292" i="6"/>
  <c r="AX292" i="6"/>
  <c r="AW292" i="6"/>
  <c r="AT292" i="6"/>
  <c r="AS292" i="6"/>
  <c r="AP292" i="6"/>
  <c r="AO292" i="6"/>
  <c r="AL292" i="6"/>
  <c r="AK292" i="6"/>
  <c r="AI292" i="6"/>
  <c r="AF292" i="6"/>
  <c r="AE292" i="6"/>
  <c r="AA292" i="6"/>
  <c r="X292" i="6"/>
  <c r="N292" i="6" s="1"/>
  <c r="AX291" i="6"/>
  <c r="AW291" i="6"/>
  <c r="AT291" i="6"/>
  <c r="AS291" i="6"/>
  <c r="AP291" i="6"/>
  <c r="AO291" i="6"/>
  <c r="AL291" i="6"/>
  <c r="AK291" i="6"/>
  <c r="AI291" i="6"/>
  <c r="AF291" i="6"/>
  <c r="AE291" i="6"/>
  <c r="AA291" i="6"/>
  <c r="X291" i="6"/>
  <c r="N291" i="6" s="1"/>
  <c r="AX290" i="6"/>
  <c r="AW290" i="6"/>
  <c r="AT290" i="6"/>
  <c r="AS290" i="6"/>
  <c r="AP290" i="6"/>
  <c r="AO290" i="6"/>
  <c r="AL290" i="6"/>
  <c r="AK290" i="6"/>
  <c r="AF290" i="6"/>
  <c r="AE290" i="6"/>
  <c r="AA290" i="6"/>
  <c r="X290" i="6"/>
  <c r="N290" i="6" s="1"/>
  <c r="BG289" i="6"/>
  <c r="AX289" i="6"/>
  <c r="AW289" i="6"/>
  <c r="AT289" i="6"/>
  <c r="AS289" i="6"/>
  <c r="AQ289" i="6"/>
  <c r="AP289" i="6"/>
  <c r="AO289" i="6"/>
  <c r="AL289" i="6"/>
  <c r="AK289" i="6"/>
  <c r="AF289" i="6"/>
  <c r="AE289" i="6"/>
  <c r="AA289" i="6"/>
  <c r="X289" i="6"/>
  <c r="N289" i="6" s="1"/>
  <c r="BG288" i="6"/>
  <c r="AX288" i="6"/>
  <c r="AW288" i="6"/>
  <c r="AT288" i="6"/>
  <c r="AS288" i="6"/>
  <c r="AP288" i="6"/>
  <c r="AO288" i="6"/>
  <c r="AL288" i="6"/>
  <c r="AK288" i="6"/>
  <c r="AI288" i="6"/>
  <c r="AF288" i="6"/>
  <c r="AE288" i="6"/>
  <c r="AA288" i="6"/>
  <c r="X288" i="6"/>
  <c r="N288" i="6" s="1"/>
  <c r="AX287" i="6"/>
  <c r="AW287" i="6"/>
  <c r="AT287" i="6"/>
  <c r="AS287" i="6"/>
  <c r="AQ287" i="6"/>
  <c r="AP287" i="6"/>
  <c r="AO287" i="6"/>
  <c r="AL287" i="6"/>
  <c r="AK287" i="6"/>
  <c r="AF287" i="6"/>
  <c r="AE287" i="6"/>
  <c r="AA287" i="6"/>
  <c r="X287" i="6"/>
  <c r="N287" i="6" s="1"/>
  <c r="AX286" i="6"/>
  <c r="AW286" i="6"/>
  <c r="AT286" i="6"/>
  <c r="AS286" i="6"/>
  <c r="AQ286" i="6"/>
  <c r="AP286" i="6"/>
  <c r="AO286" i="6"/>
  <c r="AL286" i="6"/>
  <c r="AK286" i="6"/>
  <c r="AF286" i="6"/>
  <c r="AE286" i="6"/>
  <c r="AA286" i="6"/>
  <c r="X286" i="6"/>
  <c r="N286" i="6" s="1"/>
  <c r="BG285" i="6"/>
  <c r="AX285" i="6"/>
  <c r="AW285" i="6"/>
  <c r="AT285" i="6"/>
  <c r="AS285" i="6"/>
  <c r="AP285" i="6"/>
  <c r="AO285" i="6"/>
  <c r="AL285" i="6"/>
  <c r="AK285" i="6"/>
  <c r="AF285" i="6"/>
  <c r="AE285" i="6"/>
  <c r="AA285" i="6"/>
  <c r="X285" i="6"/>
  <c r="N285" i="6" s="1"/>
  <c r="AX284" i="6"/>
  <c r="AW284" i="6"/>
  <c r="AT284" i="6"/>
  <c r="AS284" i="6"/>
  <c r="AP284" i="6"/>
  <c r="AO284" i="6"/>
  <c r="AL284" i="6"/>
  <c r="AK284" i="6"/>
  <c r="AI284" i="6"/>
  <c r="AF284" i="6"/>
  <c r="AE284" i="6"/>
  <c r="AA284" i="6"/>
  <c r="X284" i="6"/>
  <c r="N284" i="6" s="1"/>
  <c r="BG283" i="6"/>
  <c r="AX283" i="6"/>
  <c r="AW283" i="6"/>
  <c r="AT283" i="6"/>
  <c r="AS283" i="6"/>
  <c r="AP283" i="6"/>
  <c r="AO283" i="6"/>
  <c r="AL283" i="6"/>
  <c r="AK283" i="6"/>
  <c r="AF283" i="6"/>
  <c r="AE283" i="6"/>
  <c r="AA283" i="6"/>
  <c r="X283" i="6"/>
  <c r="N283" i="6" s="1"/>
  <c r="BG282" i="6"/>
  <c r="AX282" i="6"/>
  <c r="AW282" i="6"/>
  <c r="AT282" i="6"/>
  <c r="AS282" i="6"/>
  <c r="AP282" i="6"/>
  <c r="AO282" i="6"/>
  <c r="AM282" i="6"/>
  <c r="AL282" i="6"/>
  <c r="AK282" i="6"/>
  <c r="AF282" i="6"/>
  <c r="AE282" i="6"/>
  <c r="AA282" i="6"/>
  <c r="X282" i="6"/>
  <c r="N282" i="6" s="1"/>
  <c r="BG281" i="6"/>
  <c r="AX281" i="6"/>
  <c r="AW281" i="6"/>
  <c r="AT281" i="6"/>
  <c r="AS281" i="6"/>
  <c r="AP281" i="6"/>
  <c r="AO281" i="6"/>
  <c r="AL281" i="6"/>
  <c r="AK281" i="6"/>
  <c r="AF281" i="6"/>
  <c r="AE281" i="6"/>
  <c r="AA281" i="6"/>
  <c r="X281" i="6"/>
  <c r="N281" i="6" s="1"/>
  <c r="BG280" i="6"/>
  <c r="BF280" i="6"/>
  <c r="AX280" i="6"/>
  <c r="AW280" i="6"/>
  <c r="AT280" i="6"/>
  <c r="AS280" i="6"/>
  <c r="AP280" i="6"/>
  <c r="AO280" i="6"/>
  <c r="AL280" i="6"/>
  <c r="AK280" i="6"/>
  <c r="AI280" i="6"/>
  <c r="AF280" i="6"/>
  <c r="AE280" i="6"/>
  <c r="AA280" i="6"/>
  <c r="X280" i="6"/>
  <c r="N280" i="6" s="1"/>
  <c r="BG279" i="6"/>
  <c r="AX279" i="6"/>
  <c r="AW279" i="6"/>
  <c r="AT279" i="6"/>
  <c r="AS279" i="6"/>
  <c r="AP279" i="6"/>
  <c r="AO279" i="6"/>
  <c r="AL279" i="6"/>
  <c r="AK279" i="6"/>
  <c r="AF279" i="6"/>
  <c r="AE279" i="6"/>
  <c r="AA279" i="6"/>
  <c r="X279" i="6"/>
  <c r="N279" i="6" s="1"/>
  <c r="BG278" i="6"/>
  <c r="BF278" i="6"/>
  <c r="AX278" i="6"/>
  <c r="AW278" i="6"/>
  <c r="AT278" i="6"/>
  <c r="AS278" i="6"/>
  <c r="AQ278" i="6"/>
  <c r="AP278" i="6"/>
  <c r="AO278" i="6"/>
  <c r="AL278" i="6"/>
  <c r="AK278" i="6"/>
  <c r="AI278" i="6"/>
  <c r="AF278" i="6"/>
  <c r="AE278" i="6"/>
  <c r="AA278" i="6"/>
  <c r="X278" i="6"/>
  <c r="N278" i="6" s="1"/>
  <c r="BG277" i="6"/>
  <c r="AX277" i="6"/>
  <c r="AW277" i="6"/>
  <c r="AT277" i="6"/>
  <c r="AS277" i="6"/>
  <c r="AP277" i="6"/>
  <c r="AO277" i="6"/>
  <c r="AL277" i="6"/>
  <c r="AK277" i="6"/>
  <c r="AI277" i="6"/>
  <c r="AF277" i="6"/>
  <c r="AE277" i="6"/>
  <c r="AA277" i="6"/>
  <c r="X277" i="6"/>
  <c r="N277" i="6" s="1"/>
  <c r="BG276" i="6"/>
  <c r="AX276" i="6"/>
  <c r="AW276" i="6"/>
  <c r="AT276" i="6"/>
  <c r="AS276" i="6"/>
  <c r="AP276" i="6"/>
  <c r="AO276" i="6"/>
  <c r="AL276" i="6"/>
  <c r="AK276" i="6"/>
  <c r="AI276" i="6"/>
  <c r="AF276" i="6"/>
  <c r="AE276" i="6" s="1"/>
  <c r="AA276" i="6"/>
  <c r="X276" i="6"/>
  <c r="N276" i="6" s="1"/>
  <c r="BG275" i="6"/>
  <c r="AX275" i="6"/>
  <c r="AW275" i="6"/>
  <c r="AT275" i="6"/>
  <c r="AS275" i="6"/>
  <c r="AQ275" i="6"/>
  <c r="AP275" i="6"/>
  <c r="AO275" i="6"/>
  <c r="AL275" i="6"/>
  <c r="AK275" i="6"/>
  <c r="AI275" i="6"/>
  <c r="AF275" i="6"/>
  <c r="AE275" i="6"/>
  <c r="AA275" i="6"/>
  <c r="X275" i="6"/>
  <c r="N275" i="6" s="1"/>
  <c r="BG274" i="6"/>
  <c r="AX274" i="6"/>
  <c r="AW274" i="6"/>
  <c r="AT274" i="6"/>
  <c r="AS274" i="6"/>
  <c r="AP274" i="6"/>
  <c r="AO274" i="6"/>
  <c r="AL274" i="6"/>
  <c r="AK274" i="6"/>
  <c r="AI274" i="6"/>
  <c r="AF274" i="6"/>
  <c r="AE274" i="6"/>
  <c r="AA274" i="6"/>
  <c r="X274" i="6"/>
  <c r="N274" i="6" s="1"/>
  <c r="BG273" i="6"/>
  <c r="AX273" i="6"/>
  <c r="AW273" i="6"/>
  <c r="AT273" i="6"/>
  <c r="AS273" i="6"/>
  <c r="AP273" i="6"/>
  <c r="AO273" i="6"/>
  <c r="AL273" i="6"/>
  <c r="AK273" i="6"/>
  <c r="AI273" i="6"/>
  <c r="AF273" i="6"/>
  <c r="AE273" i="6"/>
  <c r="AA273" i="6"/>
  <c r="X273" i="6"/>
  <c r="N273" i="6" s="1"/>
  <c r="BG272" i="6"/>
  <c r="AX272" i="6"/>
  <c r="AW272" i="6"/>
  <c r="AT272" i="6"/>
  <c r="AS272" i="6"/>
  <c r="AP272" i="6"/>
  <c r="AO272" i="6"/>
  <c r="AL272" i="6"/>
  <c r="AK272" i="6"/>
  <c r="AI272" i="6"/>
  <c r="AF272" i="6"/>
  <c r="AE272" i="6"/>
  <c r="AA272" i="6"/>
  <c r="X272" i="6"/>
  <c r="N272" i="6" s="1"/>
  <c r="AB339" i="6" l="1"/>
  <c r="AB338" i="6"/>
  <c r="AB335" i="6"/>
  <c r="AB334" i="6"/>
  <c r="AB333" i="6"/>
  <c r="AB344" i="6"/>
  <c r="AB342" i="6"/>
  <c r="AB355" i="6"/>
  <c r="AB364" i="6"/>
  <c r="AB379" i="6"/>
  <c r="AB381" i="6"/>
  <c r="AB345" i="6"/>
  <c r="AB358" i="6"/>
  <c r="AB346" i="6"/>
  <c r="AB387" i="6"/>
  <c r="AB383" i="6"/>
  <c r="AB385" i="6"/>
  <c r="AB354" i="6"/>
  <c r="AB349" i="6"/>
  <c r="AB348" i="6"/>
  <c r="AB347" i="6"/>
  <c r="AB370" i="6"/>
  <c r="BF397" i="6"/>
  <c r="AG346" i="6"/>
  <c r="A1158" i="4"/>
  <c r="A192" i="6"/>
  <c r="A1162" i="4" s="1"/>
  <c r="A1159" i="4"/>
  <c r="AG377" i="6"/>
  <c r="Y377" i="6" s="1"/>
  <c r="AH359" i="6"/>
  <c r="AG357" i="6"/>
  <c r="Y357" i="6" s="1"/>
  <c r="AH357" i="6"/>
  <c r="AG389" i="6"/>
  <c r="Y389" i="6" s="1"/>
  <c r="AH389" i="6"/>
  <c r="AH346" i="6"/>
  <c r="AH315" i="6"/>
  <c r="AG315" i="6"/>
  <c r="Y315" i="6" s="1"/>
  <c r="AH331" i="6"/>
  <c r="AG331" i="6"/>
  <c r="Y331" i="6" s="1"/>
  <c r="AH381" i="6"/>
  <c r="AG381" i="6"/>
  <c r="AH330" i="6"/>
  <c r="AG330" i="6"/>
  <c r="Y330" i="6" s="1"/>
  <c r="AH305" i="6"/>
  <c r="AG305" i="6"/>
  <c r="Y305" i="6" s="1"/>
  <c r="AH309" i="6"/>
  <c r="AG309" i="6"/>
  <c r="Y309" i="6" s="1"/>
  <c r="AH308" i="6"/>
  <c r="AG308" i="6"/>
  <c r="Y308" i="6" s="1"/>
  <c r="AH328" i="6"/>
  <c r="AG328" i="6"/>
  <c r="Y328" i="6" s="1"/>
  <c r="AG302" i="6"/>
  <c r="Y302" i="6" s="1"/>
  <c r="AC300" i="6"/>
  <c r="AJ301" i="6"/>
  <c r="AD302" i="6"/>
  <c r="AH386" i="6"/>
  <c r="AG386" i="6"/>
  <c r="Y386" i="6" s="1"/>
  <c r="AH365" i="6"/>
  <c r="AG365" i="6"/>
  <c r="Y365" i="6" s="1"/>
  <c r="AH363" i="6"/>
  <c r="AG363" i="6"/>
  <c r="Y363" i="6" s="1"/>
  <c r="AH361" i="6"/>
  <c r="AG361" i="6"/>
  <c r="Y361" i="6" s="1"/>
  <c r="AH358" i="6"/>
  <c r="AG358" i="6"/>
  <c r="AH351" i="6"/>
  <c r="AG351" i="6"/>
  <c r="Y351" i="6" s="1"/>
  <c r="AH350" i="6"/>
  <c r="AG350" i="6"/>
  <c r="Y350" i="6" s="1"/>
  <c r="AH343" i="6"/>
  <c r="AG343" i="6"/>
  <c r="Y343" i="6" s="1"/>
  <c r="AH322" i="6"/>
  <c r="AG322" i="6"/>
  <c r="Y322" i="6" s="1"/>
  <c r="AH320" i="6"/>
  <c r="AG320" i="6"/>
  <c r="Y320" i="6" s="1"/>
  <c r="AH319" i="6"/>
  <c r="AG319" i="6"/>
  <c r="Y319" i="6" s="1"/>
  <c r="AH374" i="6"/>
  <c r="AG374" i="6"/>
  <c r="Y374" i="6" s="1"/>
  <c r="AH327" i="6"/>
  <c r="AG327" i="6"/>
  <c r="Y327" i="6" s="1"/>
  <c r="AH387" i="6"/>
  <c r="AG387" i="6"/>
  <c r="AH314" i="6"/>
  <c r="AG314" i="6"/>
  <c r="Y314" i="6" s="1"/>
  <c r="AH383" i="6"/>
  <c r="AG383" i="6"/>
  <c r="AH382" i="6"/>
  <c r="AG382" i="6"/>
  <c r="Y382" i="6" s="1"/>
  <c r="AH362" i="6"/>
  <c r="AG362" i="6"/>
  <c r="Y362" i="6" s="1"/>
  <c r="AH348" i="6"/>
  <c r="AG348" i="6"/>
  <c r="AH342" i="6"/>
  <c r="AG342" i="6"/>
  <c r="AH333" i="6"/>
  <c r="AG333" i="6"/>
  <c r="AH326" i="6"/>
  <c r="AG326" i="6"/>
  <c r="Y326" i="6" s="1"/>
  <c r="AH317" i="6"/>
  <c r="AG317" i="6"/>
  <c r="Y317" i="6" s="1"/>
  <c r="AH307" i="6"/>
  <c r="AG307" i="6"/>
  <c r="Y307" i="6" s="1"/>
  <c r="AH306" i="6"/>
  <c r="AG306" i="6"/>
  <c r="Y306" i="6" s="1"/>
  <c r="AH368" i="6"/>
  <c r="AG368" i="6"/>
  <c r="Y368" i="6" s="1"/>
  <c r="AH310" i="6"/>
  <c r="AG310" i="6"/>
  <c r="Y310" i="6" s="1"/>
  <c r="AH377" i="6"/>
  <c r="AH354" i="6"/>
  <c r="AG354" i="6"/>
  <c r="AH372" i="6"/>
  <c r="AG372" i="6"/>
  <c r="Y372" i="6" s="1"/>
  <c r="AH371" i="6"/>
  <c r="AG371" i="6"/>
  <c r="Y371" i="6" s="1"/>
  <c r="AH364" i="6"/>
  <c r="AG364" i="6"/>
  <c r="AH321" i="6"/>
  <c r="AG321" i="6"/>
  <c r="Y321" i="6" s="1"/>
  <c r="AH318" i="6"/>
  <c r="AG318" i="6"/>
  <c r="Y318" i="6" s="1"/>
  <c r="AH376" i="6"/>
  <c r="AG376" i="6"/>
  <c r="Y376" i="6" s="1"/>
  <c r="AH325" i="6"/>
  <c r="AG325" i="6"/>
  <c r="Y325" i="6" s="1"/>
  <c r="AH329" i="6"/>
  <c r="AG329" i="6"/>
  <c r="Y329" i="6" s="1"/>
  <c r="AH355" i="6"/>
  <c r="AG355" i="6"/>
  <c r="AH337" i="6"/>
  <c r="AG337" i="6"/>
  <c r="Y337" i="6" s="1"/>
  <c r="AH335" i="6"/>
  <c r="AG335" i="6"/>
  <c r="AH334" i="6"/>
  <c r="AG334" i="6"/>
  <c r="Y334" i="6" s="1"/>
  <c r="AH316" i="6"/>
  <c r="AG316" i="6"/>
  <c r="Y316" i="6" s="1"/>
  <c r="AH388" i="6"/>
  <c r="AG388" i="6"/>
  <c r="Y388" i="6" s="1"/>
  <c r="AH370" i="6"/>
  <c r="AG370" i="6"/>
  <c r="AH340" i="6"/>
  <c r="AG340" i="6"/>
  <c r="Y340" i="6" s="1"/>
  <c r="AH323" i="6"/>
  <c r="AG323" i="6"/>
  <c r="Y323" i="6" s="1"/>
  <c r="AH303" i="6"/>
  <c r="AG303" i="6"/>
  <c r="Y303" i="6" s="1"/>
  <c r="AH384" i="6"/>
  <c r="AG384" i="6"/>
  <c r="Y384" i="6" s="1"/>
  <c r="AH375" i="6"/>
  <c r="AG375" i="6"/>
  <c r="Y375" i="6" s="1"/>
  <c r="AH373" i="6"/>
  <c r="AG373" i="6"/>
  <c r="Y373" i="6" s="1"/>
  <c r="AH366" i="6"/>
  <c r="AG366" i="6"/>
  <c r="Y366" i="6" s="1"/>
  <c r="AG359" i="6"/>
  <c r="Y359" i="6" s="1"/>
  <c r="AH353" i="6"/>
  <c r="AG353" i="6"/>
  <c r="Y353" i="6" s="1"/>
  <c r="AH349" i="6"/>
  <c r="AG349" i="6"/>
  <c r="AH347" i="6"/>
  <c r="AG347" i="6"/>
  <c r="AH344" i="6"/>
  <c r="AG344" i="6"/>
  <c r="AH338" i="6"/>
  <c r="AG338" i="6"/>
  <c r="AH324" i="6"/>
  <c r="AG324" i="6"/>
  <c r="Y324" i="6" s="1"/>
  <c r="AH380" i="6"/>
  <c r="AG380" i="6"/>
  <c r="Y380" i="6" s="1"/>
  <c r="AH313" i="6"/>
  <c r="AG313" i="6"/>
  <c r="Y313" i="6" s="1"/>
  <c r="AH312" i="6"/>
  <c r="AG312" i="6"/>
  <c r="Y312" i="6" s="1"/>
  <c r="AH311" i="6"/>
  <c r="AG311" i="6"/>
  <c r="Y311" i="6" s="1"/>
  <c r="AH345" i="6"/>
  <c r="AG345" i="6"/>
  <c r="AH360" i="6"/>
  <c r="AG360" i="6"/>
  <c r="Y360" i="6" s="1"/>
  <c r="AH356" i="6"/>
  <c r="AG356" i="6"/>
  <c r="Y356" i="6" s="1"/>
  <c r="AH385" i="6"/>
  <c r="AG385" i="6"/>
  <c r="AH367" i="6"/>
  <c r="AG367" i="6"/>
  <c r="Y367" i="6" s="1"/>
  <c r="AH341" i="6"/>
  <c r="AG341" i="6"/>
  <c r="Y341" i="6" s="1"/>
  <c r="AH336" i="6"/>
  <c r="AG336" i="6"/>
  <c r="Y336" i="6" s="1"/>
  <c r="AH339" i="6"/>
  <c r="AG339" i="6"/>
  <c r="AV296" i="6"/>
  <c r="AR301" i="6"/>
  <c r="AN296" i="6"/>
  <c r="AN301" i="6"/>
  <c r="AR296" i="6"/>
  <c r="AN297" i="6"/>
  <c r="AN298" i="6"/>
  <c r="AR299" i="6"/>
  <c r="AV300" i="6"/>
  <c r="AN282" i="6"/>
  <c r="AN284" i="6"/>
  <c r="AR285" i="6"/>
  <c r="AV285" i="6"/>
  <c r="AD286" i="6"/>
  <c r="AC286" i="6" s="1"/>
  <c r="AB286" i="6" s="1"/>
  <c r="AV286" i="6"/>
  <c r="AR287" i="6"/>
  <c r="AN293" i="6"/>
  <c r="AR294" i="6"/>
  <c r="AV294" i="6"/>
  <c r="AV295" i="6"/>
  <c r="AJ285" i="6"/>
  <c r="AJ294" i="6"/>
  <c r="AD296" i="6"/>
  <c r="AC296" i="6" s="1"/>
  <c r="AB296" i="6" s="1"/>
  <c r="AJ296" i="6"/>
  <c r="AD297" i="6"/>
  <c r="AC297" i="6" s="1"/>
  <c r="AR272" i="6"/>
  <c r="AV272" i="6"/>
  <c r="AD273" i="6"/>
  <c r="AC273" i="6" s="1"/>
  <c r="AB273" i="6" s="1"/>
  <c r="AJ273" i="6"/>
  <c r="AR273" i="6"/>
  <c r="AN274" i="6"/>
  <c r="AV274" i="6"/>
  <c r="AD275" i="6"/>
  <c r="AC275" i="6" s="1"/>
  <c r="AB275" i="6" s="1"/>
  <c r="AJ275" i="6"/>
  <c r="AJ276" i="6"/>
  <c r="AV278" i="6"/>
  <c r="AR279" i="6"/>
  <c r="AV279" i="6"/>
  <c r="AD280" i="6"/>
  <c r="AC280" i="6" s="1"/>
  <c r="AB280" i="6" s="1"/>
  <c r="AN281" i="6"/>
  <c r="AV281" i="6"/>
  <c r="AN290" i="6"/>
  <c r="AR291" i="6"/>
  <c r="AR280" i="6"/>
  <c r="AN283" i="6"/>
  <c r="AV283" i="6"/>
  <c r="AJ284" i="6"/>
  <c r="AJ288" i="6"/>
  <c r="AR288" i="6"/>
  <c r="AV288" i="6"/>
  <c r="AD289" i="6"/>
  <c r="AC289" i="6" s="1"/>
  <c r="AB289" i="6" s="1"/>
  <c r="AV289" i="6"/>
  <c r="AJ290" i="6"/>
  <c r="AN292" i="6"/>
  <c r="AV292" i="6"/>
  <c r="AJ293" i="6"/>
  <c r="AN299" i="6"/>
  <c r="AD272" i="6"/>
  <c r="AC272" i="6" s="1"/>
  <c r="AB272" i="6" s="1"/>
  <c r="AJ272" i="6"/>
  <c r="AR276" i="6"/>
  <c r="AV276" i="6"/>
  <c r="AD277" i="6"/>
  <c r="AC277" i="6" s="1"/>
  <c r="AB277" i="6" s="1"/>
  <c r="AJ277" i="6"/>
  <c r="AR277" i="6"/>
  <c r="AN278" i="6"/>
  <c r="AJ279" i="6"/>
  <c r="AJ280" i="6"/>
  <c r="AN280" i="6"/>
  <c r="AJ281" i="6"/>
  <c r="AV282" i="6"/>
  <c r="AJ283" i="6"/>
  <c r="AV284" i="6"/>
  <c r="AJ286" i="6"/>
  <c r="AN286" i="6"/>
  <c r="AR286" i="6"/>
  <c r="AV287" i="6"/>
  <c r="AJ289" i="6"/>
  <c r="AN289" i="6"/>
  <c r="AR289" i="6"/>
  <c r="AV290" i="6"/>
  <c r="AN291" i="6"/>
  <c r="AJ292" i="6"/>
  <c r="AV293" i="6"/>
  <c r="AR297" i="6"/>
  <c r="AV297" i="6"/>
  <c r="AR298" i="6"/>
  <c r="AV298" i="6"/>
  <c r="AR300" i="6"/>
  <c r="AR278" i="6"/>
  <c r="AN272" i="6"/>
  <c r="AN273" i="6"/>
  <c r="AV273" i="6"/>
  <c r="AD274" i="6"/>
  <c r="AC274" i="6" s="1"/>
  <c r="AB274" i="6" s="1"/>
  <c r="AJ274" i="6"/>
  <c r="AR274" i="6"/>
  <c r="AN275" i="6"/>
  <c r="AR275" i="6"/>
  <c r="AV275" i="6"/>
  <c r="AN276" i="6"/>
  <c r="AN277" i="6"/>
  <c r="AV277" i="6"/>
  <c r="AD278" i="6"/>
  <c r="AC278" i="6" s="1"/>
  <c r="AB278" i="6" s="1"/>
  <c r="AJ278" i="6"/>
  <c r="AD279" i="6"/>
  <c r="AC279" i="6" s="1"/>
  <c r="AB279" i="6" s="1"/>
  <c r="AN279" i="6"/>
  <c r="AV280" i="6"/>
  <c r="AR281" i="6"/>
  <c r="AR282" i="6"/>
  <c r="AD283" i="6"/>
  <c r="AC283" i="6" s="1"/>
  <c r="AB283" i="6" s="1"/>
  <c r="AR283" i="6"/>
  <c r="AR284" i="6"/>
  <c r="AD285" i="6"/>
  <c r="AC285" i="6" s="1"/>
  <c r="AB285" i="6" s="1"/>
  <c r="AN285" i="6"/>
  <c r="AD287" i="6"/>
  <c r="AC287" i="6" s="1"/>
  <c r="AB287" i="6" s="1"/>
  <c r="AN287" i="6"/>
  <c r="AD288" i="6"/>
  <c r="AC288" i="6" s="1"/>
  <c r="AB288" i="6" s="1"/>
  <c r="AN288" i="6"/>
  <c r="AR290" i="6"/>
  <c r="AV291" i="6"/>
  <c r="AD292" i="6"/>
  <c r="AC292" i="6" s="1"/>
  <c r="AR292" i="6"/>
  <c r="AR293" i="6"/>
  <c r="AD294" i="6"/>
  <c r="AC294" i="6" s="1"/>
  <c r="AB294" i="6" s="1"/>
  <c r="AN294" i="6"/>
  <c r="AN295" i="6"/>
  <c r="AJ298" i="6"/>
  <c r="AV299" i="6"/>
  <c r="AD300" i="6"/>
  <c r="AB300" i="6" s="1"/>
  <c r="AN300" i="6"/>
  <c r="AV301" i="6"/>
  <c r="AD276" i="6"/>
  <c r="AC276" i="6" s="1"/>
  <c r="AB276" i="6" s="1"/>
  <c r="AD281" i="6"/>
  <c r="AC281" i="6" s="1"/>
  <c r="AB281" i="6" s="1"/>
  <c r="AD282" i="6"/>
  <c r="AC282" i="6" s="1"/>
  <c r="AB282" i="6" s="1"/>
  <c r="AD284" i="6"/>
  <c r="AC284" i="6" s="1"/>
  <c r="AB284" i="6" s="1"/>
  <c r="AD290" i="6"/>
  <c r="AC290" i="6" s="1"/>
  <c r="AB290" i="6" s="1"/>
  <c r="AD291" i="6"/>
  <c r="AC291" i="6" s="1"/>
  <c r="AB291" i="6" s="1"/>
  <c r="AJ291" i="6"/>
  <c r="AD293" i="6"/>
  <c r="AC293" i="6" s="1"/>
  <c r="AB293" i="6" s="1"/>
  <c r="AD295" i="6"/>
  <c r="AC295" i="6" s="1"/>
  <c r="AB295" i="6" s="1"/>
  <c r="AJ295" i="6"/>
  <c r="AR295" i="6"/>
  <c r="AD298" i="6"/>
  <c r="AC298" i="6" s="1"/>
  <c r="AB298" i="6" s="1"/>
  <c r="AD299" i="6"/>
  <c r="AC299" i="6" s="1"/>
  <c r="AJ299" i="6"/>
  <c r="AD301" i="6"/>
  <c r="AC301" i="6" s="1"/>
  <c r="AJ304" i="6"/>
  <c r="AJ379" i="6"/>
  <c r="BG271" i="6"/>
  <c r="BF271" i="6"/>
  <c r="AX271" i="6"/>
  <c r="AW271" i="6"/>
  <c r="AT271" i="6"/>
  <c r="AS271" i="6"/>
  <c r="AQ271" i="6"/>
  <c r="AP271" i="6"/>
  <c r="AO271" i="6"/>
  <c r="AL271" i="6"/>
  <c r="AK271" i="6"/>
  <c r="AF271" i="6"/>
  <c r="AE271" i="6"/>
  <c r="AA271" i="6"/>
  <c r="X271" i="6"/>
  <c r="O271" i="6"/>
  <c r="BG270" i="6"/>
  <c r="AX270" i="6"/>
  <c r="AW270" i="6"/>
  <c r="AT270" i="6"/>
  <c r="AS270" i="6"/>
  <c r="AP270" i="6"/>
  <c r="AO270" i="6"/>
  <c r="AL270" i="6"/>
  <c r="AK270" i="6"/>
  <c r="AI270" i="6"/>
  <c r="AF270" i="6"/>
  <c r="AE270" i="6"/>
  <c r="AA270" i="6"/>
  <c r="X270" i="6"/>
  <c r="N270" i="6" s="1"/>
  <c r="BG269" i="6"/>
  <c r="AX269" i="6"/>
  <c r="AW269" i="6"/>
  <c r="AT269" i="6"/>
  <c r="AS269" i="6"/>
  <c r="AP269" i="6"/>
  <c r="AO269" i="6"/>
  <c r="AL269" i="6"/>
  <c r="AK269" i="6"/>
  <c r="AI269" i="6"/>
  <c r="AF269" i="6"/>
  <c r="AE269" i="6"/>
  <c r="AA269" i="6"/>
  <c r="X269" i="6"/>
  <c r="N269" i="6" s="1"/>
  <c r="AX268" i="6"/>
  <c r="AW268" i="6"/>
  <c r="AU394" i="6"/>
  <c r="AT268" i="6"/>
  <c r="AS268" i="6"/>
  <c r="AQ268" i="6"/>
  <c r="AP268" i="6"/>
  <c r="AO268" i="6"/>
  <c r="AL268" i="6"/>
  <c r="AI268" i="6"/>
  <c r="AF268" i="6"/>
  <c r="AA268" i="6"/>
  <c r="X268" i="6"/>
  <c r="N268" i="6" s="1"/>
  <c r="BG267" i="6"/>
  <c r="AX267" i="6"/>
  <c r="AW267" i="6"/>
  <c r="AT267" i="6"/>
  <c r="AS267" i="6"/>
  <c r="AQ267" i="6"/>
  <c r="AP267" i="6"/>
  <c r="AO267" i="6"/>
  <c r="AM267" i="6"/>
  <c r="AL267" i="6"/>
  <c r="AK267" i="6"/>
  <c r="AF267" i="6"/>
  <c r="AE267" i="6"/>
  <c r="AA267" i="6"/>
  <c r="X267" i="6"/>
  <c r="N267" i="6" s="1"/>
  <c r="BG266" i="6"/>
  <c r="AX266" i="6"/>
  <c r="AW266" i="6"/>
  <c r="AT266" i="6"/>
  <c r="AS266" i="6"/>
  <c r="AP266" i="6"/>
  <c r="AO266" i="6"/>
  <c r="AL266" i="6"/>
  <c r="AK266" i="6"/>
  <c r="AI266" i="6"/>
  <c r="AF266" i="6"/>
  <c r="AE266" i="6"/>
  <c r="AA266" i="6"/>
  <c r="X266" i="6"/>
  <c r="N266" i="6" s="1"/>
  <c r="AX265" i="6"/>
  <c r="AW265" i="6"/>
  <c r="AT265" i="6"/>
  <c r="AS265" i="6"/>
  <c r="AP265" i="6"/>
  <c r="AO265" i="6"/>
  <c r="AM265" i="6"/>
  <c r="AL265" i="6"/>
  <c r="AK265" i="6"/>
  <c r="AF265" i="6"/>
  <c r="AE265" i="6"/>
  <c r="AA265" i="6"/>
  <c r="X265" i="6"/>
  <c r="N265" i="6" s="1"/>
  <c r="BF264" i="6"/>
  <c r="AX264" i="6"/>
  <c r="AW264" i="6"/>
  <c r="AT264" i="6"/>
  <c r="AS264" i="6"/>
  <c r="AP264" i="6"/>
  <c r="AO264" i="6"/>
  <c r="AL264" i="6"/>
  <c r="AK264" i="6"/>
  <c r="AF264" i="6"/>
  <c r="AE264" i="6"/>
  <c r="AA264" i="6"/>
  <c r="X264" i="6"/>
  <c r="N264" i="6" s="1"/>
  <c r="BG263" i="6"/>
  <c r="AX263" i="6"/>
  <c r="AW263" i="6"/>
  <c r="AT263" i="6"/>
  <c r="AS263" i="6"/>
  <c r="AP263" i="6"/>
  <c r="AO263" i="6"/>
  <c r="AM263" i="6"/>
  <c r="AL263" i="6"/>
  <c r="AK263" i="6"/>
  <c r="AF263" i="6"/>
  <c r="AE263" i="6"/>
  <c r="AA263" i="6"/>
  <c r="X263" i="6"/>
  <c r="N263" i="6" s="1"/>
  <c r="BG262" i="6"/>
  <c r="BF262" i="6"/>
  <c r="AX262" i="6"/>
  <c r="AW262" i="6"/>
  <c r="AT262" i="6"/>
  <c r="AS262" i="6"/>
  <c r="AQ262" i="6"/>
  <c r="AP262" i="6"/>
  <c r="AO262" i="6"/>
  <c r="AL262" i="6"/>
  <c r="AK262" i="6"/>
  <c r="AI262" i="6"/>
  <c r="AF262" i="6"/>
  <c r="AE262" i="6"/>
  <c r="AA262" i="6"/>
  <c r="X262" i="6"/>
  <c r="N262" i="6" s="1"/>
  <c r="BG261" i="6"/>
  <c r="AX261" i="6"/>
  <c r="AW261" i="6"/>
  <c r="AT261" i="6"/>
  <c r="AS261" i="6"/>
  <c r="AP261" i="6"/>
  <c r="AO261" i="6"/>
  <c r="AL261" i="6"/>
  <c r="AK261" i="6"/>
  <c r="AI261" i="6"/>
  <c r="AF261" i="6"/>
  <c r="AE261" i="6"/>
  <c r="AA261" i="6"/>
  <c r="X261" i="6"/>
  <c r="N261" i="6" s="1"/>
  <c r="AG277" i="6" l="1"/>
  <c r="Y339" i="6"/>
  <c r="Y381" i="6"/>
  <c r="Y335" i="6"/>
  <c r="Y333" i="6"/>
  <c r="Y355" i="6"/>
  <c r="Y364" i="6"/>
  <c r="AB301" i="6"/>
  <c r="AB297" i="6"/>
  <c r="AB299" i="6"/>
  <c r="Y338" i="6"/>
  <c r="Y358" i="6"/>
  <c r="Y345" i="6"/>
  <c r="Y344" i="6"/>
  <c r="Y342" i="6"/>
  <c r="Y346" i="6"/>
  <c r="Y354" i="6"/>
  <c r="AB292" i="6"/>
  <c r="Y383" i="6"/>
  <c r="Y370" i="6"/>
  <c r="Y387" i="6"/>
  <c r="Y347" i="6"/>
  <c r="Y348" i="6"/>
  <c r="Y385" i="6"/>
  <c r="Y349" i="6"/>
  <c r="A1166" i="4"/>
  <c r="A1163" i="4"/>
  <c r="A1165" i="4"/>
  <c r="A1161" i="4"/>
  <c r="A193" i="6"/>
  <c r="A1164" i="4"/>
  <c r="A1160" i="4"/>
  <c r="AH299" i="6"/>
  <c r="AG299" i="6"/>
  <c r="AH278" i="6"/>
  <c r="AG278" i="6"/>
  <c r="Y278" i="6" s="1"/>
  <c r="AH277" i="6"/>
  <c r="Y277" i="6"/>
  <c r="AH285" i="6"/>
  <c r="AG285" i="6"/>
  <c r="Y285" i="6" s="1"/>
  <c r="AH292" i="6"/>
  <c r="AG292" i="6"/>
  <c r="AC268" i="6"/>
  <c r="AH302" i="6"/>
  <c r="AH379" i="6"/>
  <c r="AG379" i="6"/>
  <c r="Y379" i="6" s="1"/>
  <c r="AH295" i="6"/>
  <c r="AG295" i="6"/>
  <c r="Y295" i="6" s="1"/>
  <c r="AH289" i="6"/>
  <c r="AG289" i="6"/>
  <c r="Y289" i="6" s="1"/>
  <c r="AH286" i="6"/>
  <c r="AG286" i="6"/>
  <c r="Y286" i="6" s="1"/>
  <c r="AH283" i="6"/>
  <c r="AG283" i="6"/>
  <c r="Y283" i="6" s="1"/>
  <c r="AH281" i="6"/>
  <c r="AG281" i="6"/>
  <c r="Y281" i="6" s="1"/>
  <c r="AH280" i="6"/>
  <c r="AG280" i="6"/>
  <c r="Y280" i="6" s="1"/>
  <c r="AH272" i="6"/>
  <c r="AG272" i="6"/>
  <c r="Y272" i="6" s="1"/>
  <c r="AH290" i="6"/>
  <c r="AG290" i="6"/>
  <c r="Y290" i="6" s="1"/>
  <c r="AH284" i="6"/>
  <c r="AG284" i="6"/>
  <c r="Y284" i="6" s="1"/>
  <c r="AH276" i="6"/>
  <c r="AG276" i="6"/>
  <c r="Y276" i="6" s="1"/>
  <c r="AH273" i="6"/>
  <c r="AG273" i="6"/>
  <c r="Y273" i="6" s="1"/>
  <c r="AH301" i="6"/>
  <c r="AG301" i="6"/>
  <c r="AH296" i="6"/>
  <c r="AG296" i="6"/>
  <c r="Y296" i="6" s="1"/>
  <c r="AH294" i="6"/>
  <c r="AG294" i="6"/>
  <c r="Y294" i="6" s="1"/>
  <c r="AH304" i="6"/>
  <c r="AG304" i="6"/>
  <c r="Y304" i="6" s="1"/>
  <c r="AH291" i="6"/>
  <c r="AG291" i="6"/>
  <c r="Y291" i="6" s="1"/>
  <c r="AH298" i="6"/>
  <c r="AG298" i="6"/>
  <c r="Y298" i="6" s="1"/>
  <c r="AH274" i="6"/>
  <c r="AG274" i="6"/>
  <c r="Y274" i="6" s="1"/>
  <c r="AH279" i="6"/>
  <c r="AG279" i="6"/>
  <c r="Y279" i="6" s="1"/>
  <c r="AH293" i="6"/>
  <c r="AG293" i="6"/>
  <c r="Y293" i="6" s="1"/>
  <c r="AH288" i="6"/>
  <c r="AG288" i="6"/>
  <c r="Y288" i="6" s="1"/>
  <c r="AH275" i="6"/>
  <c r="AG275" i="6"/>
  <c r="Y275" i="6" s="1"/>
  <c r="AN271" i="6"/>
  <c r="N271" i="6"/>
  <c r="AN267" i="6"/>
  <c r="AJ268" i="6"/>
  <c r="AR271" i="6"/>
  <c r="AN261" i="6"/>
  <c r="AV261" i="6"/>
  <c r="AD262" i="6"/>
  <c r="AC262" i="6" s="1"/>
  <c r="AB262" i="6" s="1"/>
  <c r="AJ262" i="6"/>
  <c r="AR265" i="6"/>
  <c r="AR267" i="6"/>
  <c r="AN269" i="6"/>
  <c r="AN270" i="6"/>
  <c r="AV270" i="6"/>
  <c r="AJ271" i="6"/>
  <c r="AR264" i="6"/>
  <c r="AN266" i="6"/>
  <c r="AV266" i="6"/>
  <c r="AJ269" i="6"/>
  <c r="AR263" i="6"/>
  <c r="AN264" i="6"/>
  <c r="AJ266" i="6"/>
  <c r="AV269" i="6"/>
  <c r="AJ270" i="6"/>
  <c r="AR261" i="6"/>
  <c r="AN262" i="6"/>
  <c r="AR262" i="6"/>
  <c r="AV262" i="6"/>
  <c r="AD263" i="6"/>
  <c r="AC263" i="6" s="1"/>
  <c r="AB263" i="6" s="1"/>
  <c r="AN263" i="6"/>
  <c r="AV263" i="6"/>
  <c r="AV264" i="6"/>
  <c r="AD265" i="6"/>
  <c r="AC265" i="6" s="1"/>
  <c r="AB265" i="6" s="1"/>
  <c r="AN265" i="6"/>
  <c r="AV265" i="6"/>
  <c r="AR266" i="6"/>
  <c r="AV267" i="6"/>
  <c r="AD268" i="6"/>
  <c r="AB268" i="6" s="1"/>
  <c r="AN268" i="6"/>
  <c r="AR268" i="6"/>
  <c r="AR269" i="6"/>
  <c r="AR270" i="6"/>
  <c r="AV271" i="6"/>
  <c r="AD261" i="6"/>
  <c r="AC261" i="6" s="1"/>
  <c r="AB261" i="6" s="1"/>
  <c r="AJ261" i="6"/>
  <c r="AD264" i="6"/>
  <c r="AC264" i="6" s="1"/>
  <c r="AB264" i="6" s="1"/>
  <c r="AJ264" i="6"/>
  <c r="AI265" i="6"/>
  <c r="AJ265" i="6" s="1"/>
  <c r="AD266" i="6"/>
  <c r="AC266" i="6" s="1"/>
  <c r="AB266" i="6" s="1"/>
  <c r="AD267" i="6"/>
  <c r="AC267" i="6" s="1"/>
  <c r="AB267" i="6" s="1"/>
  <c r="AV268" i="6"/>
  <c r="AD269" i="6"/>
  <c r="AC269" i="6" s="1"/>
  <c r="AB269" i="6" s="1"/>
  <c r="AD270" i="6"/>
  <c r="AC270" i="6" s="1"/>
  <c r="AB270" i="6" s="1"/>
  <c r="AD271" i="6"/>
  <c r="AC271" i="6" s="1"/>
  <c r="AB271" i="6" s="1"/>
  <c r="AJ300" i="6"/>
  <c r="AJ287" i="6"/>
  <c r="BG260" i="6"/>
  <c r="BF260" i="6"/>
  <c r="AX260" i="6"/>
  <c r="AW260" i="6"/>
  <c r="AT260" i="6"/>
  <c r="AS260" i="6"/>
  <c r="AP260" i="6"/>
  <c r="AO260" i="6"/>
  <c r="AL260" i="6"/>
  <c r="AK260" i="6"/>
  <c r="AF260" i="6"/>
  <c r="AE260" i="6"/>
  <c r="AA260" i="6"/>
  <c r="X260" i="6"/>
  <c r="N260" i="6" s="1"/>
  <c r="BG259" i="6"/>
  <c r="AX259" i="6"/>
  <c r="AW259" i="6"/>
  <c r="AT259" i="6"/>
  <c r="AS259" i="6"/>
  <c r="AP259" i="6"/>
  <c r="AO259" i="6"/>
  <c r="AL259" i="6"/>
  <c r="AK259" i="6"/>
  <c r="AF259" i="6"/>
  <c r="AE259" i="6"/>
  <c r="AA259" i="6"/>
  <c r="X259" i="6"/>
  <c r="N259" i="6" s="1"/>
  <c r="BG258" i="6"/>
  <c r="BF258" i="6"/>
  <c r="AX258" i="6"/>
  <c r="AW258" i="6"/>
  <c r="AT258" i="6"/>
  <c r="AS258" i="6"/>
  <c r="AP258" i="6"/>
  <c r="AO258" i="6"/>
  <c r="AL258" i="6"/>
  <c r="AK258" i="6"/>
  <c r="AI258" i="6"/>
  <c r="AF258" i="6"/>
  <c r="AE258" i="6"/>
  <c r="AA258" i="6"/>
  <c r="X258" i="6"/>
  <c r="N258" i="6" s="1"/>
  <c r="BF257" i="6"/>
  <c r="AX257" i="6"/>
  <c r="AW257" i="6"/>
  <c r="AT257" i="6"/>
  <c r="AS257" i="6"/>
  <c r="AP257" i="6"/>
  <c r="AO257" i="6"/>
  <c r="AL257" i="6"/>
  <c r="AK257" i="6"/>
  <c r="AI257" i="6"/>
  <c r="AF257" i="6"/>
  <c r="AE257" i="6"/>
  <c r="AA257" i="6"/>
  <c r="X257" i="6"/>
  <c r="N257" i="6" s="1"/>
  <c r="BG256" i="6"/>
  <c r="AX256" i="6"/>
  <c r="AW256" i="6"/>
  <c r="AT256" i="6"/>
  <c r="AS256" i="6"/>
  <c r="AQ256" i="6"/>
  <c r="AP256" i="6"/>
  <c r="AO256" i="6"/>
  <c r="AI256" i="6"/>
  <c r="AL256" i="6"/>
  <c r="AK256" i="6"/>
  <c r="AF256" i="6"/>
  <c r="AE256" i="6"/>
  <c r="AA256" i="6"/>
  <c r="X256" i="6"/>
  <c r="N256" i="6" s="1"/>
  <c r="BG255" i="6"/>
  <c r="BF255" i="6"/>
  <c r="AX255" i="6"/>
  <c r="AW255" i="6"/>
  <c r="AT255" i="6"/>
  <c r="AS255" i="6"/>
  <c r="AP255" i="6"/>
  <c r="AO255" i="6"/>
  <c r="AL255" i="6"/>
  <c r="AK255" i="6"/>
  <c r="AF255" i="6"/>
  <c r="AE255" i="6"/>
  <c r="AA255" i="6"/>
  <c r="X255" i="6"/>
  <c r="N255" i="6" s="1"/>
  <c r="BG254" i="6"/>
  <c r="AX254" i="6"/>
  <c r="AW254" i="6"/>
  <c r="AT254" i="6"/>
  <c r="AS254" i="6"/>
  <c r="AP254" i="6"/>
  <c r="AO254" i="6"/>
  <c r="AL254" i="6"/>
  <c r="AK254" i="6"/>
  <c r="AF254" i="6"/>
  <c r="AE254" i="6"/>
  <c r="AA254" i="6"/>
  <c r="X254" i="6"/>
  <c r="N254" i="6" s="1"/>
  <c r="BG253" i="6"/>
  <c r="AX253" i="6"/>
  <c r="AW253" i="6"/>
  <c r="AT253" i="6"/>
  <c r="AS253" i="6"/>
  <c r="AP253" i="6"/>
  <c r="AO253" i="6"/>
  <c r="AM253" i="6"/>
  <c r="AL253" i="6"/>
  <c r="AK253" i="6"/>
  <c r="AF253" i="6"/>
  <c r="AE253" i="6"/>
  <c r="AA253" i="6"/>
  <c r="X253" i="6"/>
  <c r="N253" i="6" s="1"/>
  <c r="AX252" i="6"/>
  <c r="AW252" i="6"/>
  <c r="AT252" i="6"/>
  <c r="AS252" i="6"/>
  <c r="AP252" i="6"/>
  <c r="AO252" i="6"/>
  <c r="AL252" i="6"/>
  <c r="AK252" i="6"/>
  <c r="AI252" i="6"/>
  <c r="AF252" i="6"/>
  <c r="AE252" i="6"/>
  <c r="AA252" i="6"/>
  <c r="X252" i="6"/>
  <c r="N252" i="6" s="1"/>
  <c r="BG251" i="6"/>
  <c r="AX251" i="6"/>
  <c r="AW251" i="6"/>
  <c r="AT251" i="6"/>
  <c r="AS251" i="6"/>
  <c r="AP251" i="6"/>
  <c r="AO251" i="6"/>
  <c r="AL251" i="6"/>
  <c r="AK251" i="6"/>
  <c r="AI251" i="6"/>
  <c r="AF251" i="6"/>
  <c r="AE251" i="6"/>
  <c r="AA251" i="6"/>
  <c r="X251" i="6"/>
  <c r="N251" i="6" s="1"/>
  <c r="BG250" i="6"/>
  <c r="AX250" i="6"/>
  <c r="AW250" i="6"/>
  <c r="AT250" i="6"/>
  <c r="AS250" i="6"/>
  <c r="AP250" i="6"/>
  <c r="AO250" i="6"/>
  <c r="AL250" i="6"/>
  <c r="AK250" i="6"/>
  <c r="AI250" i="6"/>
  <c r="AF250" i="6"/>
  <c r="AE250" i="6"/>
  <c r="AA250" i="6"/>
  <c r="X250" i="6"/>
  <c r="N250" i="6" s="1"/>
  <c r="AX249" i="6"/>
  <c r="AW249" i="6"/>
  <c r="AT249" i="6"/>
  <c r="AS249" i="6"/>
  <c r="AP249" i="6"/>
  <c r="AO249" i="6"/>
  <c r="AL249" i="6"/>
  <c r="AK249" i="6"/>
  <c r="AI249" i="6"/>
  <c r="AF249" i="6"/>
  <c r="AE249" i="6"/>
  <c r="AA249" i="6"/>
  <c r="X249" i="6"/>
  <c r="N249" i="6" s="1"/>
  <c r="BG248" i="6"/>
  <c r="BF248" i="6"/>
  <c r="AX248" i="6"/>
  <c r="AW248" i="6"/>
  <c r="AU401" i="6"/>
  <c r="AT248" i="6"/>
  <c r="AS248" i="6"/>
  <c r="AQ248" i="6"/>
  <c r="AP248" i="6"/>
  <c r="AO248" i="6"/>
  <c r="AL248" i="6"/>
  <c r="AK248" i="6"/>
  <c r="AF248" i="6"/>
  <c r="AE248" i="6"/>
  <c r="AA248" i="6"/>
  <c r="X248" i="6"/>
  <c r="AN248" i="6" l="1"/>
  <c r="Y301" i="6"/>
  <c r="Y299" i="6"/>
  <c r="Y292" i="6"/>
  <c r="AV248" i="6"/>
  <c r="A1170" i="4"/>
  <c r="A1177" i="4"/>
  <c r="A1173" i="4"/>
  <c r="A1168" i="4"/>
  <c r="A1176" i="4"/>
  <c r="A1172" i="4"/>
  <c r="A1167" i="4"/>
  <c r="A194" i="6"/>
  <c r="A1175" i="4"/>
  <c r="A1171" i="4"/>
  <c r="A1178" i="4"/>
  <c r="A1174" i="4"/>
  <c r="A1169" i="4"/>
  <c r="AH269" i="6"/>
  <c r="AG266" i="6"/>
  <c r="Y266" i="6" s="1"/>
  <c r="AH266" i="6"/>
  <c r="AH268" i="6"/>
  <c r="AG268" i="6"/>
  <c r="Y268" i="6" s="1"/>
  <c r="AG269" i="6"/>
  <c r="Y269" i="6" s="1"/>
  <c r="AH265" i="6"/>
  <c r="AG265" i="6"/>
  <c r="Y265" i="6" s="1"/>
  <c r="AH300" i="6"/>
  <c r="AG300" i="6"/>
  <c r="Y300" i="6" s="1"/>
  <c r="AH270" i="6"/>
  <c r="AG270" i="6"/>
  <c r="Y270" i="6" s="1"/>
  <c r="AH287" i="6"/>
  <c r="AG287" i="6"/>
  <c r="Y287" i="6" s="1"/>
  <c r="AH264" i="6"/>
  <c r="AG264" i="6"/>
  <c r="Y264" i="6" s="1"/>
  <c r="AH261" i="6"/>
  <c r="AG261" i="6"/>
  <c r="Y261" i="6" s="1"/>
  <c r="AH271" i="6"/>
  <c r="AG271" i="6"/>
  <c r="Y271" i="6" s="1"/>
  <c r="AH262" i="6"/>
  <c r="AG262" i="6"/>
  <c r="Y262" i="6" s="1"/>
  <c r="AR255" i="6"/>
  <c r="AV251" i="6"/>
  <c r="AV252" i="6"/>
  <c r="AR253" i="6"/>
  <c r="AV253" i="6"/>
  <c r="AJ255" i="6"/>
  <c r="AN255" i="6"/>
  <c r="AR256" i="6"/>
  <c r="AV256" i="6"/>
  <c r="AD257" i="6"/>
  <c r="AC257" i="6" s="1"/>
  <c r="AB257" i="6" s="1"/>
  <c r="AJ258" i="6"/>
  <c r="AR258" i="6"/>
  <c r="AV258" i="6"/>
  <c r="AD259" i="6"/>
  <c r="AC259" i="6" s="1"/>
  <c r="AB259" i="6" s="1"/>
  <c r="AN249" i="6"/>
  <c r="AV249" i="6"/>
  <c r="AV260" i="6"/>
  <c r="AV250" i="6"/>
  <c r="AN251" i="6"/>
  <c r="AR251" i="6"/>
  <c r="AD252" i="6"/>
  <c r="AC252" i="6" s="1"/>
  <c r="AB252" i="6" s="1"/>
  <c r="AR257" i="6"/>
  <c r="AV259" i="6"/>
  <c r="AN260" i="6"/>
  <c r="AR260" i="6"/>
  <c r="AN250" i="6"/>
  <c r="AR250" i="6"/>
  <c r="AN252" i="6"/>
  <c r="AR252" i="6"/>
  <c r="AD253" i="6"/>
  <c r="AC253" i="6" s="1"/>
  <c r="AB253" i="6" s="1"/>
  <c r="AN253" i="6"/>
  <c r="AR254" i="6"/>
  <c r="AV254" i="6"/>
  <c r="AD255" i="6"/>
  <c r="AC255" i="6" s="1"/>
  <c r="AB255" i="6" s="1"/>
  <c r="AN256" i="6"/>
  <c r="AJ257" i="6"/>
  <c r="AN257" i="6"/>
  <c r="AN259" i="6"/>
  <c r="AR259" i="6"/>
  <c r="AR248" i="6"/>
  <c r="AR249" i="6"/>
  <c r="AJ250" i="6"/>
  <c r="AJ251" i="6"/>
  <c r="AJ252" i="6"/>
  <c r="AN254" i="6"/>
  <c r="AV255" i="6"/>
  <c r="AV257" i="6"/>
  <c r="AD258" i="6"/>
  <c r="AC258" i="6" s="1"/>
  <c r="AB258" i="6" s="1"/>
  <c r="AN258" i="6"/>
  <c r="AJ259" i="6"/>
  <c r="AJ260" i="6"/>
  <c r="AD248" i="6"/>
  <c r="AC248" i="6" s="1"/>
  <c r="AJ248" i="6"/>
  <c r="AD249" i="6"/>
  <c r="AC249" i="6" s="1"/>
  <c r="AB249" i="6" s="1"/>
  <c r="AJ249" i="6"/>
  <c r="AD250" i="6"/>
  <c r="AC250" i="6" s="1"/>
  <c r="AB250" i="6" s="1"/>
  <c r="AD251" i="6"/>
  <c r="AC251" i="6" s="1"/>
  <c r="AB251" i="6" s="1"/>
  <c r="AD254" i="6"/>
  <c r="AC254" i="6" s="1"/>
  <c r="AB254" i="6" s="1"/>
  <c r="AJ254" i="6"/>
  <c r="AD256" i="6"/>
  <c r="AC256" i="6" s="1"/>
  <c r="AB256" i="6" s="1"/>
  <c r="AJ256" i="6"/>
  <c r="AD260" i="6"/>
  <c r="AC260" i="6" s="1"/>
  <c r="AB260" i="6" s="1"/>
  <c r="O248" i="6"/>
  <c r="O391" i="6" s="1"/>
  <c r="AB248" i="6" l="1"/>
  <c r="A195" i="6"/>
  <c r="A1179" i="4"/>
  <c r="A1181" i="4"/>
  <c r="A1182" i="4"/>
  <c r="A1180" i="4"/>
  <c r="AH259" i="6"/>
  <c r="AG259" i="6"/>
  <c r="Y259" i="6" s="1"/>
  <c r="AH255" i="6"/>
  <c r="AG255" i="6"/>
  <c r="Y255" i="6" s="1"/>
  <c r="AH252" i="6"/>
  <c r="AG252" i="6"/>
  <c r="Y252" i="6" s="1"/>
  <c r="AH250" i="6"/>
  <c r="AG250" i="6"/>
  <c r="Y250" i="6" s="1"/>
  <c r="AH257" i="6"/>
  <c r="AG257" i="6"/>
  <c r="Y257" i="6" s="1"/>
  <c r="AH256" i="6"/>
  <c r="AG256" i="6"/>
  <c r="Y256" i="6" s="1"/>
  <c r="AH254" i="6"/>
  <c r="AG254" i="6"/>
  <c r="Y254" i="6" s="1"/>
  <c r="AH249" i="6"/>
  <c r="AG249" i="6"/>
  <c r="Y249" i="6" s="1"/>
  <c r="AH248" i="6"/>
  <c r="AG248" i="6"/>
  <c r="AH260" i="6"/>
  <c r="AG260" i="6"/>
  <c r="Y260" i="6" s="1"/>
  <c r="AH251" i="6"/>
  <c r="AG251" i="6"/>
  <c r="Y251" i="6" s="1"/>
  <c r="AH258" i="6"/>
  <c r="AG258" i="6"/>
  <c r="Y258" i="6" s="1"/>
  <c r="N248" i="6"/>
  <c r="BG247" i="6"/>
  <c r="BF247" i="6"/>
  <c r="AX247" i="6"/>
  <c r="AW247" i="6"/>
  <c r="AT247" i="6"/>
  <c r="AS247" i="6"/>
  <c r="AP247" i="6"/>
  <c r="AO247" i="6"/>
  <c r="AL247" i="6"/>
  <c r="AK247" i="6" s="1"/>
  <c r="AI247" i="6"/>
  <c r="AF247" i="6"/>
  <c r="AE247" i="6"/>
  <c r="AA247" i="6"/>
  <c r="X247" i="6"/>
  <c r="N247" i="6" s="1"/>
  <c r="BG246" i="6"/>
  <c r="AX246" i="6"/>
  <c r="AW246" i="6"/>
  <c r="AT246" i="6"/>
  <c r="AS246" i="6"/>
  <c r="AP246" i="6"/>
  <c r="AO246" i="6"/>
  <c r="AL246" i="6"/>
  <c r="AK246" i="6"/>
  <c r="AF246" i="6"/>
  <c r="AE246" i="6"/>
  <c r="Y248" i="6" l="1"/>
  <c r="A196" i="6"/>
  <c r="A1183" i="4"/>
  <c r="A1185" i="4"/>
  <c r="A1184" i="4"/>
  <c r="AV247" i="6"/>
  <c r="AN247" i="6"/>
  <c r="AN246" i="6"/>
  <c r="AJ247" i="6"/>
  <c r="AR247" i="6"/>
  <c r="AD246" i="6"/>
  <c r="AJ246" i="6"/>
  <c r="AV246" i="6"/>
  <c r="AR246" i="6"/>
  <c r="AD247" i="6"/>
  <c r="AC247" i="6" s="1"/>
  <c r="AB247" i="6" s="1"/>
  <c r="AC246" i="6"/>
  <c r="AB246" i="6" s="1"/>
  <c r="AA246" i="6"/>
  <c r="X246" i="6"/>
  <c r="N246" i="6" s="1"/>
  <c r="BG245" i="6"/>
  <c r="AX245" i="6"/>
  <c r="AW245" i="6"/>
  <c r="AT245" i="6"/>
  <c r="AS245" i="6"/>
  <c r="AP245" i="6"/>
  <c r="AO245" i="6"/>
  <c r="AL245" i="6"/>
  <c r="AK245" i="6"/>
  <c r="AI245" i="6"/>
  <c r="AF245" i="6"/>
  <c r="AE245" i="6"/>
  <c r="AA245" i="6"/>
  <c r="X245" i="6"/>
  <c r="N245" i="6" s="1"/>
  <c r="BG244" i="6"/>
  <c r="AX244" i="6"/>
  <c r="AW244" i="6"/>
  <c r="AT244" i="6"/>
  <c r="AS244" i="6"/>
  <c r="AP244" i="6"/>
  <c r="AO244" i="6"/>
  <c r="AL244" i="6"/>
  <c r="AK244" i="6"/>
  <c r="AI244" i="6"/>
  <c r="AF244" i="6"/>
  <c r="AE244" i="6"/>
  <c r="AA244" i="6"/>
  <c r="X244" i="6"/>
  <c r="N244" i="6" s="1"/>
  <c r="AX243" i="6"/>
  <c r="AW243" i="6"/>
  <c r="AT243" i="6"/>
  <c r="AS243" i="6"/>
  <c r="AQ243" i="6"/>
  <c r="AP243" i="6"/>
  <c r="AO243" i="6"/>
  <c r="AL243" i="6"/>
  <c r="AK243" i="6"/>
  <c r="AI243" i="6"/>
  <c r="AF243" i="6"/>
  <c r="AE243" i="6"/>
  <c r="AA243" i="6"/>
  <c r="X243" i="6"/>
  <c r="N243" i="6" s="1"/>
  <c r="BG242" i="6"/>
  <c r="AX242" i="6"/>
  <c r="AW242" i="6"/>
  <c r="AT242" i="6"/>
  <c r="AS242" i="6"/>
  <c r="AP242" i="6"/>
  <c r="AO242" i="6"/>
  <c r="AL242" i="6"/>
  <c r="AK242" i="6"/>
  <c r="AI242" i="6"/>
  <c r="AF242" i="6"/>
  <c r="AE242" i="6"/>
  <c r="AA242" i="6"/>
  <c r="X242" i="6"/>
  <c r="N242" i="6" s="1"/>
  <c r="AX241" i="6"/>
  <c r="AW241" i="6"/>
  <c r="AT241" i="6"/>
  <c r="AS241" i="6"/>
  <c r="AP241" i="6"/>
  <c r="AO241" i="6"/>
  <c r="AL241" i="6"/>
  <c r="AK241" i="6"/>
  <c r="AI241" i="6"/>
  <c r="AF241" i="6"/>
  <c r="AE241" i="6"/>
  <c r="AA241" i="6"/>
  <c r="X241" i="6"/>
  <c r="N241" i="6" s="1"/>
  <c r="AX240" i="6"/>
  <c r="AW240" i="6"/>
  <c r="AT240" i="6"/>
  <c r="AS240" i="6"/>
  <c r="AP240" i="6"/>
  <c r="AO240" i="6"/>
  <c r="AL240" i="6"/>
  <c r="AK240" i="6"/>
  <c r="AI240" i="6"/>
  <c r="AF240" i="6"/>
  <c r="AE240" i="6"/>
  <c r="AA240" i="6"/>
  <c r="X240" i="6"/>
  <c r="N240" i="6" s="1"/>
  <c r="AX239" i="6"/>
  <c r="AW239" i="6"/>
  <c r="AT239" i="6"/>
  <c r="AS239" i="6"/>
  <c r="AP239" i="6"/>
  <c r="AO239" i="6"/>
  <c r="AL239" i="6"/>
  <c r="AK239" i="6"/>
  <c r="AI239" i="6"/>
  <c r="AF239" i="6"/>
  <c r="AE239" i="6"/>
  <c r="AA239" i="6"/>
  <c r="X239" i="6"/>
  <c r="N239" i="6" s="1"/>
  <c r="AX238" i="6"/>
  <c r="AW238" i="6"/>
  <c r="AT238" i="6"/>
  <c r="AS238" i="6"/>
  <c r="AP238" i="6"/>
  <c r="AO238" i="6"/>
  <c r="AL238" i="6"/>
  <c r="AK238" i="6"/>
  <c r="AI238" i="6"/>
  <c r="AF238" i="6"/>
  <c r="AE238" i="6"/>
  <c r="AA238" i="6"/>
  <c r="X238" i="6"/>
  <c r="N238" i="6" s="1"/>
  <c r="BG237" i="6"/>
  <c r="AX237" i="6"/>
  <c r="AW237" i="6"/>
  <c r="AT237" i="6"/>
  <c r="AS237" i="6"/>
  <c r="AP237" i="6"/>
  <c r="AO237" i="6"/>
  <c r="AL237" i="6"/>
  <c r="AK237" i="6"/>
  <c r="AI237" i="6"/>
  <c r="AF237" i="6"/>
  <c r="AE237" i="6"/>
  <c r="AA237" i="6"/>
  <c r="X237" i="6"/>
  <c r="N237" i="6" s="1"/>
  <c r="BG236" i="6"/>
  <c r="AX236" i="6"/>
  <c r="AW236" i="6"/>
  <c r="AT236" i="6"/>
  <c r="AS236" i="6"/>
  <c r="AP236" i="6"/>
  <c r="AO236" i="6"/>
  <c r="AL236" i="6"/>
  <c r="AK236" i="6"/>
  <c r="AI236" i="6"/>
  <c r="AF236" i="6"/>
  <c r="AE236" i="6"/>
  <c r="AA236" i="6"/>
  <c r="X236" i="6"/>
  <c r="N236" i="6" s="1"/>
  <c r="AX235" i="6"/>
  <c r="AW235" i="6"/>
  <c r="AT235" i="6"/>
  <c r="AS235" i="6"/>
  <c r="AP235" i="6"/>
  <c r="AO235" i="6"/>
  <c r="AL235" i="6"/>
  <c r="AK235" i="6"/>
  <c r="AI235" i="6"/>
  <c r="AF235" i="6"/>
  <c r="AE235" i="6"/>
  <c r="AA235" i="6"/>
  <c r="X235" i="6"/>
  <c r="N235" i="6" s="1"/>
  <c r="BG234" i="6"/>
  <c r="AX234" i="6"/>
  <c r="AW234" i="6"/>
  <c r="AT234" i="6"/>
  <c r="AS234" i="6"/>
  <c r="AP234" i="6"/>
  <c r="AO234" i="6"/>
  <c r="AL234" i="6"/>
  <c r="AK234" i="6"/>
  <c r="AI234" i="6"/>
  <c r="AF234" i="6"/>
  <c r="AE234" i="6"/>
  <c r="AA234" i="6"/>
  <c r="X234" i="6"/>
  <c r="N234" i="6" s="1"/>
  <c r="AX233" i="6"/>
  <c r="AW233" i="6"/>
  <c r="AT233" i="6"/>
  <c r="AS233" i="6"/>
  <c r="AQ233" i="6"/>
  <c r="AP233" i="6"/>
  <c r="AO233" i="6"/>
  <c r="AL233" i="6"/>
  <c r="AK233" i="6"/>
  <c r="AI233" i="6"/>
  <c r="AF233" i="6"/>
  <c r="AE233" i="6"/>
  <c r="AA233" i="6"/>
  <c r="X233" i="6"/>
  <c r="N233" i="6" s="1"/>
  <c r="AX232" i="6"/>
  <c r="AW232" i="6"/>
  <c r="AT232" i="6"/>
  <c r="AS232" i="6"/>
  <c r="AP232" i="6"/>
  <c r="AO232" i="6"/>
  <c r="AL232" i="6"/>
  <c r="AK232" i="6"/>
  <c r="AI232" i="6"/>
  <c r="AF232" i="6"/>
  <c r="AE232" i="6"/>
  <c r="AA232" i="6"/>
  <c r="X232" i="6"/>
  <c r="N232" i="6" s="1"/>
  <c r="AX231" i="6"/>
  <c r="AW231" i="6"/>
  <c r="AT231" i="6"/>
  <c r="AS231" i="6"/>
  <c r="AP231" i="6"/>
  <c r="AO231" i="6"/>
  <c r="AL231" i="6"/>
  <c r="AK231" i="6"/>
  <c r="AI231" i="6"/>
  <c r="AF231" i="6"/>
  <c r="AE231" i="6"/>
  <c r="AA231" i="6"/>
  <c r="X231" i="6"/>
  <c r="N231" i="6" s="1"/>
  <c r="AX230" i="6"/>
  <c r="AW230" i="6"/>
  <c r="AT230" i="6"/>
  <c r="AS230" i="6"/>
  <c r="AQ230" i="6"/>
  <c r="AP230" i="6"/>
  <c r="AO230" i="6"/>
  <c r="AL230" i="6"/>
  <c r="AK230" i="6"/>
  <c r="AI230" i="6"/>
  <c r="AF230" i="6"/>
  <c r="AE230" i="6"/>
  <c r="AA230" i="6"/>
  <c r="X230" i="6"/>
  <c r="N230" i="6" s="1"/>
  <c r="AX229" i="6"/>
  <c r="AW229" i="6"/>
  <c r="AT229" i="6"/>
  <c r="AS229" i="6"/>
  <c r="AP229" i="6"/>
  <c r="AO229" i="6"/>
  <c r="AL229" i="6"/>
  <c r="AK229" i="6"/>
  <c r="AI229" i="6"/>
  <c r="AF229" i="6"/>
  <c r="AE229" i="6"/>
  <c r="AA229" i="6"/>
  <c r="X229" i="6"/>
  <c r="N229" i="6" s="1"/>
  <c r="AX228" i="6"/>
  <c r="AW228" i="6"/>
  <c r="AT228" i="6"/>
  <c r="AS228" i="6"/>
  <c r="AP228" i="6"/>
  <c r="AO228" i="6"/>
  <c r="AL228" i="6"/>
  <c r="AK228" i="6"/>
  <c r="AI228" i="6"/>
  <c r="AF228" i="6"/>
  <c r="AE228" i="6"/>
  <c r="AA228" i="6"/>
  <c r="X228" i="6"/>
  <c r="N228" i="6" s="1"/>
  <c r="AX227" i="6"/>
  <c r="AW227" i="6"/>
  <c r="AT227" i="6"/>
  <c r="AS227" i="6"/>
  <c r="AP227" i="6"/>
  <c r="AO227" i="6"/>
  <c r="AL227" i="6"/>
  <c r="AK227" i="6"/>
  <c r="AI227" i="6"/>
  <c r="AF227" i="6"/>
  <c r="AE227" i="6"/>
  <c r="AA227" i="6"/>
  <c r="X227" i="6"/>
  <c r="N227" i="6" s="1"/>
  <c r="AX226" i="6"/>
  <c r="AW226" i="6"/>
  <c r="AT226" i="6"/>
  <c r="AS226" i="6"/>
  <c r="AP226" i="6"/>
  <c r="AO226" i="6"/>
  <c r="AL226" i="6"/>
  <c r="AK226" i="6"/>
  <c r="AI226" i="6"/>
  <c r="AF226" i="6"/>
  <c r="AE226" i="6"/>
  <c r="AA226" i="6"/>
  <c r="X226" i="6"/>
  <c r="N226" i="6" s="1"/>
  <c r="BG225" i="6"/>
  <c r="AX225" i="6"/>
  <c r="AW225" i="6"/>
  <c r="AT225" i="6"/>
  <c r="AS225" i="6"/>
  <c r="AP225" i="6"/>
  <c r="AO225" i="6"/>
  <c r="AL225" i="6"/>
  <c r="AK225" i="6"/>
  <c r="AI225" i="6"/>
  <c r="AF225" i="6"/>
  <c r="AE225" i="6"/>
  <c r="AA225" i="6"/>
  <c r="X225" i="6"/>
  <c r="N225" i="6" s="1"/>
  <c r="BG224" i="6"/>
  <c r="AX224" i="6"/>
  <c r="AW224" i="6"/>
  <c r="AT224" i="6"/>
  <c r="AS224" i="6"/>
  <c r="AP224" i="6"/>
  <c r="AO224" i="6"/>
  <c r="AL224" i="6"/>
  <c r="AK224" i="6"/>
  <c r="AI224" i="6"/>
  <c r="AF224" i="6"/>
  <c r="AE224" i="6"/>
  <c r="AA224" i="6"/>
  <c r="X224" i="6"/>
  <c r="N224" i="6" s="1"/>
  <c r="BF223" i="6"/>
  <c r="AX223" i="6"/>
  <c r="AW223" i="6"/>
  <c r="AT223" i="6"/>
  <c r="AS223" i="6"/>
  <c r="AP223" i="6"/>
  <c r="AO223" i="6"/>
  <c r="AL223" i="6"/>
  <c r="AK223" i="6"/>
  <c r="AI223" i="6"/>
  <c r="AF223" i="6"/>
  <c r="AE223" i="6"/>
  <c r="AA223" i="6"/>
  <c r="X223" i="6"/>
  <c r="N223" i="6" s="1"/>
  <c r="BG222" i="6"/>
  <c r="AX222" i="6"/>
  <c r="AW222" i="6"/>
  <c r="AT222" i="6"/>
  <c r="AS222" i="6"/>
  <c r="AP222" i="6"/>
  <c r="AO222" i="6"/>
  <c r="AL222" i="6"/>
  <c r="AK222" i="6"/>
  <c r="AI222" i="6"/>
  <c r="AF222" i="6"/>
  <c r="AE222" i="6"/>
  <c r="AA222" i="6"/>
  <c r="X222" i="6"/>
  <c r="N222" i="6" s="1"/>
  <c r="BG221" i="6"/>
  <c r="AX221" i="6"/>
  <c r="AW221" i="6"/>
  <c r="AT221" i="6"/>
  <c r="AS221" i="6"/>
  <c r="AP221" i="6"/>
  <c r="AO221" i="6"/>
  <c r="AL221" i="6"/>
  <c r="AK221" i="6"/>
  <c r="AI221" i="6"/>
  <c r="AF221" i="6"/>
  <c r="AE221" i="6"/>
  <c r="AA221" i="6"/>
  <c r="X221" i="6"/>
  <c r="N221" i="6" s="1"/>
  <c r="AX220" i="6"/>
  <c r="AW220" i="6"/>
  <c r="AT220" i="6"/>
  <c r="AS220" i="6"/>
  <c r="AP220" i="6"/>
  <c r="AO220" i="6"/>
  <c r="AL220" i="6"/>
  <c r="AK220" i="6"/>
  <c r="AI220" i="6"/>
  <c r="AF220" i="6"/>
  <c r="AE220" i="6"/>
  <c r="AA220" i="6"/>
  <c r="X220" i="6"/>
  <c r="N220" i="6" s="1"/>
  <c r="BG219" i="6"/>
  <c r="AX219" i="6"/>
  <c r="AW219" i="6"/>
  <c r="AT219" i="6"/>
  <c r="AS219" i="6"/>
  <c r="AP219" i="6"/>
  <c r="AO219" i="6"/>
  <c r="AL219" i="6"/>
  <c r="AK219" i="6"/>
  <c r="AI219" i="6"/>
  <c r="AF219" i="6"/>
  <c r="AE219" i="6"/>
  <c r="AA219" i="6"/>
  <c r="X219" i="6"/>
  <c r="N219" i="6" s="1"/>
  <c r="AX218" i="6"/>
  <c r="AW218" i="6"/>
  <c r="AT218" i="6"/>
  <c r="AS218" i="6"/>
  <c r="AP218" i="6"/>
  <c r="AO218" i="6"/>
  <c r="AL218" i="6"/>
  <c r="AK218" i="6"/>
  <c r="AI218" i="6"/>
  <c r="AF218" i="6"/>
  <c r="AE218" i="6"/>
  <c r="AA218" i="6"/>
  <c r="X218" i="6"/>
  <c r="N218" i="6" s="1"/>
  <c r="BG217" i="6"/>
  <c r="AX217" i="6"/>
  <c r="AW217" i="6"/>
  <c r="AT217" i="6"/>
  <c r="AS217" i="6"/>
  <c r="AP217" i="6"/>
  <c r="AO217" i="6"/>
  <c r="AL217" i="6"/>
  <c r="AK217" i="6"/>
  <c r="AI217" i="6"/>
  <c r="AF217" i="6"/>
  <c r="AE217" i="6"/>
  <c r="AA217" i="6"/>
  <c r="X217" i="6"/>
  <c r="N217" i="6" s="1"/>
  <c r="BG216" i="6"/>
  <c r="AX216" i="6"/>
  <c r="AW216" i="6"/>
  <c r="AT216" i="6"/>
  <c r="AS216" i="6"/>
  <c r="AP216" i="6"/>
  <c r="AO216" i="6"/>
  <c r="AL216" i="6"/>
  <c r="AK216" i="6"/>
  <c r="AF216" i="6"/>
  <c r="AE216" i="6"/>
  <c r="AA216" i="6"/>
  <c r="X216" i="6"/>
  <c r="N216" i="6" s="1"/>
  <c r="AX215" i="6"/>
  <c r="AW215" i="6"/>
  <c r="AT215" i="6"/>
  <c r="AS215" i="6"/>
  <c r="AP215" i="6"/>
  <c r="AO215" i="6"/>
  <c r="AL215" i="6"/>
  <c r="AK215" i="6"/>
  <c r="AI215" i="6"/>
  <c r="AF215" i="6"/>
  <c r="AE215" i="6"/>
  <c r="AA215" i="6"/>
  <c r="X215" i="6"/>
  <c r="N215" i="6" s="1"/>
  <c r="AX214" i="6"/>
  <c r="AW214" i="6"/>
  <c r="AT214" i="6"/>
  <c r="AS214" i="6"/>
  <c r="AP214" i="6"/>
  <c r="AO214" i="6"/>
  <c r="AL214" i="6"/>
  <c r="AK214" i="6"/>
  <c r="AI214" i="6"/>
  <c r="AF214" i="6"/>
  <c r="AE214" i="6"/>
  <c r="AA214" i="6"/>
  <c r="X214" i="6"/>
  <c r="N214" i="6" s="1"/>
  <c r="AX213" i="6"/>
  <c r="AW213" i="6"/>
  <c r="AT213" i="6"/>
  <c r="AS213" i="6"/>
  <c r="AP213" i="6"/>
  <c r="AO213" i="6"/>
  <c r="AL213" i="6"/>
  <c r="AK213" i="6"/>
  <c r="AF213" i="6"/>
  <c r="AE213" i="6"/>
  <c r="AA213" i="6"/>
  <c r="X213" i="6"/>
  <c r="N213" i="6" s="1"/>
  <c r="BG212" i="6"/>
  <c r="AX212" i="6"/>
  <c r="AW212" i="6"/>
  <c r="AT212" i="6"/>
  <c r="AS212" i="6"/>
  <c r="AP212" i="6"/>
  <c r="AO212" i="6"/>
  <c r="AL212" i="6"/>
  <c r="AK212" i="6"/>
  <c r="AI212" i="6"/>
  <c r="AF212" i="6"/>
  <c r="AE212" i="6"/>
  <c r="AA212" i="6"/>
  <c r="X212" i="6"/>
  <c r="N212" i="6" s="1"/>
  <c r="AX211" i="6"/>
  <c r="AW211" i="6"/>
  <c r="AT211" i="6"/>
  <c r="AS211" i="6"/>
  <c r="AP211" i="6"/>
  <c r="AO211" i="6"/>
  <c r="AL211" i="6"/>
  <c r="AK211" i="6"/>
  <c r="AI211" i="6"/>
  <c r="AF211" i="6"/>
  <c r="AE211" i="6"/>
  <c r="AA211" i="6"/>
  <c r="N211" i="6"/>
  <c r="BG210" i="6"/>
  <c r="AX210" i="6"/>
  <c r="AW210" i="6"/>
  <c r="AT210" i="6"/>
  <c r="AS210" i="6"/>
  <c r="AP210" i="6"/>
  <c r="AO210" i="6"/>
  <c r="AL210" i="6"/>
  <c r="AK210" i="6"/>
  <c r="AI210" i="6"/>
  <c r="AF210" i="6"/>
  <c r="AE210" i="6"/>
  <c r="AA210" i="6"/>
  <c r="X210" i="6"/>
  <c r="N210" i="6" s="1"/>
  <c r="BG209" i="6"/>
  <c r="AX209" i="6"/>
  <c r="AW209" i="6"/>
  <c r="AT209" i="6"/>
  <c r="AS209" i="6"/>
  <c r="AP209" i="6"/>
  <c r="AO209" i="6"/>
  <c r="AL209" i="6"/>
  <c r="AK209" i="6"/>
  <c r="AI209" i="6"/>
  <c r="AF209" i="6"/>
  <c r="AE209" i="6"/>
  <c r="AA209" i="6"/>
  <c r="X209" i="6"/>
  <c r="N209" i="6" s="1"/>
  <c r="AX208" i="6"/>
  <c r="AW208" i="6"/>
  <c r="AT208" i="6"/>
  <c r="AS208" i="6"/>
  <c r="AP208" i="6"/>
  <c r="AO208" i="6"/>
  <c r="AL208" i="6"/>
  <c r="AK208" i="6"/>
  <c r="AI208" i="6"/>
  <c r="AF208" i="6"/>
  <c r="AE208" i="6"/>
  <c r="AA208" i="6"/>
  <c r="X208" i="6"/>
  <c r="N208" i="6" s="1"/>
  <c r="BG207" i="6"/>
  <c r="AX207" i="6"/>
  <c r="AW207" i="6"/>
  <c r="AT207" i="6"/>
  <c r="AS207" i="6"/>
  <c r="AP207" i="6"/>
  <c r="AO207" i="6"/>
  <c r="AL207" i="6"/>
  <c r="AK207" i="6"/>
  <c r="AI207" i="6"/>
  <c r="AF207" i="6"/>
  <c r="AE207" i="6"/>
  <c r="AA207" i="6"/>
  <c r="X207" i="6"/>
  <c r="N207" i="6" s="1"/>
  <c r="AX206" i="6"/>
  <c r="AW206" i="6"/>
  <c r="AT206" i="6"/>
  <c r="AS206" i="6"/>
  <c r="AP206" i="6"/>
  <c r="AO206" i="6"/>
  <c r="AL206" i="6"/>
  <c r="AK206" i="6"/>
  <c r="AI206" i="6"/>
  <c r="AF206" i="6"/>
  <c r="AE206" i="6"/>
  <c r="AA206" i="6"/>
  <c r="X206" i="6"/>
  <c r="N206" i="6" s="1"/>
  <c r="AX205" i="6"/>
  <c r="AW205" i="6"/>
  <c r="AT205" i="6"/>
  <c r="AS205" i="6"/>
  <c r="AP205" i="6"/>
  <c r="AO205" i="6"/>
  <c r="AL205" i="6"/>
  <c r="AK205" i="6"/>
  <c r="AI205" i="6"/>
  <c r="AF205" i="6"/>
  <c r="AE205" i="6"/>
  <c r="AA205" i="6"/>
  <c r="X205" i="6"/>
  <c r="N205" i="6" s="1"/>
  <c r="BG204" i="6"/>
  <c r="AX204" i="6"/>
  <c r="AW204" i="6"/>
  <c r="AT204" i="6"/>
  <c r="AS204" i="6"/>
  <c r="AP204" i="6"/>
  <c r="AO204" i="6"/>
  <c r="AL204" i="6"/>
  <c r="AK204" i="6"/>
  <c r="AI204" i="6"/>
  <c r="AF204" i="6"/>
  <c r="AE204" i="6"/>
  <c r="AA204" i="6"/>
  <c r="X204" i="6"/>
  <c r="N204" i="6" s="1"/>
  <c r="BG203" i="6"/>
  <c r="AX203" i="6"/>
  <c r="AW203" i="6"/>
  <c r="AT203" i="6"/>
  <c r="AS203" i="6"/>
  <c r="AP203" i="6"/>
  <c r="AO203" i="6"/>
  <c r="AL203" i="6"/>
  <c r="AK203" i="6"/>
  <c r="AI203" i="6"/>
  <c r="AF203" i="6"/>
  <c r="AE203" i="6"/>
  <c r="AA203" i="6"/>
  <c r="X203" i="6"/>
  <c r="N203" i="6" s="1"/>
  <c r="BG202" i="6"/>
  <c r="AX202" i="6"/>
  <c r="AW202" i="6"/>
  <c r="AT202" i="6"/>
  <c r="AS202" i="6"/>
  <c r="AQ202" i="6"/>
  <c r="AP202" i="6"/>
  <c r="AO202" i="6"/>
  <c r="AM202" i="6"/>
  <c r="AI202" i="6" s="1"/>
  <c r="AL202" i="6"/>
  <c r="AK202" i="6"/>
  <c r="AF202" i="6"/>
  <c r="AE202" i="6"/>
  <c r="AA202" i="6"/>
  <c r="X202" i="6"/>
  <c r="N202" i="6" s="1"/>
  <c r="AX201" i="6"/>
  <c r="AW201" i="6"/>
  <c r="AT201" i="6"/>
  <c r="AS201" i="6"/>
  <c r="AP201" i="6"/>
  <c r="AO201" i="6"/>
  <c r="AL201" i="6"/>
  <c r="AK201" i="6"/>
  <c r="AI201" i="6"/>
  <c r="AF201" i="6"/>
  <c r="AE201" i="6"/>
  <c r="AA201" i="6"/>
  <c r="X201" i="6"/>
  <c r="N201" i="6" s="1"/>
  <c r="BG200" i="6"/>
  <c r="AX200" i="6"/>
  <c r="AW200" i="6"/>
  <c r="AT200" i="6"/>
  <c r="AS200" i="6"/>
  <c r="AP200" i="6"/>
  <c r="AO200" i="6"/>
  <c r="AL200" i="6"/>
  <c r="AK200" i="6"/>
  <c r="AI200" i="6"/>
  <c r="AF200" i="6"/>
  <c r="AE200" i="6"/>
  <c r="AA200" i="6"/>
  <c r="X200" i="6"/>
  <c r="N200" i="6" s="1"/>
  <c r="AX199" i="6"/>
  <c r="AW199" i="6"/>
  <c r="AT199" i="6"/>
  <c r="AS199" i="6"/>
  <c r="AP199" i="6"/>
  <c r="AO199" i="6"/>
  <c r="AL199" i="6"/>
  <c r="AK199" i="6"/>
  <c r="AI199" i="6"/>
  <c r="AF199" i="6"/>
  <c r="AE199" i="6"/>
  <c r="AA199" i="6"/>
  <c r="X199" i="6"/>
  <c r="N199" i="6" s="1"/>
  <c r="AX198" i="6"/>
  <c r="AW198" i="6"/>
  <c r="AT198" i="6"/>
  <c r="AS198" i="6"/>
  <c r="AP198" i="6"/>
  <c r="AO198" i="6"/>
  <c r="AL198" i="6"/>
  <c r="AK198" i="6"/>
  <c r="AI198" i="6"/>
  <c r="AF198" i="6"/>
  <c r="AE198" i="6"/>
  <c r="AA198" i="6"/>
  <c r="X198" i="6"/>
  <c r="N198" i="6" s="1"/>
  <c r="AX197" i="6"/>
  <c r="AW197" i="6"/>
  <c r="AT197" i="6"/>
  <c r="AS197" i="6"/>
  <c r="AP197" i="6"/>
  <c r="AO197" i="6"/>
  <c r="AL197" i="6"/>
  <c r="AK197" i="6"/>
  <c r="AI197" i="6"/>
  <c r="AF197" i="6"/>
  <c r="AE197" i="6"/>
  <c r="AA197" i="6"/>
  <c r="X197" i="6"/>
  <c r="N197" i="6" s="1"/>
  <c r="AX196" i="6"/>
  <c r="AW196" i="6"/>
  <c r="AT196" i="6"/>
  <c r="AS196" i="6"/>
  <c r="AP196" i="6"/>
  <c r="AO196" i="6"/>
  <c r="AL196" i="6"/>
  <c r="AK196" i="6"/>
  <c r="AI196" i="6"/>
  <c r="AF196" i="6"/>
  <c r="AE196" i="6"/>
  <c r="AA196" i="6"/>
  <c r="X196" i="6"/>
  <c r="N196" i="6" s="1"/>
  <c r="AX195" i="6"/>
  <c r="AW195" i="6"/>
  <c r="AT195" i="6"/>
  <c r="AS195" i="6"/>
  <c r="AP195" i="6"/>
  <c r="AO195" i="6"/>
  <c r="AL195" i="6"/>
  <c r="AK195" i="6"/>
  <c r="AI195" i="6"/>
  <c r="AF195" i="6"/>
  <c r="AE195" i="6"/>
  <c r="AA195" i="6"/>
  <c r="X195" i="6"/>
  <c r="N195" i="6" s="1"/>
  <c r="AX194" i="6"/>
  <c r="AW194" i="6"/>
  <c r="AT194" i="6"/>
  <c r="AS194" i="6"/>
  <c r="AP194" i="6"/>
  <c r="AO194" i="6"/>
  <c r="AL194" i="6"/>
  <c r="AK194" i="6"/>
  <c r="AI194" i="6"/>
  <c r="AF194" i="6"/>
  <c r="AE194" i="6"/>
  <c r="AA194" i="6"/>
  <c r="X194" i="6"/>
  <c r="N194" i="6" s="1"/>
  <c r="BG193" i="6"/>
  <c r="AX193" i="6"/>
  <c r="AW193" i="6"/>
  <c r="AT193" i="6"/>
  <c r="AS193" i="6"/>
  <c r="AP193" i="6"/>
  <c r="AO193" i="6"/>
  <c r="AL193" i="6"/>
  <c r="AK193" i="6"/>
  <c r="AI193" i="6"/>
  <c r="AF193" i="6"/>
  <c r="AE193" i="6"/>
  <c r="AA193" i="6"/>
  <c r="X193" i="6"/>
  <c r="N193" i="6" s="1"/>
  <c r="AX192" i="6"/>
  <c r="AW192" i="6"/>
  <c r="AT192" i="6"/>
  <c r="AS192" i="6"/>
  <c r="AP192" i="6"/>
  <c r="AO192" i="6"/>
  <c r="AL192" i="6"/>
  <c r="AK192" i="6"/>
  <c r="AI192" i="6"/>
  <c r="AF192" i="6"/>
  <c r="AE192" i="6"/>
  <c r="AA192" i="6"/>
  <c r="X192" i="6"/>
  <c r="N192" i="6" s="1"/>
  <c r="AX191" i="6"/>
  <c r="AW191" i="6"/>
  <c r="AT191" i="6"/>
  <c r="AS191" i="6"/>
  <c r="AP191" i="6"/>
  <c r="AO191" i="6"/>
  <c r="AL191" i="6"/>
  <c r="AK191" i="6"/>
  <c r="AI191" i="6"/>
  <c r="AF191" i="6"/>
  <c r="AE191" i="6"/>
  <c r="AA191" i="6"/>
  <c r="X191" i="6"/>
  <c r="N191" i="6" s="1"/>
  <c r="AX190" i="6"/>
  <c r="AW190" i="6"/>
  <c r="AT190" i="6"/>
  <c r="AS190" i="6"/>
  <c r="AP190" i="6"/>
  <c r="AO190" i="6"/>
  <c r="AL190" i="6"/>
  <c r="AK190" i="6"/>
  <c r="AF190" i="6"/>
  <c r="AE190" i="6"/>
  <c r="AA190" i="6"/>
  <c r="X190" i="6"/>
  <c r="N190" i="6" s="1"/>
  <c r="BG189" i="6"/>
  <c r="AX189" i="6"/>
  <c r="AW189" i="6"/>
  <c r="AT189" i="6"/>
  <c r="AS189" i="6"/>
  <c r="AP189" i="6"/>
  <c r="AO189" i="6"/>
  <c r="AM189" i="6"/>
  <c r="AL189" i="6"/>
  <c r="AK189" i="6"/>
  <c r="AF189" i="6"/>
  <c r="AE189" i="6"/>
  <c r="AA189" i="6"/>
  <c r="X189" i="6"/>
  <c r="N189" i="6" s="1"/>
  <c r="BF188" i="6"/>
  <c r="AX188" i="6"/>
  <c r="AW188" i="6"/>
  <c r="AT188" i="6"/>
  <c r="AS188" i="6"/>
  <c r="AP188" i="6"/>
  <c r="AO188" i="6"/>
  <c r="AL188" i="6"/>
  <c r="AK188" i="6"/>
  <c r="AF188" i="6"/>
  <c r="AE188" i="6"/>
  <c r="AA188" i="6"/>
  <c r="X188" i="6"/>
  <c r="N188" i="6" s="1"/>
  <c r="BG187" i="6"/>
  <c r="AX187" i="6"/>
  <c r="AW187" i="6"/>
  <c r="AT187" i="6"/>
  <c r="AS187" i="6"/>
  <c r="AP187" i="6"/>
  <c r="AO187" i="6"/>
  <c r="AL187" i="6"/>
  <c r="AK187" i="6"/>
  <c r="AF187" i="6"/>
  <c r="AE187" i="6"/>
  <c r="AA187" i="6"/>
  <c r="X187" i="6"/>
  <c r="N187" i="6" s="1"/>
  <c r="BG186" i="6"/>
  <c r="BF186" i="6"/>
  <c r="AX186" i="6"/>
  <c r="AW186" i="6"/>
  <c r="AT186" i="6"/>
  <c r="AS186" i="6"/>
  <c r="AQ186" i="6"/>
  <c r="AP186" i="6"/>
  <c r="AO186" i="6"/>
  <c r="AL186" i="6"/>
  <c r="AK186" i="6"/>
  <c r="AF186" i="6"/>
  <c r="AE186" i="6"/>
  <c r="AA186" i="6"/>
  <c r="X186" i="6"/>
  <c r="N186" i="6" s="1"/>
  <c r="AX185" i="6"/>
  <c r="AW185" i="6"/>
  <c r="AT185" i="6"/>
  <c r="AS185" i="6"/>
  <c r="AP185" i="6"/>
  <c r="AO185" i="6"/>
  <c r="AL185" i="6"/>
  <c r="AK185" i="6"/>
  <c r="AI185" i="6"/>
  <c r="AF185" i="6"/>
  <c r="AE185" i="6"/>
  <c r="AA185" i="6"/>
  <c r="X185" i="6"/>
  <c r="N185" i="6" s="1"/>
  <c r="BF184" i="6"/>
  <c r="AX184" i="6"/>
  <c r="AW184" i="6"/>
  <c r="AT184" i="6"/>
  <c r="AS184" i="6"/>
  <c r="AP184" i="6"/>
  <c r="AO184" i="6"/>
  <c r="AL184" i="6"/>
  <c r="AK184" i="6"/>
  <c r="AI184" i="6"/>
  <c r="AF184" i="6"/>
  <c r="AE184" i="6"/>
  <c r="AA184" i="6"/>
  <c r="X184" i="6"/>
  <c r="N184" i="6" s="1"/>
  <c r="BG183" i="6"/>
  <c r="AX183" i="6"/>
  <c r="AW183" i="6"/>
  <c r="AT183" i="6"/>
  <c r="AS183" i="6"/>
  <c r="AP183" i="6"/>
  <c r="AO183" i="6"/>
  <c r="AM183" i="6"/>
  <c r="AI183" i="6" s="1"/>
  <c r="AL183" i="6"/>
  <c r="AK183" i="6"/>
  <c r="AF183" i="6"/>
  <c r="AE183" i="6"/>
  <c r="AA183" i="6"/>
  <c r="X183" i="6"/>
  <c r="N183" i="6" s="1"/>
  <c r="BG182" i="6"/>
  <c r="AX182" i="6"/>
  <c r="AW182" i="6"/>
  <c r="AT182" i="6"/>
  <c r="AS182" i="6"/>
  <c r="AQ182" i="6"/>
  <c r="AP182" i="6"/>
  <c r="AO182" i="6"/>
  <c r="AM182" i="6"/>
  <c r="AI182" i="6" s="1"/>
  <c r="AL182" i="6"/>
  <c r="AK182" i="6"/>
  <c r="AF182" i="6"/>
  <c r="AE182" i="6"/>
  <c r="AA182" i="6"/>
  <c r="X182" i="6"/>
  <c r="N182" i="6" s="1"/>
  <c r="BG181" i="6"/>
  <c r="AX181" i="6"/>
  <c r="AW181" i="6"/>
  <c r="AT181" i="6"/>
  <c r="AS181" i="6"/>
  <c r="AQ181" i="6"/>
  <c r="AP181" i="6"/>
  <c r="AO181" i="6"/>
  <c r="AL181" i="6"/>
  <c r="AK181" i="6"/>
  <c r="AI181" i="6"/>
  <c r="AF181" i="6"/>
  <c r="AE181" i="6"/>
  <c r="AA181" i="6"/>
  <c r="X181" i="6"/>
  <c r="N181" i="6" s="1"/>
  <c r="BG180" i="6"/>
  <c r="AX180" i="6"/>
  <c r="AW180" i="6"/>
  <c r="AT180" i="6"/>
  <c r="AS180" i="6"/>
  <c r="AP180" i="6"/>
  <c r="AO180" i="6"/>
  <c r="AL180" i="6"/>
  <c r="AK180" i="6"/>
  <c r="AF180" i="6"/>
  <c r="AE180" i="6"/>
  <c r="AA180" i="6"/>
  <c r="X180" i="6"/>
  <c r="N180" i="6" s="1"/>
  <c r="AX179" i="6"/>
  <c r="AW179" i="6"/>
  <c r="AT179" i="6"/>
  <c r="AS179" i="6"/>
  <c r="AP179" i="6"/>
  <c r="AO179" i="6"/>
  <c r="AL179" i="6"/>
  <c r="AK179" i="6"/>
  <c r="AI179" i="6"/>
  <c r="AF179" i="6"/>
  <c r="AE179" i="6"/>
  <c r="AA179" i="6"/>
  <c r="X179" i="6"/>
  <c r="N179" i="6" s="1"/>
  <c r="BF178" i="6"/>
  <c r="AX178" i="6"/>
  <c r="AW178" i="6"/>
  <c r="AT178" i="6"/>
  <c r="AS178" i="6"/>
  <c r="AP178" i="6"/>
  <c r="AO178" i="6"/>
  <c r="AL178" i="6"/>
  <c r="AK178" i="6"/>
  <c r="AI178" i="6"/>
  <c r="AF178" i="6"/>
  <c r="AE178" i="6"/>
  <c r="AA178" i="6"/>
  <c r="X178" i="6"/>
  <c r="N178" i="6" s="1"/>
  <c r="BG177" i="6"/>
  <c r="AX177" i="6"/>
  <c r="AW177" i="6"/>
  <c r="AT177" i="6"/>
  <c r="AS177" i="6"/>
  <c r="AP177" i="6"/>
  <c r="AO177" i="6"/>
  <c r="AL177" i="6"/>
  <c r="AK177" i="6"/>
  <c r="AF177" i="6"/>
  <c r="AE177" i="6"/>
  <c r="AA177" i="6"/>
  <c r="X177" i="6"/>
  <c r="N177" i="6" s="1"/>
  <c r="AX176" i="6"/>
  <c r="AW176" i="6"/>
  <c r="AT176" i="6"/>
  <c r="AS176" i="6"/>
  <c r="AP176" i="6"/>
  <c r="AO176" i="6"/>
  <c r="AL176" i="6"/>
  <c r="AK176" i="6"/>
  <c r="AI176" i="6"/>
  <c r="AF176" i="6"/>
  <c r="AE176" i="6"/>
  <c r="AA176" i="6"/>
  <c r="X176" i="6"/>
  <c r="N176" i="6" s="1"/>
  <c r="AX175" i="6"/>
  <c r="AW175" i="6"/>
  <c r="AT175" i="6"/>
  <c r="AS175" i="6"/>
  <c r="AP175" i="6"/>
  <c r="AO175" i="6"/>
  <c r="AL175" i="6"/>
  <c r="AK175" i="6"/>
  <c r="AF175" i="6"/>
  <c r="AE175" i="6"/>
  <c r="AA175" i="6"/>
  <c r="X175" i="6"/>
  <c r="N175" i="6" s="1"/>
  <c r="BG174" i="6"/>
  <c r="AX174" i="6"/>
  <c r="AW174" i="6"/>
  <c r="AT174" i="6"/>
  <c r="AS174" i="6"/>
  <c r="AQ174" i="6"/>
  <c r="AP174" i="6"/>
  <c r="AO174" i="6"/>
  <c r="AL174" i="6"/>
  <c r="AK174" i="6"/>
  <c r="AF174" i="6"/>
  <c r="AE174" i="6"/>
  <c r="AA174" i="6"/>
  <c r="X174" i="6"/>
  <c r="N174" i="6" s="1"/>
  <c r="AX173" i="6"/>
  <c r="AW173" i="6"/>
  <c r="AT173" i="6"/>
  <c r="AS173" i="6"/>
  <c r="AP173" i="6"/>
  <c r="AO173" i="6"/>
  <c r="AL173" i="6"/>
  <c r="AK173" i="6"/>
  <c r="AI173" i="6"/>
  <c r="AF173" i="6"/>
  <c r="AE173" i="6"/>
  <c r="AA173" i="6"/>
  <c r="X173" i="6"/>
  <c r="N173" i="6" s="1"/>
  <c r="AX172" i="6"/>
  <c r="AW172" i="6"/>
  <c r="AT172" i="6"/>
  <c r="AS172" i="6"/>
  <c r="AQ172" i="6"/>
  <c r="AP172" i="6"/>
  <c r="AO172" i="6"/>
  <c r="AL172" i="6"/>
  <c r="AK172" i="6"/>
  <c r="AI172" i="6"/>
  <c r="AF172" i="6"/>
  <c r="AE172" i="6"/>
  <c r="AA172" i="6"/>
  <c r="X172" i="6"/>
  <c r="N172" i="6" s="1"/>
  <c r="BG171" i="6"/>
  <c r="AX171" i="6"/>
  <c r="AW171" i="6"/>
  <c r="AT171" i="6"/>
  <c r="AS171" i="6"/>
  <c r="AP171" i="6"/>
  <c r="AO171" i="6"/>
  <c r="AL171" i="6"/>
  <c r="AK171" i="6"/>
  <c r="AI171" i="6"/>
  <c r="AF171" i="6"/>
  <c r="AE171" i="6"/>
  <c r="AA171" i="6"/>
  <c r="X171" i="6"/>
  <c r="N171" i="6" s="1"/>
  <c r="BG170" i="6"/>
  <c r="BF170" i="6"/>
  <c r="AX170" i="6"/>
  <c r="AW170" i="6"/>
  <c r="AT170" i="6"/>
  <c r="AS170" i="6"/>
  <c r="AP170" i="6"/>
  <c r="AO170" i="6"/>
  <c r="AL170" i="6"/>
  <c r="AK170" i="6"/>
  <c r="AI170" i="6"/>
  <c r="AF170" i="6"/>
  <c r="AE170" i="6"/>
  <c r="AA170" i="6"/>
  <c r="X170" i="6"/>
  <c r="N170" i="6" s="1"/>
  <c r="BG169" i="6"/>
  <c r="AX169" i="6"/>
  <c r="AW169" i="6"/>
  <c r="AT169" i="6"/>
  <c r="AS169" i="6"/>
  <c r="AQ169" i="6"/>
  <c r="AP169" i="6"/>
  <c r="AO169" i="6"/>
  <c r="AM169" i="6"/>
  <c r="AI169" i="6" s="1"/>
  <c r="AL169" i="6"/>
  <c r="AK169" i="6"/>
  <c r="AF169" i="6"/>
  <c r="AE169" i="6"/>
  <c r="AA169" i="6"/>
  <c r="X169" i="6"/>
  <c r="N169" i="6" s="1"/>
  <c r="AX168" i="6"/>
  <c r="AW168" i="6"/>
  <c r="AT168" i="6"/>
  <c r="AS168" i="6"/>
  <c r="AQ168" i="6"/>
  <c r="AP168" i="6"/>
  <c r="AO168" i="6"/>
  <c r="AL168" i="6"/>
  <c r="AK168" i="6"/>
  <c r="AI168" i="6"/>
  <c r="AF168" i="6"/>
  <c r="AE168" i="6"/>
  <c r="AA168" i="6"/>
  <c r="Z397" i="6"/>
  <c r="X168" i="6"/>
  <c r="BG167" i="6"/>
  <c r="AX167" i="6"/>
  <c r="AW167" i="6"/>
  <c r="AT167" i="6"/>
  <c r="AS167" i="6"/>
  <c r="AQ167" i="6"/>
  <c r="AP167" i="6"/>
  <c r="AO167" i="6"/>
  <c r="AM167" i="6"/>
  <c r="AL167" i="6"/>
  <c r="AK167" i="6"/>
  <c r="AF167" i="6"/>
  <c r="AE167" i="6"/>
  <c r="AA167" i="6"/>
  <c r="X167" i="6"/>
  <c r="N167" i="6" s="1"/>
  <c r="BG166" i="6"/>
  <c r="AX166" i="6"/>
  <c r="AW166" i="6"/>
  <c r="AT166" i="6"/>
  <c r="AS166" i="6"/>
  <c r="AP166" i="6"/>
  <c r="AO166" i="6"/>
  <c r="AL166" i="6"/>
  <c r="AK166" i="6"/>
  <c r="AI166" i="6"/>
  <c r="AF166" i="6"/>
  <c r="AE166" i="6"/>
  <c r="AA166" i="6"/>
  <c r="X166" i="6"/>
  <c r="N166" i="6" s="1"/>
  <c r="BG165" i="6"/>
  <c r="BF165" i="6"/>
  <c r="AX165" i="6"/>
  <c r="AW165" i="6"/>
  <c r="AU165" i="6"/>
  <c r="AT165" i="6"/>
  <c r="AS165" i="6"/>
  <c r="AQ165" i="6"/>
  <c r="AP165" i="6"/>
  <c r="AO165" i="6"/>
  <c r="AL165" i="6"/>
  <c r="AK165" i="6"/>
  <c r="AF165" i="6"/>
  <c r="AE165" i="6"/>
  <c r="AA165" i="6"/>
  <c r="X165" i="6"/>
  <c r="N165" i="6" s="1"/>
  <c r="AX164" i="6"/>
  <c r="AW164" i="6"/>
  <c r="AT164" i="6"/>
  <c r="AS164" i="6"/>
  <c r="AP164" i="6"/>
  <c r="AO164" i="6"/>
  <c r="AL164" i="6"/>
  <c r="AK164" i="6"/>
  <c r="AI164" i="6"/>
  <c r="AF164" i="6"/>
  <c r="AE164" i="6"/>
  <c r="AA164" i="6"/>
  <c r="X164" i="6"/>
  <c r="N164" i="6" s="1"/>
  <c r="AX163" i="6"/>
  <c r="AW163" i="6"/>
  <c r="AT163" i="6"/>
  <c r="AS163" i="6"/>
  <c r="AP163" i="6"/>
  <c r="AO163" i="6"/>
  <c r="AL163" i="6"/>
  <c r="AK163" i="6"/>
  <c r="AI163" i="6"/>
  <c r="AF163" i="6"/>
  <c r="AE163" i="6"/>
  <c r="AA163" i="6"/>
  <c r="X163" i="6"/>
  <c r="N163" i="6" s="1"/>
  <c r="AX162" i="6"/>
  <c r="AW162" i="6"/>
  <c r="AT162" i="6"/>
  <c r="AS162" i="6"/>
  <c r="AP162" i="6"/>
  <c r="AO162" i="6"/>
  <c r="AL162" i="6"/>
  <c r="AK162" i="6"/>
  <c r="AI162" i="6"/>
  <c r="AF162" i="6"/>
  <c r="AE162" i="6"/>
  <c r="AA162" i="6"/>
  <c r="X162" i="6"/>
  <c r="N162" i="6" s="1"/>
  <c r="AX161" i="6"/>
  <c r="AW161" i="6"/>
  <c r="AT161" i="6"/>
  <c r="AS161" i="6"/>
  <c r="AP161" i="6"/>
  <c r="AO161" i="6"/>
  <c r="AL161" i="6"/>
  <c r="AK161" i="6"/>
  <c r="AF161" i="6"/>
  <c r="AE161" i="6"/>
  <c r="AA161" i="6"/>
  <c r="X161" i="6"/>
  <c r="N161" i="6" s="1"/>
  <c r="AX160" i="6"/>
  <c r="AW160" i="6"/>
  <c r="AT160" i="6"/>
  <c r="AS160" i="6"/>
  <c r="AQ160" i="6"/>
  <c r="AP160" i="6"/>
  <c r="AO160" i="6"/>
  <c r="AL160" i="6"/>
  <c r="AK160" i="6"/>
  <c r="AI160" i="6"/>
  <c r="AF160" i="6"/>
  <c r="AE160" i="6"/>
  <c r="AA160" i="6"/>
  <c r="X160" i="6"/>
  <c r="N160" i="6" s="1"/>
  <c r="BG159" i="6"/>
  <c r="BF159" i="6"/>
  <c r="AX159" i="6"/>
  <c r="AW159" i="6"/>
  <c r="AT159" i="6"/>
  <c r="AS159" i="6"/>
  <c r="AP159" i="6"/>
  <c r="AO159" i="6"/>
  <c r="AL159" i="6"/>
  <c r="AK159" i="6"/>
  <c r="AI159" i="6"/>
  <c r="AF159" i="6"/>
  <c r="AE159" i="6"/>
  <c r="AA159" i="6"/>
  <c r="X159" i="6"/>
  <c r="N159" i="6" s="1"/>
  <c r="AX158" i="6"/>
  <c r="AW158" i="6"/>
  <c r="AT158" i="6"/>
  <c r="AS158" i="6"/>
  <c r="AP158" i="6"/>
  <c r="AO158" i="6"/>
  <c r="AL158" i="6"/>
  <c r="AK158" i="6"/>
  <c r="AI158" i="6"/>
  <c r="AF158" i="6"/>
  <c r="AE158" i="6"/>
  <c r="AA158" i="6"/>
  <c r="X158" i="6"/>
  <c r="N158" i="6" s="1"/>
  <c r="BG157" i="6"/>
  <c r="AX157" i="6"/>
  <c r="AW157" i="6"/>
  <c r="AT157" i="6"/>
  <c r="AS157" i="6"/>
  <c r="AP157" i="6"/>
  <c r="AO157" i="6"/>
  <c r="AL157" i="6"/>
  <c r="AK157" i="6"/>
  <c r="AI157" i="6"/>
  <c r="AF157" i="6"/>
  <c r="AE157" i="6"/>
  <c r="AA157" i="6"/>
  <c r="X157" i="6"/>
  <c r="N157" i="6" s="1"/>
  <c r="AX156" i="6"/>
  <c r="AW156" i="6"/>
  <c r="AT156" i="6"/>
  <c r="AS156" i="6"/>
  <c r="AP156" i="6"/>
  <c r="AO156" i="6"/>
  <c r="AL156" i="6"/>
  <c r="AK156" i="6"/>
  <c r="AI156" i="6"/>
  <c r="AF156" i="6"/>
  <c r="AE156" i="6"/>
  <c r="AA156" i="6"/>
  <c r="X156" i="6"/>
  <c r="N156" i="6" s="1"/>
  <c r="AX155" i="6"/>
  <c r="AW155" i="6"/>
  <c r="AT155" i="6"/>
  <c r="AS155" i="6"/>
  <c r="AP155" i="6"/>
  <c r="AO155" i="6"/>
  <c r="AL155" i="6"/>
  <c r="AK155" i="6"/>
  <c r="AF155" i="6"/>
  <c r="AE155" i="6"/>
  <c r="AA155" i="6"/>
  <c r="X155" i="6"/>
  <c r="N155" i="6" s="1"/>
  <c r="AX154" i="6"/>
  <c r="AW154" i="6"/>
  <c r="AT154" i="6"/>
  <c r="AS154" i="6"/>
  <c r="AP154" i="6"/>
  <c r="AO154" i="6"/>
  <c r="AL154" i="6"/>
  <c r="AK154" i="6"/>
  <c r="AI154" i="6"/>
  <c r="AF154" i="6"/>
  <c r="AE154" i="6"/>
  <c r="AA154" i="6"/>
  <c r="X154" i="6"/>
  <c r="N154" i="6" s="1"/>
  <c r="AX153" i="6"/>
  <c r="AW153" i="6"/>
  <c r="AT153" i="6"/>
  <c r="AS153" i="6"/>
  <c r="AP153" i="6"/>
  <c r="AO153" i="6"/>
  <c r="AL153" i="6"/>
  <c r="AK153" i="6"/>
  <c r="AI153" i="6"/>
  <c r="AF153" i="6"/>
  <c r="AE153" i="6"/>
  <c r="AA153" i="6"/>
  <c r="X153" i="6"/>
  <c r="N153" i="6" s="1"/>
  <c r="AX152" i="6"/>
  <c r="AW152" i="6"/>
  <c r="AT152" i="6"/>
  <c r="AS152" i="6"/>
  <c r="AP152" i="6"/>
  <c r="AO152" i="6"/>
  <c r="AL152" i="6"/>
  <c r="AK152" i="6"/>
  <c r="AI152" i="6"/>
  <c r="AF152" i="6"/>
  <c r="AE152" i="6"/>
  <c r="AA152" i="6"/>
  <c r="X152" i="6"/>
  <c r="N152" i="6" s="1"/>
  <c r="BG151" i="6"/>
  <c r="AX151" i="6"/>
  <c r="AW151" i="6"/>
  <c r="AT151" i="6"/>
  <c r="AS151" i="6"/>
  <c r="AP151" i="6"/>
  <c r="AO151" i="6"/>
  <c r="AL151" i="6"/>
  <c r="AK151" i="6"/>
  <c r="AI151" i="6"/>
  <c r="AF151" i="6"/>
  <c r="AE151" i="6"/>
  <c r="AA151" i="6"/>
  <c r="X151" i="6"/>
  <c r="N151" i="6" s="1"/>
  <c r="BG150" i="6"/>
  <c r="AX150" i="6"/>
  <c r="AW150" i="6"/>
  <c r="AT150" i="6"/>
  <c r="AS150" i="6"/>
  <c r="AP150" i="6"/>
  <c r="AO150" i="6"/>
  <c r="AL150" i="6"/>
  <c r="AK150" i="6"/>
  <c r="AI150" i="6"/>
  <c r="AF150" i="6"/>
  <c r="AE150" i="6"/>
  <c r="AA150" i="6"/>
  <c r="X150" i="6"/>
  <c r="N150" i="6" s="1"/>
  <c r="AX149" i="6"/>
  <c r="AW149" i="6"/>
  <c r="AT149" i="6"/>
  <c r="AS149" i="6"/>
  <c r="AP149" i="6"/>
  <c r="AO149" i="6"/>
  <c r="AL149" i="6"/>
  <c r="AK149" i="6"/>
  <c r="AI149" i="6"/>
  <c r="AF149" i="6"/>
  <c r="AE149" i="6"/>
  <c r="AA149" i="6"/>
  <c r="X149" i="6"/>
  <c r="N149" i="6" s="1"/>
  <c r="AX148" i="6"/>
  <c r="AW148" i="6"/>
  <c r="AT148" i="6"/>
  <c r="AS148" i="6"/>
  <c r="AP148" i="6"/>
  <c r="AO148" i="6"/>
  <c r="AL148" i="6"/>
  <c r="AK148" i="6"/>
  <c r="AI148" i="6"/>
  <c r="AF148" i="6"/>
  <c r="AE148" i="6"/>
  <c r="AA148" i="6"/>
  <c r="X148" i="6"/>
  <c r="N148" i="6" s="1"/>
  <c r="BG147" i="6"/>
  <c r="AX147" i="6"/>
  <c r="AW147" i="6"/>
  <c r="AT147" i="6"/>
  <c r="AS147" i="6"/>
  <c r="AP147" i="6"/>
  <c r="AO147" i="6"/>
  <c r="AL147" i="6"/>
  <c r="AK147" i="6"/>
  <c r="AF147" i="6"/>
  <c r="AE147" i="6"/>
  <c r="AA147" i="6"/>
  <c r="X147" i="6"/>
  <c r="N147" i="6" s="1"/>
  <c r="AX146" i="6"/>
  <c r="AW146" i="6"/>
  <c r="AT146" i="6"/>
  <c r="AS146" i="6"/>
  <c r="AP146" i="6"/>
  <c r="AO146" i="6"/>
  <c r="AL146" i="6"/>
  <c r="AK146" i="6"/>
  <c r="AI146" i="6"/>
  <c r="AF146" i="6"/>
  <c r="AE146" i="6"/>
  <c r="AA146" i="6"/>
  <c r="X146" i="6"/>
  <c r="N146" i="6" s="1"/>
  <c r="AX145" i="6"/>
  <c r="AW145" i="6"/>
  <c r="AT145" i="6"/>
  <c r="AS145" i="6"/>
  <c r="AP145" i="6"/>
  <c r="AO145" i="6"/>
  <c r="AL145" i="6"/>
  <c r="AK145" i="6"/>
  <c r="AI145" i="6"/>
  <c r="AF145" i="6"/>
  <c r="AE145" i="6"/>
  <c r="AA145" i="6"/>
  <c r="X145" i="6"/>
  <c r="N145" i="6" s="1"/>
  <c r="AX144" i="6"/>
  <c r="AW144" i="6"/>
  <c r="AT144" i="6"/>
  <c r="AS144" i="6"/>
  <c r="AP144" i="6"/>
  <c r="AO144" i="6"/>
  <c r="AL144" i="6"/>
  <c r="AK144" i="6"/>
  <c r="AI144" i="6"/>
  <c r="AF144" i="6"/>
  <c r="AE144" i="6"/>
  <c r="AA144" i="6"/>
  <c r="X144" i="6"/>
  <c r="AX143" i="6"/>
  <c r="AW143" i="6"/>
  <c r="AT143" i="6"/>
  <c r="AS143" i="6"/>
  <c r="AP143" i="6"/>
  <c r="AO143" i="6"/>
  <c r="AL143" i="6"/>
  <c r="AK143" i="6"/>
  <c r="AI143" i="6"/>
  <c r="AF143" i="6"/>
  <c r="AE143" i="6"/>
  <c r="AA143" i="6"/>
  <c r="X143" i="6"/>
  <c r="N143" i="6" s="1"/>
  <c r="AX142" i="6"/>
  <c r="AW142" i="6"/>
  <c r="AT142" i="6"/>
  <c r="AS142" i="6"/>
  <c r="AQ142" i="6"/>
  <c r="AP142" i="6"/>
  <c r="AO142" i="6"/>
  <c r="AL142" i="6"/>
  <c r="AK142" i="6"/>
  <c r="AF142" i="6"/>
  <c r="AE142" i="6"/>
  <c r="AA142" i="6"/>
  <c r="X142" i="6"/>
  <c r="N142" i="6" s="1"/>
  <c r="AX141" i="6"/>
  <c r="AW141" i="6"/>
  <c r="AT141" i="6"/>
  <c r="AS141" i="6"/>
  <c r="AP141" i="6"/>
  <c r="AO141" i="6"/>
  <c r="AL141" i="6"/>
  <c r="AK141" i="6"/>
  <c r="AI141" i="6"/>
  <c r="AF141" i="6"/>
  <c r="AE141" i="6"/>
  <c r="AA141" i="6"/>
  <c r="X141" i="6"/>
  <c r="N141" i="6" s="1"/>
  <c r="AX140" i="6"/>
  <c r="AW140" i="6"/>
  <c r="AT140" i="6"/>
  <c r="AS140" i="6"/>
  <c r="AP140" i="6"/>
  <c r="AO140" i="6"/>
  <c r="AM140" i="6"/>
  <c r="AI140" i="6" s="1"/>
  <c r="AL140" i="6"/>
  <c r="AK140" i="6"/>
  <c r="AF140" i="6"/>
  <c r="AE140" i="6"/>
  <c r="AA140" i="6"/>
  <c r="X140" i="6"/>
  <c r="N140" i="6" s="1"/>
  <c r="BG139" i="6"/>
  <c r="AX139" i="6"/>
  <c r="AW139" i="6"/>
  <c r="AT139" i="6"/>
  <c r="AS139" i="6"/>
  <c r="AP139" i="6"/>
  <c r="AO139" i="6"/>
  <c r="AM139" i="6"/>
  <c r="AI139" i="6" s="1"/>
  <c r="AL139" i="6"/>
  <c r="AK139" i="6"/>
  <c r="AF139" i="6"/>
  <c r="AE139" i="6"/>
  <c r="AA139" i="6"/>
  <c r="X139" i="6"/>
  <c r="N139" i="6" s="1"/>
  <c r="AX138" i="6"/>
  <c r="AW138" i="6"/>
  <c r="AT138" i="6"/>
  <c r="AS138" i="6"/>
  <c r="AP138" i="6"/>
  <c r="AO138" i="6"/>
  <c r="AL138" i="6"/>
  <c r="AK138" i="6"/>
  <c r="AI138" i="6"/>
  <c r="AF138" i="6"/>
  <c r="AE138" i="6"/>
  <c r="AA138" i="6"/>
  <c r="X138" i="6"/>
  <c r="N138" i="6" s="1"/>
  <c r="BG137" i="6"/>
  <c r="AX137" i="6"/>
  <c r="AW137" i="6"/>
  <c r="AT137" i="6"/>
  <c r="AS137" i="6"/>
  <c r="AP137" i="6"/>
  <c r="AO137" i="6"/>
  <c r="AL137" i="6"/>
  <c r="AK137" i="6"/>
  <c r="AI137" i="6"/>
  <c r="AF137" i="6"/>
  <c r="AE137" i="6"/>
  <c r="AA137" i="6"/>
  <c r="X137" i="6"/>
  <c r="N137" i="6" s="1"/>
  <c r="BG136" i="6"/>
  <c r="AX136" i="6"/>
  <c r="AW136" i="6"/>
  <c r="AT136" i="6"/>
  <c r="AS136" i="6"/>
  <c r="AP136" i="6"/>
  <c r="AO136" i="6"/>
  <c r="AM136" i="6"/>
  <c r="AL136" i="6"/>
  <c r="AK136" i="6"/>
  <c r="AF136" i="6"/>
  <c r="AE136" i="6"/>
  <c r="AA136" i="6"/>
  <c r="X136" i="6"/>
  <c r="N136" i="6" s="1"/>
  <c r="AX135" i="6"/>
  <c r="AW135" i="6"/>
  <c r="AT135" i="6"/>
  <c r="AS135" i="6"/>
  <c r="AP135" i="6"/>
  <c r="AO135" i="6"/>
  <c r="AL135" i="6"/>
  <c r="AK135" i="6"/>
  <c r="AI135" i="6"/>
  <c r="AF135" i="6"/>
  <c r="AE135" i="6"/>
  <c r="AA135" i="6"/>
  <c r="X135" i="6"/>
  <c r="N135" i="6" s="1"/>
  <c r="BG134" i="6"/>
  <c r="AX134" i="6"/>
  <c r="AW134" i="6"/>
  <c r="AT134" i="6"/>
  <c r="AS134" i="6"/>
  <c r="AP134" i="6"/>
  <c r="AO134" i="6"/>
  <c r="AM134" i="6"/>
  <c r="AI134" i="6" s="1"/>
  <c r="AL134" i="6"/>
  <c r="AK134" i="6"/>
  <c r="AF134" i="6"/>
  <c r="AE134" i="6"/>
  <c r="AA134" i="6"/>
  <c r="X134" i="6"/>
  <c r="N134" i="6" s="1"/>
  <c r="BG133" i="6"/>
  <c r="BF133" i="6"/>
  <c r="AX133" i="6"/>
  <c r="AW133" i="6"/>
  <c r="AT133" i="6"/>
  <c r="AS133" i="6"/>
  <c r="AQ133" i="6"/>
  <c r="AP133" i="6"/>
  <c r="AO133" i="6"/>
  <c r="AI133" i="6"/>
  <c r="AL133" i="6"/>
  <c r="AK133" i="6"/>
  <c r="AF133" i="6"/>
  <c r="AE133" i="6"/>
  <c r="AA133" i="6"/>
  <c r="X133" i="6"/>
  <c r="N133" i="6" s="1"/>
  <c r="BG132" i="6"/>
  <c r="AX132" i="6"/>
  <c r="AW132" i="6"/>
  <c r="AT132" i="6"/>
  <c r="AS132" i="6"/>
  <c r="AP132" i="6"/>
  <c r="AO132" i="6"/>
  <c r="AI132" i="6"/>
  <c r="AL132" i="6"/>
  <c r="AK132" i="6"/>
  <c r="AF132" i="6"/>
  <c r="AE132" i="6" s="1"/>
  <c r="AA132" i="6"/>
  <c r="X132" i="6"/>
  <c r="N132" i="6" s="1"/>
  <c r="BG131" i="6"/>
  <c r="AX131" i="6"/>
  <c r="AW131" i="6"/>
  <c r="AT131" i="6"/>
  <c r="AS131" i="6"/>
  <c r="AP131" i="6"/>
  <c r="AO131" i="6"/>
  <c r="AM131" i="6"/>
  <c r="AL131" i="6"/>
  <c r="AK131" i="6"/>
  <c r="AF131" i="6"/>
  <c r="AE131" i="6"/>
  <c r="AA131" i="6"/>
  <c r="X131" i="6"/>
  <c r="N131" i="6" s="1"/>
  <c r="AX130" i="6"/>
  <c r="AW130" i="6"/>
  <c r="AT130" i="6"/>
  <c r="AS130" i="6"/>
  <c r="AP130" i="6"/>
  <c r="AO130" i="6"/>
  <c r="AM130" i="6"/>
  <c r="AI130" i="6" s="1"/>
  <c r="AL130" i="6"/>
  <c r="AK130" i="6"/>
  <c r="AF130" i="6"/>
  <c r="AE130" i="6"/>
  <c r="AA130" i="6"/>
  <c r="X130" i="6"/>
  <c r="N130" i="6" s="1"/>
  <c r="BG129" i="6"/>
  <c r="AX129" i="6"/>
  <c r="AW129" i="6"/>
  <c r="AT129" i="6"/>
  <c r="AS129" i="6"/>
  <c r="AP129" i="6"/>
  <c r="AO129" i="6"/>
  <c r="AM129" i="6"/>
  <c r="AI129" i="6" s="1"/>
  <c r="AL129" i="6"/>
  <c r="AK129" i="6"/>
  <c r="AF129" i="6"/>
  <c r="AE129" i="6"/>
  <c r="AA129" i="6"/>
  <c r="X129" i="6"/>
  <c r="N129" i="6" s="1"/>
  <c r="AX128" i="6"/>
  <c r="AW128" i="6"/>
  <c r="AT128" i="6"/>
  <c r="AS128" i="6"/>
  <c r="AP128" i="6"/>
  <c r="AO128" i="6"/>
  <c r="AM128" i="6"/>
  <c r="AI128" i="6" s="1"/>
  <c r="AL128" i="6"/>
  <c r="AK128" i="6"/>
  <c r="AF128" i="6"/>
  <c r="AE128" i="6"/>
  <c r="AA128" i="6"/>
  <c r="X128" i="6"/>
  <c r="N128" i="6" s="1"/>
  <c r="BG127" i="6"/>
  <c r="BF127" i="6"/>
  <c r="AX127" i="6"/>
  <c r="AW127" i="6"/>
  <c r="AT127" i="6"/>
  <c r="AS127" i="6"/>
  <c r="AQ127" i="6"/>
  <c r="AP127" i="6"/>
  <c r="AO127" i="6"/>
  <c r="AL127" i="6"/>
  <c r="AK127" i="6"/>
  <c r="AF127" i="6"/>
  <c r="AE127" i="6"/>
  <c r="AA127" i="6"/>
  <c r="X127" i="6"/>
  <c r="N127" i="6" s="1"/>
  <c r="AX126" i="6"/>
  <c r="AW126" i="6"/>
  <c r="AT126" i="6"/>
  <c r="AS126" i="6"/>
  <c r="AP126" i="6"/>
  <c r="AO126" i="6"/>
  <c r="AL126" i="6"/>
  <c r="AK126" i="6"/>
  <c r="AF126" i="6"/>
  <c r="AE126" i="6"/>
  <c r="AA126" i="6"/>
  <c r="X126" i="6"/>
  <c r="N126" i="6" s="1"/>
  <c r="BG125" i="6"/>
  <c r="BF125" i="6"/>
  <c r="AX125" i="6"/>
  <c r="AW125" i="6"/>
  <c r="AT125" i="6"/>
  <c r="AS125" i="6"/>
  <c r="AP125" i="6"/>
  <c r="AO125" i="6"/>
  <c r="AL125" i="6"/>
  <c r="AK125" i="6"/>
  <c r="AF125" i="6"/>
  <c r="AE125" i="6"/>
  <c r="AA125" i="6"/>
  <c r="X125" i="6"/>
  <c r="N125" i="6" s="1"/>
  <c r="AX124" i="6"/>
  <c r="AW124" i="6"/>
  <c r="AT124" i="6"/>
  <c r="AS124" i="6"/>
  <c r="AP124" i="6"/>
  <c r="AO124" i="6"/>
  <c r="AL124" i="6"/>
  <c r="AK124" i="6"/>
  <c r="AF124" i="6"/>
  <c r="AE124" i="6"/>
  <c r="AA124" i="6"/>
  <c r="X124" i="6"/>
  <c r="N124" i="6" s="1"/>
  <c r="AX123" i="6"/>
  <c r="AW123" i="6"/>
  <c r="AT123" i="6"/>
  <c r="AS123" i="6"/>
  <c r="AP123" i="6"/>
  <c r="AO123" i="6"/>
  <c r="AL123" i="6"/>
  <c r="AK123" i="6"/>
  <c r="AI123" i="6"/>
  <c r="AF123" i="6"/>
  <c r="AE123" i="6"/>
  <c r="AA123" i="6"/>
  <c r="X123" i="6"/>
  <c r="N123" i="6" s="1"/>
  <c r="BG122" i="6"/>
  <c r="AX122" i="6"/>
  <c r="AW122" i="6"/>
  <c r="AT122" i="6"/>
  <c r="AS122" i="6"/>
  <c r="AP122" i="6"/>
  <c r="AO122" i="6"/>
  <c r="AL122" i="6"/>
  <c r="AK122" i="6"/>
  <c r="AI122" i="6"/>
  <c r="AF122" i="6"/>
  <c r="AE122" i="6"/>
  <c r="AA122" i="6"/>
  <c r="X122" i="6"/>
  <c r="N122" i="6" s="1"/>
  <c r="BG121" i="6"/>
  <c r="AX121" i="6"/>
  <c r="AW121" i="6"/>
  <c r="AT121" i="6"/>
  <c r="AS121" i="6"/>
  <c r="AP121" i="6"/>
  <c r="AO121" i="6"/>
  <c r="AM121" i="6"/>
  <c r="AI121" i="6" s="1"/>
  <c r="AL121" i="6"/>
  <c r="AK121" i="6"/>
  <c r="AF121" i="6"/>
  <c r="AE121" i="6" s="1"/>
  <c r="AA121" i="6"/>
  <c r="X121" i="6"/>
  <c r="N121" i="6" s="1"/>
  <c r="AX120" i="6"/>
  <c r="AW120" i="6"/>
  <c r="AT120" i="6"/>
  <c r="AS120" i="6"/>
  <c r="AP120" i="6"/>
  <c r="AO120" i="6"/>
  <c r="AM120" i="6"/>
  <c r="AI120" i="6" s="1"/>
  <c r="AL120" i="6"/>
  <c r="AK120" i="6"/>
  <c r="AF120" i="6"/>
  <c r="AE120" i="6"/>
  <c r="AA120" i="6"/>
  <c r="X120" i="6"/>
  <c r="N120" i="6" s="1"/>
  <c r="BG119" i="6"/>
  <c r="AX119" i="6"/>
  <c r="AW119" i="6"/>
  <c r="AT119" i="6"/>
  <c r="AS119" i="6"/>
  <c r="AP119" i="6"/>
  <c r="AO119" i="6"/>
  <c r="AI119" i="6"/>
  <c r="AL119" i="6"/>
  <c r="AK119" i="6"/>
  <c r="AF119" i="6"/>
  <c r="AE119" i="6"/>
  <c r="AA119" i="6"/>
  <c r="X119" i="6"/>
  <c r="N119" i="6" s="1"/>
  <c r="AX118" i="6"/>
  <c r="AW118" i="6"/>
  <c r="AT118" i="6"/>
  <c r="AS118" i="6"/>
  <c r="AP118" i="6"/>
  <c r="AO118" i="6"/>
  <c r="AL118" i="6"/>
  <c r="AK118" i="6"/>
  <c r="AI118" i="6"/>
  <c r="AF118" i="6"/>
  <c r="AE118" i="6"/>
  <c r="AA118" i="6"/>
  <c r="X118" i="6"/>
  <c r="N118" i="6" s="1"/>
  <c r="BG117" i="6"/>
  <c r="AX117" i="6"/>
  <c r="AW117" i="6"/>
  <c r="AT117" i="6"/>
  <c r="AS117" i="6"/>
  <c r="AQ117" i="6"/>
  <c r="AP117" i="6"/>
  <c r="AO117" i="6"/>
  <c r="AI117" i="6"/>
  <c r="AL117" i="6"/>
  <c r="AK117" i="6"/>
  <c r="AF117" i="6"/>
  <c r="AE117" i="6"/>
  <c r="AA117" i="6"/>
  <c r="X117" i="6"/>
  <c r="N117" i="6" s="1"/>
  <c r="AX116" i="6"/>
  <c r="AW116" i="6"/>
  <c r="AT116" i="6"/>
  <c r="AS116" i="6"/>
  <c r="AP116" i="6"/>
  <c r="AO116" i="6"/>
  <c r="AM116" i="6"/>
  <c r="AL116" i="6"/>
  <c r="AK116" i="6"/>
  <c r="AF116" i="6"/>
  <c r="AE116" i="6"/>
  <c r="AA116" i="6"/>
  <c r="X116" i="6"/>
  <c r="N116" i="6" s="1"/>
  <c r="AX115" i="6"/>
  <c r="AW115" i="6"/>
  <c r="AT115" i="6"/>
  <c r="AS115" i="6"/>
  <c r="AP115" i="6"/>
  <c r="AO115" i="6"/>
  <c r="AL115" i="6"/>
  <c r="AK115" i="6"/>
  <c r="AI115" i="6"/>
  <c r="AF115" i="6"/>
  <c r="AE115" i="6"/>
  <c r="AA115" i="6"/>
  <c r="X115" i="6"/>
  <c r="N115" i="6" s="1"/>
  <c r="BG114" i="6"/>
  <c r="AX114" i="6"/>
  <c r="AW114" i="6"/>
  <c r="AT114" i="6"/>
  <c r="AS114" i="6"/>
  <c r="AP114" i="6"/>
  <c r="AO114" i="6"/>
  <c r="AM114" i="6"/>
  <c r="AL114" i="6"/>
  <c r="AK114" i="6"/>
  <c r="AF114" i="6"/>
  <c r="AE114" i="6"/>
  <c r="AA114" i="6"/>
  <c r="X114" i="6"/>
  <c r="N114" i="6" s="1"/>
  <c r="AX113" i="6"/>
  <c r="AW113" i="6"/>
  <c r="AT113" i="6"/>
  <c r="AS113" i="6"/>
  <c r="AP113" i="6"/>
  <c r="AO113" i="6"/>
  <c r="AM113" i="6"/>
  <c r="AL113" i="6"/>
  <c r="AK113" i="6"/>
  <c r="AF113" i="6"/>
  <c r="AE113" i="6"/>
  <c r="AA113" i="6"/>
  <c r="X113" i="6"/>
  <c r="N113" i="6" s="1"/>
  <c r="BG112" i="6"/>
  <c r="AX112" i="6"/>
  <c r="AW112" i="6"/>
  <c r="AT112" i="6"/>
  <c r="AS112" i="6"/>
  <c r="AP112" i="6"/>
  <c r="AO112" i="6"/>
  <c r="AL112" i="6"/>
  <c r="AK112" i="6"/>
  <c r="AF112" i="6"/>
  <c r="AE112" i="6"/>
  <c r="AA112" i="6"/>
  <c r="X112" i="6"/>
  <c r="N112" i="6" s="1"/>
  <c r="BF111" i="6"/>
  <c r="AX111" i="6"/>
  <c r="AW111" i="6"/>
  <c r="AT111" i="6"/>
  <c r="AS111" i="6"/>
  <c r="AP111" i="6"/>
  <c r="AO111" i="6"/>
  <c r="AL111" i="6"/>
  <c r="AK111" i="6"/>
  <c r="AI111" i="6"/>
  <c r="AF111" i="6"/>
  <c r="AE111" i="6"/>
  <c r="AA111" i="6"/>
  <c r="X111" i="6"/>
  <c r="N111" i="6" s="1"/>
  <c r="BG110" i="6"/>
  <c r="AX110" i="6"/>
  <c r="AW110" i="6"/>
  <c r="AT110" i="6"/>
  <c r="AS110" i="6"/>
  <c r="AP110" i="6"/>
  <c r="AO110" i="6"/>
  <c r="AL110" i="6"/>
  <c r="AK110" i="6"/>
  <c r="AF110" i="6"/>
  <c r="AE110" i="6"/>
  <c r="AA110" i="6"/>
  <c r="X110" i="6"/>
  <c r="N110" i="6" s="1"/>
  <c r="AX109" i="6"/>
  <c r="AW109" i="6"/>
  <c r="AT109" i="6"/>
  <c r="AS109" i="6"/>
  <c r="AP109" i="6"/>
  <c r="AO109" i="6"/>
  <c r="AL109" i="6"/>
  <c r="AK109" i="6"/>
  <c r="AF109" i="6"/>
  <c r="AE109" i="6"/>
  <c r="AA109" i="6"/>
  <c r="X109" i="6"/>
  <c r="N109" i="6" s="1"/>
  <c r="AX108" i="6"/>
  <c r="AW108" i="6"/>
  <c r="AT108" i="6"/>
  <c r="AS108" i="6"/>
  <c r="AP108" i="6"/>
  <c r="AO108" i="6"/>
  <c r="AM108" i="6"/>
  <c r="AL108" i="6"/>
  <c r="AK108" i="6"/>
  <c r="AF108" i="6"/>
  <c r="AE108" i="6"/>
  <c r="AA108" i="6"/>
  <c r="X108" i="6"/>
  <c r="N108" i="6" s="1"/>
  <c r="AX107" i="6"/>
  <c r="AW107" i="6"/>
  <c r="AT107" i="6"/>
  <c r="AS107" i="6"/>
  <c r="AQ107" i="6"/>
  <c r="AP107" i="6"/>
  <c r="AO107" i="6"/>
  <c r="AL107" i="6"/>
  <c r="AK107" i="6"/>
  <c r="AI107" i="6"/>
  <c r="AF107" i="6"/>
  <c r="AE107" i="6"/>
  <c r="AA107" i="6"/>
  <c r="X107" i="6"/>
  <c r="N107" i="6" s="1"/>
  <c r="AX106" i="6"/>
  <c r="AW106" i="6"/>
  <c r="AT106" i="6"/>
  <c r="AS106" i="6"/>
  <c r="AP106" i="6"/>
  <c r="AO106" i="6"/>
  <c r="AL106" i="6"/>
  <c r="AK106" i="6"/>
  <c r="AI106" i="6"/>
  <c r="AF106" i="6"/>
  <c r="AE106" i="6"/>
  <c r="AA106" i="6"/>
  <c r="X106" i="6"/>
  <c r="N106" i="6" s="1"/>
  <c r="BG105" i="6"/>
  <c r="AX105" i="6"/>
  <c r="AW105" i="6"/>
  <c r="AT105" i="6"/>
  <c r="AS105" i="6"/>
  <c r="AP105" i="6"/>
  <c r="AO105" i="6"/>
  <c r="AL105" i="6"/>
  <c r="AK105" i="6"/>
  <c r="AI105" i="6"/>
  <c r="AF105" i="6"/>
  <c r="AE105" i="6"/>
  <c r="AA105" i="6"/>
  <c r="X105" i="6"/>
  <c r="N105" i="6" s="1"/>
  <c r="BG104" i="6"/>
  <c r="BF104" i="6"/>
  <c r="AX104" i="6"/>
  <c r="AW104" i="6"/>
  <c r="AT104" i="6"/>
  <c r="AS104" i="6"/>
  <c r="AQ104" i="6"/>
  <c r="AP104" i="6"/>
  <c r="AO104" i="6"/>
  <c r="AL104" i="6"/>
  <c r="AK104" i="6"/>
  <c r="AI104" i="6"/>
  <c r="AF104" i="6"/>
  <c r="AE104" i="6"/>
  <c r="AA104" i="6"/>
  <c r="X104" i="6"/>
  <c r="N104" i="6" s="1"/>
  <c r="BG103" i="6"/>
  <c r="AX103" i="6"/>
  <c r="AW103" i="6"/>
  <c r="AT103" i="6"/>
  <c r="AS103" i="6"/>
  <c r="AP103" i="6"/>
  <c r="AO103" i="6"/>
  <c r="AL103" i="6"/>
  <c r="AK103" i="6"/>
  <c r="AI103" i="6"/>
  <c r="AF103" i="6"/>
  <c r="AE103" i="6"/>
  <c r="AA103" i="6"/>
  <c r="X103" i="6"/>
  <c r="N103" i="6" s="1"/>
  <c r="BG102" i="6"/>
  <c r="AX102" i="6"/>
  <c r="AW102" i="6"/>
  <c r="AT102" i="6"/>
  <c r="AS102" i="6"/>
  <c r="AP102" i="6"/>
  <c r="AO102" i="6"/>
  <c r="AM102" i="6"/>
  <c r="AL102" i="6"/>
  <c r="AK102" i="6"/>
  <c r="AF102" i="6"/>
  <c r="AE102" i="6"/>
  <c r="AA102" i="6"/>
  <c r="X102" i="6"/>
  <c r="N102" i="6" s="1"/>
  <c r="AX101" i="6"/>
  <c r="AW101" i="6"/>
  <c r="AT101" i="6"/>
  <c r="AS101" i="6"/>
  <c r="AP101" i="6"/>
  <c r="AO101" i="6"/>
  <c r="AL101" i="6"/>
  <c r="AK101" i="6"/>
  <c r="AF101" i="6"/>
  <c r="AE101" i="6"/>
  <c r="AA101" i="6"/>
  <c r="X101" i="6"/>
  <c r="N101" i="6" s="1"/>
  <c r="AX100" i="6"/>
  <c r="AW100" i="6"/>
  <c r="AT100" i="6"/>
  <c r="AS100" i="6"/>
  <c r="AQ100" i="6"/>
  <c r="AP100" i="6"/>
  <c r="AO100" i="6"/>
  <c r="AL100" i="6"/>
  <c r="AK100" i="6"/>
  <c r="AI100" i="6"/>
  <c r="AF100" i="6"/>
  <c r="AE100" i="6"/>
  <c r="AA100" i="6"/>
  <c r="X100" i="6"/>
  <c r="N100" i="6" s="1"/>
  <c r="BG99" i="6"/>
  <c r="AX99" i="6"/>
  <c r="AW99" i="6"/>
  <c r="AT99" i="6"/>
  <c r="AS99" i="6"/>
  <c r="AQ99" i="6"/>
  <c r="AP99" i="6"/>
  <c r="AO99" i="6"/>
  <c r="AL99" i="6"/>
  <c r="AK99" i="6"/>
  <c r="AI99" i="6"/>
  <c r="AF99" i="6"/>
  <c r="AE99" i="6"/>
  <c r="AA99" i="6"/>
  <c r="X99" i="6"/>
  <c r="N99" i="6" s="1"/>
  <c r="BF98" i="6"/>
  <c r="AX98" i="6"/>
  <c r="AW98" i="6"/>
  <c r="AT98" i="6"/>
  <c r="AS98" i="6"/>
  <c r="AQ98" i="6"/>
  <c r="AP98" i="6"/>
  <c r="AO98" i="6"/>
  <c r="AL98" i="6"/>
  <c r="AK98" i="6"/>
  <c r="AI98" i="6"/>
  <c r="AF98" i="6"/>
  <c r="AE98" i="6"/>
  <c r="AA98" i="6"/>
  <c r="X98" i="6"/>
  <c r="N98" i="6" s="1"/>
  <c r="BG97" i="6"/>
  <c r="AX97" i="6"/>
  <c r="AW97" i="6"/>
  <c r="AT97" i="6"/>
  <c r="AS97" i="6"/>
  <c r="AQ97" i="6"/>
  <c r="AP97" i="6"/>
  <c r="AO97" i="6"/>
  <c r="AL97" i="6"/>
  <c r="AK97" i="6"/>
  <c r="AI97" i="6"/>
  <c r="AF97" i="6"/>
  <c r="AE97" i="6"/>
  <c r="AA97" i="6"/>
  <c r="X97" i="6"/>
  <c r="N97" i="6" s="1"/>
  <c r="AX96" i="6"/>
  <c r="AW96" i="6"/>
  <c r="AT96" i="6"/>
  <c r="AS96" i="6"/>
  <c r="AP96" i="6"/>
  <c r="AO96" i="6"/>
  <c r="AL96" i="6"/>
  <c r="AK96" i="6"/>
  <c r="AF96" i="6"/>
  <c r="AE96" i="6"/>
  <c r="AA96" i="6"/>
  <c r="X96" i="6"/>
  <c r="N96" i="6" s="1"/>
  <c r="BG95" i="6"/>
  <c r="AX95" i="6"/>
  <c r="AW95" i="6"/>
  <c r="AT95" i="6"/>
  <c r="AS95" i="6"/>
  <c r="AP95" i="6"/>
  <c r="AO95" i="6"/>
  <c r="AL95" i="6"/>
  <c r="AK95" i="6"/>
  <c r="AI95" i="6"/>
  <c r="AF95" i="6"/>
  <c r="AE95" i="6"/>
  <c r="AA95" i="6"/>
  <c r="X95" i="6"/>
  <c r="N95" i="6" s="1"/>
  <c r="BG94" i="6"/>
  <c r="AX94" i="6"/>
  <c r="AW94" i="6"/>
  <c r="AT94" i="6"/>
  <c r="AS94" i="6"/>
  <c r="AQ94" i="6"/>
  <c r="AP94" i="6"/>
  <c r="AO94" i="6"/>
  <c r="AL94" i="6"/>
  <c r="AK94" i="6"/>
  <c r="AI94" i="6"/>
  <c r="AF94" i="6"/>
  <c r="AE94" i="6"/>
  <c r="AA94" i="6"/>
  <c r="X94" i="6"/>
  <c r="N94" i="6" s="1"/>
  <c r="AX93" i="6"/>
  <c r="AW93" i="6"/>
  <c r="AT93" i="6"/>
  <c r="AS93" i="6"/>
  <c r="AP93" i="6"/>
  <c r="AO93" i="6"/>
  <c r="AL93" i="6"/>
  <c r="AK93" i="6"/>
  <c r="AI93" i="6"/>
  <c r="AF93" i="6"/>
  <c r="AE93" i="6"/>
  <c r="AA93" i="6"/>
  <c r="X93" i="6"/>
  <c r="N93" i="6" s="1"/>
  <c r="BG92" i="6"/>
  <c r="AX92" i="6"/>
  <c r="AW92" i="6"/>
  <c r="AT92" i="6"/>
  <c r="AS92" i="6"/>
  <c r="AP92" i="6"/>
  <c r="AO92" i="6"/>
  <c r="AL92" i="6"/>
  <c r="AK92" i="6"/>
  <c r="AF92" i="6"/>
  <c r="AE92" i="6"/>
  <c r="AA92" i="6"/>
  <c r="X92" i="6"/>
  <c r="N92" i="6" s="1"/>
  <c r="AX91" i="6"/>
  <c r="AW91" i="6"/>
  <c r="AT91" i="6"/>
  <c r="AS91" i="6"/>
  <c r="AP91" i="6"/>
  <c r="AO91" i="6"/>
  <c r="AL91" i="6"/>
  <c r="AK91" i="6"/>
  <c r="AI91" i="6"/>
  <c r="AF91" i="6"/>
  <c r="AE91" i="6"/>
  <c r="AA91" i="6"/>
  <c r="X91" i="6"/>
  <c r="N91" i="6" s="1"/>
  <c r="AX90" i="6"/>
  <c r="AW90" i="6"/>
  <c r="AT90" i="6"/>
  <c r="AS90" i="6"/>
  <c r="AQ90" i="6"/>
  <c r="AP90" i="6"/>
  <c r="AO90" i="6"/>
  <c r="AL90" i="6"/>
  <c r="AK90" i="6"/>
  <c r="AI90" i="6"/>
  <c r="AF90" i="6"/>
  <c r="AE90" i="6"/>
  <c r="AA90" i="6"/>
  <c r="X90" i="6"/>
  <c r="N90" i="6" s="1"/>
  <c r="AX89" i="6"/>
  <c r="AW89" i="6"/>
  <c r="AT89" i="6"/>
  <c r="AS89" i="6"/>
  <c r="AP89" i="6"/>
  <c r="AO89" i="6"/>
  <c r="AL89" i="6"/>
  <c r="AK89" i="6"/>
  <c r="AI89" i="6"/>
  <c r="AF89" i="6"/>
  <c r="AE89" i="6"/>
  <c r="AA89" i="6"/>
  <c r="X89" i="6"/>
  <c r="N89" i="6" s="1"/>
  <c r="AX88" i="6"/>
  <c r="AW88" i="6"/>
  <c r="AT88" i="6"/>
  <c r="AS88" i="6"/>
  <c r="AP88" i="6"/>
  <c r="AO88" i="6"/>
  <c r="AL88" i="6"/>
  <c r="AK88" i="6"/>
  <c r="AF88" i="6"/>
  <c r="AE88" i="6"/>
  <c r="AA88" i="6"/>
  <c r="X88" i="6"/>
  <c r="N88" i="6" s="1"/>
  <c r="AX87" i="6"/>
  <c r="AW87" i="6"/>
  <c r="AT87" i="6"/>
  <c r="AS87" i="6"/>
  <c r="AP87" i="6"/>
  <c r="AO87" i="6"/>
  <c r="AL87" i="6"/>
  <c r="AK87" i="6"/>
  <c r="AI87" i="6"/>
  <c r="AF87" i="6"/>
  <c r="AE87" i="6"/>
  <c r="AA87" i="6"/>
  <c r="X87" i="6"/>
  <c r="N87" i="6" s="1"/>
  <c r="AX86" i="6"/>
  <c r="AW86" i="6"/>
  <c r="AT86" i="6"/>
  <c r="AS86" i="6"/>
  <c r="AP86" i="6"/>
  <c r="AO86" i="6"/>
  <c r="AL86" i="6"/>
  <c r="AK86" i="6"/>
  <c r="AI86" i="6"/>
  <c r="AF86" i="6"/>
  <c r="AE86" i="6"/>
  <c r="AA86" i="6"/>
  <c r="X86" i="6"/>
  <c r="N86" i="6" s="1"/>
  <c r="AX85" i="6"/>
  <c r="AW85" i="6"/>
  <c r="AT85" i="6"/>
  <c r="AS85" i="6"/>
  <c r="AP85" i="6"/>
  <c r="AO85" i="6"/>
  <c r="AL85" i="6"/>
  <c r="AK85" i="6"/>
  <c r="AI85" i="6"/>
  <c r="AF85" i="6"/>
  <c r="AE85" i="6"/>
  <c r="AA85" i="6"/>
  <c r="X85" i="6"/>
  <c r="N85" i="6" s="1"/>
  <c r="AX84" i="6"/>
  <c r="AW84" i="6"/>
  <c r="AT84" i="6"/>
  <c r="AS84" i="6"/>
  <c r="AP84" i="6"/>
  <c r="AO84" i="6"/>
  <c r="AL84" i="6"/>
  <c r="AK84" i="6"/>
  <c r="AI84" i="6"/>
  <c r="AF84" i="6"/>
  <c r="AE84" i="6"/>
  <c r="AA84" i="6"/>
  <c r="X84" i="6"/>
  <c r="N84" i="6" s="1"/>
  <c r="AX83" i="6"/>
  <c r="AW83" i="6"/>
  <c r="AT83" i="6"/>
  <c r="AS83" i="6"/>
  <c r="AP83" i="6"/>
  <c r="AO83" i="6"/>
  <c r="AL83" i="6"/>
  <c r="AK83" i="6"/>
  <c r="AI83" i="6"/>
  <c r="AF83" i="6"/>
  <c r="AE83" i="6"/>
  <c r="AA83" i="6"/>
  <c r="X83" i="6"/>
  <c r="N83" i="6" s="1"/>
  <c r="AX82" i="6"/>
  <c r="AW82" i="6"/>
  <c r="AT82" i="6"/>
  <c r="AS82" i="6"/>
  <c r="AP82" i="6"/>
  <c r="AO82" i="6"/>
  <c r="AL82" i="6"/>
  <c r="AK82" i="6"/>
  <c r="AI82" i="6"/>
  <c r="AF82" i="6"/>
  <c r="AE82" i="6"/>
  <c r="AA82" i="6"/>
  <c r="X82" i="6"/>
  <c r="N82" i="6" s="1"/>
  <c r="AX81" i="6"/>
  <c r="AW81" i="6"/>
  <c r="AT81" i="6"/>
  <c r="AS81" i="6"/>
  <c r="AQ81" i="6"/>
  <c r="AP81" i="6"/>
  <c r="AO81" i="6"/>
  <c r="AL81" i="6"/>
  <c r="AK81" i="6"/>
  <c r="AF81" i="6"/>
  <c r="AE81" i="6"/>
  <c r="AA81" i="6"/>
  <c r="X81" i="6"/>
  <c r="N81" i="6" s="1"/>
  <c r="AX80" i="6"/>
  <c r="AW80" i="6"/>
  <c r="AT80" i="6"/>
  <c r="AS80" i="6"/>
  <c r="AQ80" i="6"/>
  <c r="AP80" i="6"/>
  <c r="AO80" i="6"/>
  <c r="AL80" i="6"/>
  <c r="AK80" i="6"/>
  <c r="AI80" i="6"/>
  <c r="AF80" i="6"/>
  <c r="AE80" i="6"/>
  <c r="AA80" i="6"/>
  <c r="X80" i="6"/>
  <c r="N80" i="6" s="1"/>
  <c r="AX79" i="6"/>
  <c r="AW79" i="6"/>
  <c r="AT79" i="6"/>
  <c r="AS79" i="6"/>
  <c r="AQ79" i="6"/>
  <c r="AP79" i="6"/>
  <c r="AO79" i="6"/>
  <c r="AL79" i="6"/>
  <c r="AK79" i="6"/>
  <c r="AI79" i="6"/>
  <c r="AF79" i="6"/>
  <c r="AE79" i="6"/>
  <c r="AA79" i="6"/>
  <c r="X79" i="6"/>
  <c r="N79" i="6" s="1"/>
  <c r="AX78" i="6"/>
  <c r="AW78" i="6"/>
  <c r="AT78" i="6"/>
  <c r="AS78" i="6"/>
  <c r="AQ78" i="6"/>
  <c r="AP78" i="6"/>
  <c r="AO78" i="6"/>
  <c r="AL78" i="6"/>
  <c r="AK78" i="6"/>
  <c r="AF78" i="6"/>
  <c r="AE78" i="6"/>
  <c r="AA78" i="6"/>
  <c r="X78" i="6"/>
  <c r="N78" i="6" s="1"/>
  <c r="AX77" i="6"/>
  <c r="AW77" i="6"/>
  <c r="AT77" i="6"/>
  <c r="AS77" i="6"/>
  <c r="AQ77" i="6"/>
  <c r="AP77" i="6"/>
  <c r="AO77" i="6"/>
  <c r="AL77" i="6"/>
  <c r="AK77" i="6"/>
  <c r="AI77" i="6"/>
  <c r="AF77" i="6"/>
  <c r="AE77" i="6"/>
  <c r="AA77" i="6"/>
  <c r="X77" i="6"/>
  <c r="N77" i="6" s="1"/>
  <c r="AX76" i="6"/>
  <c r="AW76" i="6"/>
  <c r="AT76" i="6"/>
  <c r="AS76" i="6"/>
  <c r="AQ76" i="6"/>
  <c r="AP76" i="6"/>
  <c r="AO76" i="6"/>
  <c r="AL76" i="6"/>
  <c r="AK76" i="6"/>
  <c r="AI76" i="6"/>
  <c r="AF76" i="6"/>
  <c r="AE76" i="6"/>
  <c r="AA76" i="6"/>
  <c r="X76" i="6"/>
  <c r="N76" i="6" s="1"/>
  <c r="BG75" i="6"/>
  <c r="BF75" i="6"/>
  <c r="AX75" i="6"/>
  <c r="AW75" i="6"/>
  <c r="AT75" i="6"/>
  <c r="AS75" i="6"/>
  <c r="AQ75" i="6"/>
  <c r="AP75" i="6"/>
  <c r="AO75" i="6"/>
  <c r="AL75" i="6"/>
  <c r="AK75" i="6"/>
  <c r="AI75" i="6"/>
  <c r="AF75" i="6"/>
  <c r="AE75" i="6"/>
  <c r="AA75" i="6"/>
  <c r="X75" i="6"/>
  <c r="N75" i="6" s="1"/>
  <c r="AX74" i="6"/>
  <c r="AW74" i="6"/>
  <c r="AT74" i="6"/>
  <c r="AS74" i="6"/>
  <c r="AQ74" i="6"/>
  <c r="AP74" i="6"/>
  <c r="AO74" i="6"/>
  <c r="AL74" i="6"/>
  <c r="AK74" i="6"/>
  <c r="AI74" i="6"/>
  <c r="AF74" i="6"/>
  <c r="AE74" i="6"/>
  <c r="AA74" i="6"/>
  <c r="X74" i="6"/>
  <c r="N74" i="6" s="1"/>
  <c r="AX73" i="6"/>
  <c r="AW73" i="6"/>
  <c r="AT73" i="6"/>
  <c r="AS73" i="6"/>
  <c r="AQ73" i="6"/>
  <c r="AP73" i="6"/>
  <c r="AO73" i="6"/>
  <c r="AL73" i="6"/>
  <c r="AK73" i="6"/>
  <c r="AI73" i="6"/>
  <c r="AF73" i="6"/>
  <c r="AE73" i="6"/>
  <c r="AA73" i="6"/>
  <c r="X73" i="6"/>
  <c r="N73" i="6" s="1"/>
  <c r="AX72" i="6"/>
  <c r="AW72" i="6"/>
  <c r="AT72" i="6"/>
  <c r="AS72" i="6"/>
  <c r="AQ72" i="6"/>
  <c r="AP72" i="6"/>
  <c r="AO72" i="6"/>
  <c r="AL72" i="6"/>
  <c r="AK72" i="6"/>
  <c r="AI72" i="6"/>
  <c r="AF72" i="6"/>
  <c r="AE72" i="6"/>
  <c r="AA72" i="6"/>
  <c r="X72" i="6"/>
  <c r="N72" i="6" s="1"/>
  <c r="AX71" i="6"/>
  <c r="AW71" i="6"/>
  <c r="AT71" i="6"/>
  <c r="AS71" i="6"/>
  <c r="AP71" i="6"/>
  <c r="AO71" i="6"/>
  <c r="AL71" i="6"/>
  <c r="AK71" i="6"/>
  <c r="AI71" i="6"/>
  <c r="AF71" i="6"/>
  <c r="AE71" i="6"/>
  <c r="AA71" i="6"/>
  <c r="X71" i="6"/>
  <c r="N71" i="6" s="1"/>
  <c r="AX70" i="6"/>
  <c r="AW70" i="6"/>
  <c r="AT70" i="6"/>
  <c r="AS70" i="6"/>
  <c r="AP70" i="6"/>
  <c r="AO70" i="6"/>
  <c r="AL70" i="6"/>
  <c r="AK70" i="6"/>
  <c r="AI70" i="6"/>
  <c r="AF70" i="6"/>
  <c r="AE70" i="6"/>
  <c r="AA70" i="6"/>
  <c r="X70" i="6"/>
  <c r="N70" i="6" s="1"/>
  <c r="AX69" i="6"/>
  <c r="AW69" i="6"/>
  <c r="AT69" i="6"/>
  <c r="AS69" i="6"/>
  <c r="AP69" i="6"/>
  <c r="AO69" i="6"/>
  <c r="AL69" i="6"/>
  <c r="AK69" i="6"/>
  <c r="AI69" i="6"/>
  <c r="AF69" i="6"/>
  <c r="AE69" i="6"/>
  <c r="AA69" i="6"/>
  <c r="X69" i="6"/>
  <c r="N69" i="6" s="1"/>
  <c r="AX68" i="6"/>
  <c r="AW68" i="6"/>
  <c r="AT68" i="6"/>
  <c r="AS68" i="6"/>
  <c r="AQ68" i="6"/>
  <c r="AP68" i="6"/>
  <c r="AO68" i="6"/>
  <c r="AL68" i="6"/>
  <c r="AK68" i="6"/>
  <c r="AI68" i="6"/>
  <c r="AF68" i="6"/>
  <c r="AE68" i="6"/>
  <c r="AA68" i="6"/>
  <c r="X68" i="6"/>
  <c r="N68" i="6" s="1"/>
  <c r="AX67" i="6"/>
  <c r="AW67" i="6"/>
  <c r="AT67" i="6"/>
  <c r="AS67" i="6"/>
  <c r="AQ67" i="6"/>
  <c r="AP67" i="6"/>
  <c r="AO67" i="6"/>
  <c r="AL67" i="6"/>
  <c r="AK67" i="6"/>
  <c r="AF67" i="6"/>
  <c r="AE67" i="6"/>
  <c r="AA67" i="6"/>
  <c r="X67" i="6"/>
  <c r="N67" i="6" s="1"/>
  <c r="AX66" i="6"/>
  <c r="AW66" i="6"/>
  <c r="AT66" i="6"/>
  <c r="AS66" i="6"/>
  <c r="AQ66" i="6"/>
  <c r="AP66" i="6"/>
  <c r="AO66" i="6"/>
  <c r="AL66" i="6"/>
  <c r="AK66" i="6"/>
  <c r="AI66" i="6"/>
  <c r="AF66" i="6"/>
  <c r="AE66" i="6"/>
  <c r="AA66" i="6"/>
  <c r="X66" i="6"/>
  <c r="N66" i="6" s="1"/>
  <c r="AX65" i="6"/>
  <c r="AW65" i="6"/>
  <c r="AT65" i="6"/>
  <c r="AS65" i="6"/>
  <c r="AP65" i="6"/>
  <c r="AO65" i="6"/>
  <c r="AL65" i="6"/>
  <c r="AK65" i="6"/>
  <c r="AI65" i="6"/>
  <c r="AF65" i="6"/>
  <c r="AE65" i="6"/>
  <c r="AA65" i="6"/>
  <c r="X65" i="6"/>
  <c r="N65" i="6" s="1"/>
  <c r="AX64" i="6"/>
  <c r="AW64" i="6"/>
  <c r="AT64" i="6"/>
  <c r="AS64" i="6"/>
  <c r="AQ64" i="6"/>
  <c r="AP64" i="6"/>
  <c r="AO64" i="6"/>
  <c r="AL64" i="6"/>
  <c r="AK64" i="6"/>
  <c r="AI64" i="6"/>
  <c r="AF64" i="6"/>
  <c r="AE64" i="6"/>
  <c r="AA64" i="6"/>
  <c r="X64" i="6"/>
  <c r="N64" i="6" s="1"/>
  <c r="AX63" i="6"/>
  <c r="AW63" i="6"/>
  <c r="AT63" i="6"/>
  <c r="AS63" i="6"/>
  <c r="AQ63" i="6"/>
  <c r="AP63" i="6"/>
  <c r="AO63" i="6"/>
  <c r="AL63" i="6"/>
  <c r="AK63" i="6"/>
  <c r="AF63" i="6"/>
  <c r="AE63" i="6"/>
  <c r="AA63" i="6"/>
  <c r="X63" i="6"/>
  <c r="N63" i="6" s="1"/>
  <c r="AX62" i="6"/>
  <c r="AW62" i="6"/>
  <c r="AT62" i="6"/>
  <c r="AS62" i="6"/>
  <c r="AQ62" i="6"/>
  <c r="AP62" i="6"/>
  <c r="AO62" i="6"/>
  <c r="AL62" i="6"/>
  <c r="AK62" i="6"/>
  <c r="AF62" i="6"/>
  <c r="AE62" i="6"/>
  <c r="AA62" i="6"/>
  <c r="X62" i="6"/>
  <c r="N62" i="6" s="1"/>
  <c r="AX61" i="6"/>
  <c r="AW61" i="6"/>
  <c r="AT61" i="6"/>
  <c r="AS61" i="6"/>
  <c r="AQ61" i="6"/>
  <c r="AP61" i="6"/>
  <c r="AO61" i="6"/>
  <c r="AL61" i="6"/>
  <c r="AK61" i="6"/>
  <c r="AI61" i="6"/>
  <c r="AF61" i="6"/>
  <c r="AE61" i="6"/>
  <c r="AA61" i="6"/>
  <c r="X61" i="6"/>
  <c r="N61" i="6" s="1"/>
  <c r="AX60" i="6"/>
  <c r="AW60" i="6"/>
  <c r="AT60" i="6"/>
  <c r="AS60" i="6"/>
  <c r="AP60" i="6"/>
  <c r="AO60" i="6"/>
  <c r="AL60" i="6"/>
  <c r="AK60" i="6"/>
  <c r="AI60" i="6"/>
  <c r="AF60" i="6"/>
  <c r="AE60" i="6"/>
  <c r="AA60" i="6"/>
  <c r="X60" i="6"/>
  <c r="N60" i="6" s="1"/>
  <c r="AX59" i="6"/>
  <c r="AW59" i="6"/>
  <c r="AT59" i="6"/>
  <c r="AS59" i="6"/>
  <c r="AQ59" i="6"/>
  <c r="AP59" i="6"/>
  <c r="AO59" i="6"/>
  <c r="AL59" i="6"/>
  <c r="AK59" i="6"/>
  <c r="AI59" i="6"/>
  <c r="AF59" i="6"/>
  <c r="AE59" i="6"/>
  <c r="AA59" i="6"/>
  <c r="X59" i="6"/>
  <c r="N59" i="6" s="1"/>
  <c r="AX58" i="6"/>
  <c r="AW58" i="6"/>
  <c r="AT58" i="6"/>
  <c r="AS58" i="6"/>
  <c r="AQ58" i="6"/>
  <c r="AP58" i="6"/>
  <c r="AO58" i="6"/>
  <c r="AL58" i="6"/>
  <c r="AK58" i="6"/>
  <c r="AI58" i="6"/>
  <c r="AF58" i="6"/>
  <c r="AE58" i="6"/>
  <c r="AA58" i="6"/>
  <c r="X58" i="6"/>
  <c r="N58" i="6" s="1"/>
  <c r="AX57" i="6"/>
  <c r="AW57" i="6"/>
  <c r="AT57" i="6"/>
  <c r="AS57" i="6"/>
  <c r="AQ57" i="6"/>
  <c r="AP57" i="6"/>
  <c r="AO57" i="6"/>
  <c r="AL57" i="6"/>
  <c r="AK57" i="6"/>
  <c r="AI57" i="6"/>
  <c r="AF57" i="6"/>
  <c r="AE57" i="6"/>
  <c r="AA57" i="6"/>
  <c r="X57" i="6"/>
  <c r="N57" i="6" s="1"/>
  <c r="BG56" i="6"/>
  <c r="AX56" i="6"/>
  <c r="AW56" i="6"/>
  <c r="AT56" i="6"/>
  <c r="AS56" i="6"/>
  <c r="AQ56" i="6"/>
  <c r="AP56" i="6"/>
  <c r="AO56" i="6"/>
  <c r="AL56" i="6"/>
  <c r="AK56" i="6"/>
  <c r="AF56" i="6"/>
  <c r="AE56" i="6"/>
  <c r="AA56" i="6"/>
  <c r="X56" i="6"/>
  <c r="N56" i="6" s="1"/>
  <c r="BG55" i="6"/>
  <c r="AX55" i="6"/>
  <c r="AW55" i="6"/>
  <c r="AT55" i="6"/>
  <c r="AS55" i="6"/>
  <c r="AQ55" i="6"/>
  <c r="AP55" i="6"/>
  <c r="AI55" i="6"/>
  <c r="AL55" i="6"/>
  <c r="AK55" i="6"/>
  <c r="AF55" i="6"/>
  <c r="AE55" i="6"/>
  <c r="AA55" i="6"/>
  <c r="X55" i="6"/>
  <c r="N55" i="6" s="1"/>
  <c r="BF54" i="6"/>
  <c r="AX54" i="6"/>
  <c r="AW54" i="6"/>
  <c r="AT54" i="6"/>
  <c r="AS54" i="6"/>
  <c r="AQ54" i="6"/>
  <c r="AP54" i="6"/>
  <c r="AI54" i="6"/>
  <c r="AL54" i="6"/>
  <c r="AK54" i="6"/>
  <c r="AF54" i="6"/>
  <c r="AE54" i="6"/>
  <c r="AA54" i="6"/>
  <c r="X54" i="6"/>
  <c r="N54" i="6" s="1"/>
  <c r="AX53" i="6"/>
  <c r="AW53" i="6"/>
  <c r="AT53" i="6"/>
  <c r="AS53" i="6"/>
  <c r="AQ53" i="6"/>
  <c r="AP53" i="6"/>
  <c r="AO53" i="6"/>
  <c r="AL53" i="6"/>
  <c r="AK53" i="6"/>
  <c r="AI53" i="6"/>
  <c r="AF53" i="6"/>
  <c r="AE53" i="6"/>
  <c r="AA53" i="6"/>
  <c r="X53" i="6"/>
  <c r="N53" i="6" s="1"/>
  <c r="AX52" i="6"/>
  <c r="AW52" i="6"/>
  <c r="AT52" i="6"/>
  <c r="AS52" i="6"/>
  <c r="AQ52" i="6"/>
  <c r="AP52" i="6"/>
  <c r="AO52" i="6"/>
  <c r="AL52" i="6"/>
  <c r="AK52" i="6"/>
  <c r="AI52" i="6"/>
  <c r="AF52" i="6"/>
  <c r="AE52" i="6"/>
  <c r="AA52" i="6"/>
  <c r="X52" i="6"/>
  <c r="N52" i="6" s="1"/>
  <c r="AX51" i="6"/>
  <c r="AW51" i="6"/>
  <c r="AT51" i="6"/>
  <c r="AS51" i="6"/>
  <c r="AQ51" i="6"/>
  <c r="AP51" i="6"/>
  <c r="AM51" i="6"/>
  <c r="AL51" i="6"/>
  <c r="AK51" i="6"/>
  <c r="AF51" i="6"/>
  <c r="AE51" i="6"/>
  <c r="AA51" i="6"/>
  <c r="X51" i="6"/>
  <c r="N51" i="6" s="1"/>
  <c r="AX50" i="6"/>
  <c r="AW50" i="6"/>
  <c r="AT50" i="6"/>
  <c r="AS50" i="6"/>
  <c r="AP50" i="6"/>
  <c r="AO50" i="6"/>
  <c r="AM50" i="6"/>
  <c r="AI50" i="6" s="1"/>
  <c r="AL50" i="6"/>
  <c r="AK50" i="6"/>
  <c r="AF50" i="6"/>
  <c r="AE50" i="6"/>
  <c r="AA50" i="6"/>
  <c r="X50" i="6"/>
  <c r="N50" i="6" s="1"/>
  <c r="BG49" i="6"/>
  <c r="AX49" i="6"/>
  <c r="AW49" i="6"/>
  <c r="AT49" i="6"/>
  <c r="AS49" i="6"/>
  <c r="AQ49" i="6"/>
  <c r="AP49" i="6"/>
  <c r="AO49" i="6"/>
  <c r="AM49" i="6"/>
  <c r="AI49" i="6" s="1"/>
  <c r="AL49" i="6"/>
  <c r="AK49" i="6"/>
  <c r="AF49" i="6"/>
  <c r="AE49" i="6"/>
  <c r="AA49" i="6"/>
  <c r="X49" i="6"/>
  <c r="N49" i="6" s="1"/>
  <c r="BG48" i="6"/>
  <c r="AX48" i="6"/>
  <c r="AW48" i="6"/>
  <c r="AT48" i="6"/>
  <c r="AS48" i="6"/>
  <c r="AQ48" i="6"/>
  <c r="AP48" i="6"/>
  <c r="AO48" i="6"/>
  <c r="AM48" i="6"/>
  <c r="AI48" i="6" s="1"/>
  <c r="AL48" i="6"/>
  <c r="AK48" i="6"/>
  <c r="AF48" i="6"/>
  <c r="AE48" i="6"/>
  <c r="AA48" i="6"/>
  <c r="X48" i="6"/>
  <c r="N48" i="6" s="1"/>
  <c r="BG47" i="6"/>
  <c r="AX47" i="6"/>
  <c r="AW47" i="6"/>
  <c r="AT47" i="6"/>
  <c r="AS47" i="6"/>
  <c r="AQ47" i="6"/>
  <c r="AP47" i="6"/>
  <c r="AO47" i="6"/>
  <c r="AL47" i="6"/>
  <c r="AK47" i="6"/>
  <c r="AI47" i="6"/>
  <c r="AF47" i="6"/>
  <c r="AE47" i="6"/>
  <c r="AA47" i="6"/>
  <c r="X47" i="6"/>
  <c r="N47" i="6" s="1"/>
  <c r="BG46" i="6"/>
  <c r="AX46" i="6"/>
  <c r="AW46" i="6"/>
  <c r="AT46" i="6"/>
  <c r="AS46" i="6"/>
  <c r="AQ46" i="6"/>
  <c r="AP46" i="6"/>
  <c r="AO46" i="6"/>
  <c r="AM46" i="6"/>
  <c r="AI46" i="6" s="1"/>
  <c r="AL46" i="6"/>
  <c r="AK46" i="6"/>
  <c r="AF46" i="6"/>
  <c r="AE46" i="6"/>
  <c r="AA46" i="6"/>
  <c r="X46" i="6"/>
  <c r="N46" i="6" s="1"/>
  <c r="BG45" i="6"/>
  <c r="BF45" i="6"/>
  <c r="AX45" i="6"/>
  <c r="AW45" i="6"/>
  <c r="AT45" i="6"/>
  <c r="AS45" i="6"/>
  <c r="AQ45" i="6"/>
  <c r="AP45" i="6"/>
  <c r="AO45" i="6"/>
  <c r="AM45" i="6"/>
  <c r="AI45" i="6" s="1"/>
  <c r="AL45" i="6"/>
  <c r="AK45" i="6"/>
  <c r="AF45" i="6"/>
  <c r="AE45" i="6" s="1"/>
  <c r="AA45" i="6"/>
  <c r="X45" i="6"/>
  <c r="N45" i="6" s="1"/>
  <c r="BG44" i="6"/>
  <c r="BF44" i="6"/>
  <c r="AX44" i="6"/>
  <c r="AW44" i="6"/>
  <c r="AT44" i="6"/>
  <c r="AS44" i="6"/>
  <c r="AQ44" i="6"/>
  <c r="AP44" i="6"/>
  <c r="AO44" i="6"/>
  <c r="AL44" i="6"/>
  <c r="AK44" i="6"/>
  <c r="AF44" i="6"/>
  <c r="AE44" i="6"/>
  <c r="AA44" i="6"/>
  <c r="X44" i="6"/>
  <c r="N44" i="6" s="1"/>
  <c r="BG43" i="6"/>
  <c r="AX43" i="6"/>
  <c r="AW43" i="6"/>
  <c r="AT43" i="6"/>
  <c r="AS43" i="6"/>
  <c r="AQ43" i="6"/>
  <c r="AP43" i="6"/>
  <c r="AO43" i="6"/>
  <c r="AM43" i="6"/>
  <c r="AI43" i="6" s="1"/>
  <c r="AL43" i="6"/>
  <c r="AK43" i="6"/>
  <c r="AF43" i="6"/>
  <c r="AE43" i="6"/>
  <c r="AA43" i="6"/>
  <c r="X43" i="6"/>
  <c r="N43" i="6" s="1"/>
  <c r="BG42" i="6"/>
  <c r="AX42" i="6"/>
  <c r="AW42" i="6"/>
  <c r="AT42" i="6"/>
  <c r="AS42" i="6"/>
  <c r="AQ42" i="6"/>
  <c r="AP42" i="6"/>
  <c r="AO42" i="6"/>
  <c r="AM42" i="6"/>
  <c r="AL42" i="6"/>
  <c r="AK42" i="6"/>
  <c r="AF42" i="6"/>
  <c r="AE42" i="6"/>
  <c r="AA42" i="6"/>
  <c r="X42" i="6"/>
  <c r="N42" i="6" s="1"/>
  <c r="BG41" i="6"/>
  <c r="AX41" i="6"/>
  <c r="AW41" i="6"/>
  <c r="AT41" i="6"/>
  <c r="AS41" i="6"/>
  <c r="AQ41" i="6"/>
  <c r="AP41" i="6"/>
  <c r="AO41" i="6"/>
  <c r="AL41" i="6"/>
  <c r="AK41" i="6"/>
  <c r="AI41" i="6"/>
  <c r="AF41" i="6"/>
  <c r="AE41" i="6"/>
  <c r="X41" i="6"/>
  <c r="N41" i="6" s="1"/>
  <c r="BG40" i="6"/>
  <c r="AX40" i="6"/>
  <c r="AW40" i="6"/>
  <c r="AT40" i="6"/>
  <c r="AS40" i="6"/>
  <c r="AQ40" i="6"/>
  <c r="AP40" i="6"/>
  <c r="AO40" i="6"/>
  <c r="AL40" i="6"/>
  <c r="AK40" i="6"/>
  <c r="AF40" i="6"/>
  <c r="AE40" i="6"/>
  <c r="AA40" i="6"/>
  <c r="X40" i="6"/>
  <c r="N40" i="6" s="1"/>
  <c r="BG39" i="6"/>
  <c r="AX39" i="6"/>
  <c r="AW39" i="6"/>
  <c r="AT39" i="6"/>
  <c r="AS39" i="6"/>
  <c r="AQ39" i="6"/>
  <c r="AP39" i="6"/>
  <c r="AO39" i="6"/>
  <c r="AL39" i="6"/>
  <c r="AK39" i="6"/>
  <c r="AF39" i="6"/>
  <c r="AE39" i="6"/>
  <c r="AA39" i="6"/>
  <c r="X39" i="6"/>
  <c r="N39" i="6" s="1"/>
  <c r="AX38" i="6"/>
  <c r="AW38" i="6"/>
  <c r="AT38" i="6"/>
  <c r="AS38" i="6"/>
  <c r="AQ38" i="6"/>
  <c r="AP38" i="6"/>
  <c r="AO38" i="6"/>
  <c r="AI38" i="6"/>
  <c r="AL38" i="6"/>
  <c r="AK38" i="6"/>
  <c r="AF38" i="6"/>
  <c r="AE38" i="6"/>
  <c r="AA38" i="6"/>
  <c r="X38" i="6"/>
  <c r="N38" i="6" s="1"/>
  <c r="AX37" i="6"/>
  <c r="AW37" i="6"/>
  <c r="AT37" i="6"/>
  <c r="AS37" i="6"/>
  <c r="AQ37" i="6"/>
  <c r="AP37" i="6"/>
  <c r="AO37" i="6"/>
  <c r="AM37" i="6"/>
  <c r="AL37" i="6"/>
  <c r="AK37" i="6"/>
  <c r="AF37" i="6"/>
  <c r="AE37" i="6"/>
  <c r="AA37" i="6"/>
  <c r="X37" i="6"/>
  <c r="N37" i="6" s="1"/>
  <c r="BG36" i="6"/>
  <c r="AX36" i="6"/>
  <c r="AW36" i="6"/>
  <c r="AT36" i="6"/>
  <c r="AS36" i="6"/>
  <c r="AQ36" i="6"/>
  <c r="AP36" i="6"/>
  <c r="AO36" i="6"/>
  <c r="AL36" i="6"/>
  <c r="AK36" i="6"/>
  <c r="AI36" i="6"/>
  <c r="AF36" i="6"/>
  <c r="AE36" i="6"/>
  <c r="AA36" i="6"/>
  <c r="X36" i="6"/>
  <c r="N36" i="6" s="1"/>
  <c r="AX35" i="6"/>
  <c r="AW35" i="6"/>
  <c r="AT35" i="6"/>
  <c r="AS35" i="6"/>
  <c r="AQ35" i="6"/>
  <c r="AP35" i="6"/>
  <c r="AO35" i="6"/>
  <c r="AM35" i="6"/>
  <c r="AL35" i="6"/>
  <c r="AK35" i="6"/>
  <c r="AF35" i="6"/>
  <c r="AE35" i="6"/>
  <c r="AA35" i="6"/>
  <c r="X35" i="6"/>
  <c r="N35" i="6" s="1"/>
  <c r="BG34" i="6"/>
  <c r="AX34" i="6"/>
  <c r="AW34" i="6"/>
  <c r="AT34" i="6"/>
  <c r="AS34" i="6"/>
  <c r="AQ34" i="6"/>
  <c r="AP34" i="6"/>
  <c r="AO34" i="6"/>
  <c r="AL34" i="6"/>
  <c r="AK34" i="6"/>
  <c r="AF34" i="6"/>
  <c r="AE34" i="6"/>
  <c r="AA34" i="6"/>
  <c r="X34" i="6"/>
  <c r="N34" i="6" s="1"/>
  <c r="BG33" i="6"/>
  <c r="AX33" i="6"/>
  <c r="AW33" i="6"/>
  <c r="AT33" i="6"/>
  <c r="AS33" i="6"/>
  <c r="AQ33" i="6"/>
  <c r="AP33" i="6"/>
  <c r="AO33" i="6"/>
  <c r="AL33" i="6"/>
  <c r="AK33" i="6"/>
  <c r="AI33" i="6"/>
  <c r="AF33" i="6"/>
  <c r="AE33" i="6"/>
  <c r="AA33" i="6"/>
  <c r="X33" i="6"/>
  <c r="N33" i="6" s="1"/>
  <c r="BG32" i="6"/>
  <c r="AX32" i="6"/>
  <c r="AW32" i="6"/>
  <c r="AT32" i="6"/>
  <c r="AS32" i="6"/>
  <c r="AQ32" i="6"/>
  <c r="AP32" i="6"/>
  <c r="AO32" i="6"/>
  <c r="AM32" i="6"/>
  <c r="AL32" i="6"/>
  <c r="AK32" i="6"/>
  <c r="AF32" i="6"/>
  <c r="AE32" i="6"/>
  <c r="AA32" i="6"/>
  <c r="X32" i="6"/>
  <c r="N32" i="6" s="1"/>
  <c r="AX31" i="6"/>
  <c r="AW31" i="6"/>
  <c r="AT31" i="6"/>
  <c r="AS31" i="6"/>
  <c r="AQ31" i="6"/>
  <c r="AP31" i="6"/>
  <c r="AO31" i="6"/>
  <c r="AL31" i="6"/>
  <c r="AK31" i="6"/>
  <c r="AI31" i="6"/>
  <c r="AF31" i="6"/>
  <c r="AE31" i="6"/>
  <c r="AA31" i="6"/>
  <c r="X31" i="6"/>
  <c r="N31" i="6" s="1"/>
  <c r="AX30" i="6"/>
  <c r="AW30" i="6"/>
  <c r="AT30" i="6"/>
  <c r="AS30" i="6"/>
  <c r="AQ30" i="6"/>
  <c r="AP30" i="6"/>
  <c r="AO30" i="6"/>
  <c r="AL30" i="6"/>
  <c r="AK30" i="6"/>
  <c r="AI30" i="6"/>
  <c r="AF30" i="6"/>
  <c r="AE30" i="6"/>
  <c r="AA30" i="6"/>
  <c r="X30" i="6"/>
  <c r="N30" i="6" s="1"/>
  <c r="AX29" i="6"/>
  <c r="AW29" i="6"/>
  <c r="AT29" i="6"/>
  <c r="AS29" i="6"/>
  <c r="AQ29" i="6"/>
  <c r="AP29" i="6"/>
  <c r="AO29" i="6"/>
  <c r="AM29" i="6"/>
  <c r="AI29" i="6" s="1"/>
  <c r="AL29" i="6"/>
  <c r="AK29" i="6"/>
  <c r="AF29" i="6"/>
  <c r="AE29" i="6"/>
  <c r="AA29" i="6"/>
  <c r="X29" i="6"/>
  <c r="N29" i="6" s="1"/>
  <c r="AX28" i="6"/>
  <c r="AW28" i="6"/>
  <c r="AT28" i="6"/>
  <c r="AS28" i="6"/>
  <c r="AP28" i="6"/>
  <c r="AO28" i="6"/>
  <c r="AL28" i="6"/>
  <c r="AK28" i="6"/>
  <c r="AF28" i="6"/>
  <c r="AE28" i="6"/>
  <c r="AA28" i="6"/>
  <c r="X28" i="6"/>
  <c r="N28" i="6" s="1"/>
  <c r="BG27" i="6"/>
  <c r="BF27" i="6"/>
  <c r="AX27" i="6"/>
  <c r="AW27" i="6"/>
  <c r="AT27" i="6"/>
  <c r="AS27" i="6"/>
  <c r="AQ27" i="6"/>
  <c r="AP27" i="6"/>
  <c r="AO27" i="6"/>
  <c r="AI27" i="6"/>
  <c r="AL27" i="6"/>
  <c r="AK27" i="6"/>
  <c r="AF27" i="6"/>
  <c r="AE27" i="6"/>
  <c r="AA27" i="6"/>
  <c r="X27" i="6"/>
  <c r="N27" i="6" s="1"/>
  <c r="BG26" i="6"/>
  <c r="AX26" i="6"/>
  <c r="AW26" i="6"/>
  <c r="AT26" i="6"/>
  <c r="AS26" i="6"/>
  <c r="AQ26" i="6"/>
  <c r="AP26" i="6"/>
  <c r="AO26" i="6"/>
  <c r="AL26" i="6"/>
  <c r="AK26" i="6"/>
  <c r="AF26" i="6"/>
  <c r="AE26" i="6"/>
  <c r="AA26" i="6"/>
  <c r="X26" i="6"/>
  <c r="N26" i="6" s="1"/>
  <c r="AX25" i="6"/>
  <c r="AW25" i="6"/>
  <c r="AT25" i="6"/>
  <c r="AS25" i="6"/>
  <c r="AQ25" i="6"/>
  <c r="AP25" i="6"/>
  <c r="AO25" i="6"/>
  <c r="AL25" i="6"/>
  <c r="AK25" i="6"/>
  <c r="AI25" i="6"/>
  <c r="AF25" i="6"/>
  <c r="AE25" i="6"/>
  <c r="AA25" i="6"/>
  <c r="X25" i="6"/>
  <c r="N25" i="6" s="1"/>
  <c r="AX24" i="6"/>
  <c r="AW24" i="6"/>
  <c r="AT24" i="6"/>
  <c r="AS24" i="6"/>
  <c r="AQ24" i="6"/>
  <c r="AP24" i="6"/>
  <c r="AO24" i="6"/>
  <c r="AL24" i="6"/>
  <c r="AK24" i="6"/>
  <c r="AI24" i="6"/>
  <c r="AF24" i="6"/>
  <c r="AE24" i="6"/>
  <c r="AA24" i="6"/>
  <c r="X24" i="6"/>
  <c r="N24" i="6" s="1"/>
  <c r="AX23" i="6"/>
  <c r="AW23" i="6"/>
  <c r="AT23" i="6"/>
  <c r="AS23" i="6"/>
  <c r="AQ23" i="6"/>
  <c r="AP23" i="6"/>
  <c r="AO23" i="6"/>
  <c r="AL23" i="6"/>
  <c r="AK23" i="6"/>
  <c r="AF23" i="6"/>
  <c r="AE23" i="6"/>
  <c r="AA23" i="6"/>
  <c r="X23" i="6"/>
  <c r="N23" i="6" s="1"/>
  <c r="AX22" i="6"/>
  <c r="AW22" i="6"/>
  <c r="AT22" i="6"/>
  <c r="AS22" i="6"/>
  <c r="AQ22" i="6"/>
  <c r="AP22" i="6"/>
  <c r="AO22" i="6"/>
  <c r="AM22" i="6"/>
  <c r="AL22" i="6"/>
  <c r="AK22" i="6"/>
  <c r="AF22" i="6"/>
  <c r="AE22" i="6"/>
  <c r="AA22" i="6"/>
  <c r="X22" i="6"/>
  <c r="N22" i="6" s="1"/>
  <c r="BG21" i="6"/>
  <c r="AX21" i="6"/>
  <c r="AW21" i="6"/>
  <c r="AT21" i="6"/>
  <c r="AS21" i="6"/>
  <c r="AQ21" i="6"/>
  <c r="AP21" i="6"/>
  <c r="AO21" i="6"/>
  <c r="AM21" i="6"/>
  <c r="AI21" i="6" s="1"/>
  <c r="AL21" i="6"/>
  <c r="AK21" i="6"/>
  <c r="AF21" i="6"/>
  <c r="AE21" i="6"/>
  <c r="AA21" i="6"/>
  <c r="X21" i="6"/>
  <c r="N21" i="6" s="1"/>
  <c r="BG20" i="6"/>
  <c r="AX20" i="6"/>
  <c r="AW20" i="6"/>
  <c r="AT20" i="6"/>
  <c r="AS20" i="6"/>
  <c r="AQ20" i="6"/>
  <c r="AP20" i="6"/>
  <c r="AO20" i="6"/>
  <c r="AM20" i="6"/>
  <c r="AL20" i="6"/>
  <c r="AK20" i="6"/>
  <c r="AF20" i="6"/>
  <c r="AE20" i="6"/>
  <c r="AA20" i="6"/>
  <c r="X20" i="6"/>
  <c r="N20" i="6" s="1"/>
  <c r="AX19" i="6"/>
  <c r="AW19" i="6"/>
  <c r="AT19" i="6"/>
  <c r="AS19" i="6"/>
  <c r="AQ19" i="6"/>
  <c r="AP19" i="6"/>
  <c r="AO19" i="6"/>
  <c r="AI19" i="6"/>
  <c r="AL19" i="6"/>
  <c r="AK19" i="6"/>
  <c r="AF19" i="6"/>
  <c r="AE19" i="6"/>
  <c r="AA19" i="6"/>
  <c r="X19" i="6"/>
  <c r="N19" i="6" s="1"/>
  <c r="AX18" i="6"/>
  <c r="AW18" i="6"/>
  <c r="AT18" i="6"/>
  <c r="AS18" i="6"/>
  <c r="AQ18" i="6"/>
  <c r="AP18" i="6"/>
  <c r="AO18" i="6"/>
  <c r="AM18" i="6"/>
  <c r="AI18" i="6" s="1"/>
  <c r="AL18" i="6"/>
  <c r="AK18" i="6"/>
  <c r="AF18" i="6"/>
  <c r="AE18" i="6"/>
  <c r="AA18" i="6"/>
  <c r="X18" i="6"/>
  <c r="N18" i="6" s="1"/>
  <c r="AX17" i="6"/>
  <c r="AW17" i="6"/>
  <c r="AT17" i="6"/>
  <c r="AS17" i="6"/>
  <c r="AQ17" i="6"/>
  <c r="AP17" i="6"/>
  <c r="AO17" i="6"/>
  <c r="AM17" i="6"/>
  <c r="AL17" i="6"/>
  <c r="AK17" i="6"/>
  <c r="AF17" i="6"/>
  <c r="AE17" i="6"/>
  <c r="AA17" i="6"/>
  <c r="Z394" i="6"/>
  <c r="X17" i="6"/>
  <c r="BF16" i="6"/>
  <c r="AX16" i="6"/>
  <c r="AW16" i="6"/>
  <c r="AT16" i="6"/>
  <c r="AS16" i="6"/>
  <c r="AQ16" i="6"/>
  <c r="AP16" i="6"/>
  <c r="AO16" i="6"/>
  <c r="AL16" i="6"/>
  <c r="AK16" i="6"/>
  <c r="AF16" i="6"/>
  <c r="AE16" i="6"/>
  <c r="AA16" i="6"/>
  <c r="X16" i="6"/>
  <c r="N16" i="6" s="1"/>
  <c r="AX15" i="6"/>
  <c r="AW15" i="6"/>
  <c r="AT15" i="6"/>
  <c r="AS15" i="6"/>
  <c r="AQ15" i="6"/>
  <c r="AP15" i="6"/>
  <c r="AO15" i="6"/>
  <c r="AL15" i="6"/>
  <c r="AK15" i="6"/>
  <c r="AF15" i="6"/>
  <c r="AE15" i="6"/>
  <c r="AA15" i="6"/>
  <c r="X15" i="6"/>
  <c r="N15" i="6" s="1"/>
  <c r="AX14" i="6"/>
  <c r="AW14" i="6"/>
  <c r="AT14" i="6"/>
  <c r="AS14" i="6"/>
  <c r="AQ14" i="6"/>
  <c r="AP14" i="6"/>
  <c r="AO14" i="6"/>
  <c r="AL14" i="6"/>
  <c r="AK14" i="6"/>
  <c r="AF14" i="6"/>
  <c r="AE14" i="6"/>
  <c r="AA14" i="6"/>
  <c r="X14" i="6"/>
  <c r="N14" i="6" s="1"/>
  <c r="AX13" i="6"/>
  <c r="AW13" i="6"/>
  <c r="AT13" i="6"/>
  <c r="AS13" i="6"/>
  <c r="AQ13" i="6"/>
  <c r="AP13" i="6"/>
  <c r="AO13" i="6"/>
  <c r="AL13" i="6"/>
  <c r="AK13" i="6"/>
  <c r="AF13" i="6"/>
  <c r="AE13" i="6"/>
  <c r="AA13" i="6"/>
  <c r="X13" i="6"/>
  <c r="N13" i="6" s="1"/>
  <c r="BG12" i="6"/>
  <c r="BF12" i="6"/>
  <c r="AX12" i="6"/>
  <c r="AW12" i="6"/>
  <c r="AT12" i="6"/>
  <c r="AS12" i="6"/>
  <c r="AP12" i="6"/>
  <c r="AO12" i="6"/>
  <c r="AL12" i="6"/>
  <c r="AJ12" i="6" s="1"/>
  <c r="AF12" i="6"/>
  <c r="AE12" i="6"/>
  <c r="AA12" i="6"/>
  <c r="X12" i="6"/>
  <c r="N12" i="6" s="1"/>
  <c r="BF11" i="6"/>
  <c r="AX11" i="6"/>
  <c r="AW11" i="6"/>
  <c r="AT11" i="6"/>
  <c r="AS11" i="6"/>
  <c r="AQ11" i="6"/>
  <c r="AP11" i="6"/>
  <c r="AO11" i="6"/>
  <c r="AL11" i="6"/>
  <c r="AK11" i="6"/>
  <c r="AF11" i="6"/>
  <c r="AE11" i="6"/>
  <c r="AA11" i="6"/>
  <c r="X11" i="6"/>
  <c r="N11" i="6" s="1"/>
  <c r="AX10" i="6"/>
  <c r="AW10" i="6"/>
  <c r="AT10" i="6"/>
  <c r="AS10" i="6"/>
  <c r="AQ10" i="6"/>
  <c r="AP10" i="6"/>
  <c r="AO10" i="6"/>
  <c r="AL10" i="6"/>
  <c r="AK10" i="6"/>
  <c r="AE10" i="6"/>
  <c r="AA10" i="6"/>
  <c r="X10" i="6"/>
  <c r="N10" i="6" s="1"/>
  <c r="AX9" i="6"/>
  <c r="AW9" i="6"/>
  <c r="AT9" i="6"/>
  <c r="AS9" i="6"/>
  <c r="AQ9" i="6"/>
  <c r="AP9" i="6"/>
  <c r="AO9" i="6"/>
  <c r="AL9" i="6"/>
  <c r="AK9" i="6"/>
  <c r="AI9" i="6"/>
  <c r="AF9" i="6"/>
  <c r="AE9" i="6"/>
  <c r="AA9" i="6"/>
  <c r="X9" i="6"/>
  <c r="N9" i="6" s="1"/>
  <c r="AX8" i="6"/>
  <c r="AW8" i="6"/>
  <c r="AT8" i="6"/>
  <c r="AS8" i="6"/>
  <c r="AQ8" i="6"/>
  <c r="AP8" i="6"/>
  <c r="AO8" i="6"/>
  <c r="AL8" i="6"/>
  <c r="AK8" i="6"/>
  <c r="AF8" i="6"/>
  <c r="AE8" i="6"/>
  <c r="AA8" i="6"/>
  <c r="X8" i="6"/>
  <c r="N8" i="6" s="1"/>
  <c r="AX7" i="6"/>
  <c r="AW7" i="6"/>
  <c r="AT7" i="6"/>
  <c r="AQ7" i="6"/>
  <c r="AP7" i="6"/>
  <c r="AO7" i="6"/>
  <c r="AL7" i="6"/>
  <c r="AK7" i="6"/>
  <c r="AI7" i="6"/>
  <c r="AF7" i="6"/>
  <c r="AE7" i="6"/>
  <c r="AA7" i="6"/>
  <c r="X7" i="6"/>
  <c r="N7" i="6" s="1"/>
  <c r="AX6" i="6"/>
  <c r="AW6" i="6"/>
  <c r="AT6" i="6"/>
  <c r="AS6" i="6"/>
  <c r="AP6" i="6"/>
  <c r="AO6" i="6"/>
  <c r="AL6" i="6"/>
  <c r="AK6" i="6"/>
  <c r="AI398" i="6"/>
  <c r="AF6" i="6"/>
  <c r="AE6" i="6"/>
  <c r="BF398" i="6" l="1"/>
  <c r="AD6" i="6"/>
  <c r="AQ397" i="6"/>
  <c r="AJ34" i="6"/>
  <c r="A1192" i="4"/>
  <c r="A1193" i="4"/>
  <c r="A1188" i="4"/>
  <c r="A1191" i="4"/>
  <c r="A1187" i="4"/>
  <c r="A197" i="6"/>
  <c r="A1190" i="4"/>
  <c r="A1186" i="4"/>
  <c r="A1189" i="4"/>
  <c r="BG394" i="6"/>
  <c r="AI17" i="6"/>
  <c r="AM391" i="6"/>
  <c r="AJ10" i="6"/>
  <c r="AC114" i="6"/>
  <c r="AJ54" i="6"/>
  <c r="AJ62" i="6"/>
  <c r="BF403" i="6"/>
  <c r="BG397" i="6"/>
  <c r="BG403" i="6"/>
  <c r="BG398" i="6"/>
  <c r="AN34" i="6"/>
  <c r="AC18" i="6"/>
  <c r="AH246" i="6"/>
  <c r="AG246" i="6"/>
  <c r="Y246" i="6" s="1"/>
  <c r="AH247" i="6"/>
  <c r="AG247" i="6"/>
  <c r="Y247" i="6" s="1"/>
  <c r="AM393" i="6"/>
  <c r="AQ403" i="6"/>
  <c r="AQ394" i="6"/>
  <c r="AF397" i="6"/>
  <c r="AK397" i="6"/>
  <c r="AO397" i="6"/>
  <c r="AR235" i="6"/>
  <c r="AC237" i="6"/>
  <c r="AB237" i="6" s="1"/>
  <c r="BF401" i="6"/>
  <c r="BF393" i="6"/>
  <c r="BG401" i="6"/>
  <c r="BG393" i="6"/>
  <c r="BG405" i="6"/>
  <c r="BG399" i="6"/>
  <c r="BF404" i="6"/>
  <c r="BF396" i="6"/>
  <c r="BF391" i="6"/>
  <c r="BG404" i="6"/>
  <c r="BG396" i="6"/>
  <c r="BG391" i="6"/>
  <c r="BG402" i="6"/>
  <c r="BG395" i="6"/>
  <c r="BF395" i="6" s="1"/>
  <c r="BF402" i="6"/>
  <c r="BF394" i="6"/>
  <c r="AI405" i="6"/>
  <c r="AI399" i="6"/>
  <c r="AD235" i="6"/>
  <c r="AV236" i="6"/>
  <c r="AN237" i="6"/>
  <c r="AV233" i="6"/>
  <c r="AN235" i="6"/>
  <c r="AN236" i="6"/>
  <c r="AR236" i="6"/>
  <c r="AJ237" i="6"/>
  <c r="AR241" i="6"/>
  <c r="AN196" i="6"/>
  <c r="AN204" i="6"/>
  <c r="AR141" i="6"/>
  <c r="AR142" i="6"/>
  <c r="AC38" i="6"/>
  <c r="AC41" i="6"/>
  <c r="AC233" i="6"/>
  <c r="AB233" i="6" s="1"/>
  <c r="AC242" i="6"/>
  <c r="AB242" i="6" s="1"/>
  <c r="AC243" i="6"/>
  <c r="AB243" i="6" s="1"/>
  <c r="AN117" i="6"/>
  <c r="AC245" i="6"/>
  <c r="AB245" i="6" s="1"/>
  <c r="AR117" i="6"/>
  <c r="AJ118" i="6"/>
  <c r="AN142" i="6"/>
  <c r="AN143" i="6"/>
  <c r="AR209" i="6"/>
  <c r="AJ228" i="6"/>
  <c r="AC229" i="6"/>
  <c r="AB229" i="6" s="1"/>
  <c r="AR231" i="6"/>
  <c r="AD232" i="6"/>
  <c r="AJ234" i="6"/>
  <c r="AR234" i="6"/>
  <c r="AV234" i="6"/>
  <c r="AV240" i="6"/>
  <c r="AR245" i="6"/>
  <c r="X397" i="6"/>
  <c r="X403" i="6"/>
  <c r="X394" i="6"/>
  <c r="Z403" i="6"/>
  <c r="N168" i="6"/>
  <c r="AV94" i="6"/>
  <c r="AR110" i="6"/>
  <c r="AV114" i="6"/>
  <c r="AV115" i="6"/>
  <c r="AR116" i="6"/>
  <c r="AV116" i="6"/>
  <c r="AC122" i="6"/>
  <c r="AB122" i="6" s="1"/>
  <c r="AD124" i="6"/>
  <c r="AV126" i="6"/>
  <c r="AD130" i="6"/>
  <c r="AR136" i="6"/>
  <c r="AN139" i="6"/>
  <c r="AV140" i="6"/>
  <c r="AN141" i="6"/>
  <c r="AV146" i="6"/>
  <c r="AR147" i="6"/>
  <c r="AV147" i="6"/>
  <c r="AD148" i="6"/>
  <c r="AN151" i="6"/>
  <c r="AV156" i="6"/>
  <c r="AV159" i="6"/>
  <c r="AD161" i="6"/>
  <c r="AV162" i="6"/>
  <c r="AC163" i="6"/>
  <c r="AB163" i="6" s="1"/>
  <c r="AN165" i="6"/>
  <c r="AV165" i="6"/>
  <c r="AC167" i="6"/>
  <c r="AV167" i="6"/>
  <c r="AT397" i="6"/>
  <c r="AD170" i="6"/>
  <c r="AV171" i="6"/>
  <c r="AN172" i="6"/>
  <c r="AV173" i="6"/>
  <c r="AD176" i="6"/>
  <c r="AV177" i="6"/>
  <c r="AN178" i="6"/>
  <c r="AV179" i="6"/>
  <c r="AJ180" i="6"/>
  <c r="AC182" i="6"/>
  <c r="AB182" i="6" s="1"/>
  <c r="AV182" i="6"/>
  <c r="AD185" i="6"/>
  <c r="AC188" i="6"/>
  <c r="AB188" i="6" s="1"/>
  <c r="AD193" i="6"/>
  <c r="AD197" i="6"/>
  <c r="AN198" i="6"/>
  <c r="AV198" i="6"/>
  <c r="AR199" i="6"/>
  <c r="AV199" i="6"/>
  <c r="AD200" i="6"/>
  <c r="AV203" i="6"/>
  <c r="AD205" i="6"/>
  <c r="AD206" i="6"/>
  <c r="AV207" i="6"/>
  <c r="AN208" i="6"/>
  <c r="AV208" i="6"/>
  <c r="AN209" i="6"/>
  <c r="AR210" i="6"/>
  <c r="AV210" i="6"/>
  <c r="AD211" i="6"/>
  <c r="AV212" i="6"/>
  <c r="AN213" i="6"/>
  <c r="AR221" i="6"/>
  <c r="AD224" i="6"/>
  <c r="AR225" i="6"/>
  <c r="AV227" i="6"/>
  <c r="AC244" i="6"/>
  <c r="AB244" i="6" s="1"/>
  <c r="AJ160" i="6"/>
  <c r="AJ166" i="6"/>
  <c r="AJ244" i="6"/>
  <c r="AJ94" i="6"/>
  <c r="AV129" i="6"/>
  <c r="AN148" i="6"/>
  <c r="AR155" i="6"/>
  <c r="AN200" i="6"/>
  <c r="AR211" i="6"/>
  <c r="AC213" i="6"/>
  <c r="AB213" i="6" s="1"/>
  <c r="AV17" i="6"/>
  <c r="AV22" i="6"/>
  <c r="AJ25" i="6"/>
  <c r="AV26" i="6"/>
  <c r="AR27" i="6"/>
  <c r="AR28" i="6"/>
  <c r="AN29" i="6"/>
  <c r="AN32" i="6"/>
  <c r="AJ33" i="6"/>
  <c r="AV36" i="6"/>
  <c r="AR38" i="6"/>
  <c r="AR39" i="6"/>
  <c r="AN41" i="6"/>
  <c r="AN46" i="6"/>
  <c r="AJ47" i="6"/>
  <c r="AV48" i="6"/>
  <c r="AR49" i="6"/>
  <c r="AV52" i="6"/>
  <c r="AV56" i="6"/>
  <c r="AN57" i="6"/>
  <c r="AV73" i="6"/>
  <c r="AJ74" i="6"/>
  <c r="AN74" i="6"/>
  <c r="AR74" i="6"/>
  <c r="AJ75" i="6"/>
  <c r="AN75" i="6"/>
  <c r="AR75" i="6"/>
  <c r="AV76" i="6"/>
  <c r="AN78" i="6"/>
  <c r="AJ85" i="6"/>
  <c r="AN89" i="6"/>
  <c r="AJ90" i="6"/>
  <c r="AN92" i="6"/>
  <c r="AN93" i="6"/>
  <c r="AV93" i="6"/>
  <c r="AN98" i="6"/>
  <c r="AJ99" i="6"/>
  <c r="AJ111" i="6"/>
  <c r="AV120" i="6"/>
  <c r="AC123" i="6"/>
  <c r="AB123" i="6" s="1"/>
  <c r="AR125" i="6"/>
  <c r="AC127" i="6"/>
  <c r="AB127" i="6" s="1"/>
  <c r="AD129" i="6"/>
  <c r="AN129" i="6"/>
  <c r="AR129" i="6"/>
  <c r="AC131" i="6"/>
  <c r="AB131" i="6" s="1"/>
  <c r="AN132" i="6"/>
  <c r="AV132" i="6"/>
  <c r="AR133" i="6"/>
  <c r="AV133" i="6"/>
  <c r="AD134" i="6"/>
  <c r="AC134" i="6" s="1"/>
  <c r="AB134" i="6" s="1"/>
  <c r="AJ137" i="6"/>
  <c r="AJ145" i="6"/>
  <c r="AN150" i="6"/>
  <c r="AV150" i="6"/>
  <c r="AC152" i="6"/>
  <c r="AB152" i="6" s="1"/>
  <c r="AC153" i="6"/>
  <c r="AB153" i="6" s="1"/>
  <c r="AN154" i="6"/>
  <c r="AV154" i="6"/>
  <c r="AN155" i="6"/>
  <c r="AN156" i="6"/>
  <c r="AR156" i="6"/>
  <c r="AC160" i="6"/>
  <c r="AB160" i="6" s="1"/>
  <c r="AV160" i="6"/>
  <c r="AR161" i="6"/>
  <c r="AD165" i="6"/>
  <c r="AR165" i="6"/>
  <c r="AC166" i="6"/>
  <c r="AB166" i="6" s="1"/>
  <c r="AV175" i="6"/>
  <c r="AR176" i="6"/>
  <c r="AD178" i="6"/>
  <c r="AV184" i="6"/>
  <c r="AN185" i="6"/>
  <c r="AC189" i="6"/>
  <c r="AB189" i="6" s="1"/>
  <c r="AR190" i="6"/>
  <c r="AC191" i="6"/>
  <c r="AB191" i="6" s="1"/>
  <c r="AC192" i="6"/>
  <c r="AB192" i="6" s="1"/>
  <c r="AN193" i="6"/>
  <c r="AV194" i="6"/>
  <c r="AR195" i="6"/>
  <c r="AV195" i="6"/>
  <c r="AD196" i="6"/>
  <c r="AD201" i="6"/>
  <c r="AC202" i="6"/>
  <c r="AB202" i="6" s="1"/>
  <c r="AV202" i="6"/>
  <c r="AN203" i="6"/>
  <c r="AR203" i="6"/>
  <c r="AD204" i="6"/>
  <c r="AN211" i="6"/>
  <c r="AN212" i="6"/>
  <c r="AR212" i="6"/>
  <c r="AC214" i="6"/>
  <c r="AB214" i="6" s="1"/>
  <c r="AV215" i="6"/>
  <c r="AR216" i="6"/>
  <c r="AC217" i="6"/>
  <c r="AB217" i="6" s="1"/>
  <c r="AR218" i="6"/>
  <c r="AC219" i="6"/>
  <c r="AB219" i="6" s="1"/>
  <c r="AC220" i="6"/>
  <c r="AB220" i="6" s="1"/>
  <c r="AR222" i="6"/>
  <c r="AR224" i="6"/>
  <c r="AR226" i="6"/>
  <c r="AC228" i="6"/>
  <c r="AB228" i="6" s="1"/>
  <c r="AC240" i="6"/>
  <c r="AB240" i="6" s="1"/>
  <c r="AV242" i="6"/>
  <c r="AN243" i="6"/>
  <c r="AD245" i="6"/>
  <c r="AC148" i="6"/>
  <c r="AB148" i="6" s="1"/>
  <c r="AJ123" i="6"/>
  <c r="AJ141" i="6"/>
  <c r="AJ142" i="6"/>
  <c r="AJ143" i="6"/>
  <c r="AJ147" i="6"/>
  <c r="AJ148" i="6"/>
  <c r="AJ155" i="6"/>
  <c r="AJ188" i="6"/>
  <c r="AJ195" i="6"/>
  <c r="AJ196" i="6"/>
  <c r="AJ200" i="6"/>
  <c r="AJ204" i="6"/>
  <c r="AJ209" i="6"/>
  <c r="AJ213" i="6"/>
  <c r="AJ36" i="6"/>
  <c r="AN38" i="6"/>
  <c r="AN39" i="6"/>
  <c r="AV44" i="6"/>
  <c r="AR46" i="6"/>
  <c r="AV47" i="6"/>
  <c r="AN49" i="6"/>
  <c r="AJ52" i="6"/>
  <c r="AV82" i="6"/>
  <c r="AR83" i="6"/>
  <c r="AV86" i="6"/>
  <c r="AR87" i="6"/>
  <c r="AR91" i="6"/>
  <c r="AV96" i="6"/>
  <c r="AR98" i="6"/>
  <c r="AV99" i="6"/>
  <c r="AV101" i="6"/>
  <c r="AR102" i="6"/>
  <c r="AV102" i="6"/>
  <c r="AD103" i="6"/>
  <c r="AC103" i="6" s="1"/>
  <c r="AJ104" i="6"/>
  <c r="AR106" i="6"/>
  <c r="AR107" i="6"/>
  <c r="AN109" i="6"/>
  <c r="AV109" i="6"/>
  <c r="AR112" i="6"/>
  <c r="AV112" i="6"/>
  <c r="AD113" i="6"/>
  <c r="AC113" i="6" s="1"/>
  <c r="AB113" i="6" s="1"/>
  <c r="AN113" i="6"/>
  <c r="AN114" i="6"/>
  <c r="AR114" i="6"/>
  <c r="AN119" i="6"/>
  <c r="AV119" i="6"/>
  <c r="AR120" i="6"/>
  <c r="AD121" i="6"/>
  <c r="AC121" i="6" s="1"/>
  <c r="AB121" i="6" s="1"/>
  <c r="AN121" i="6"/>
  <c r="AJ122" i="6"/>
  <c r="AR122" i="6"/>
  <c r="AV122" i="6"/>
  <c r="AN124" i="6"/>
  <c r="AV124" i="6"/>
  <c r="AJ125" i="6"/>
  <c r="AN125" i="6"/>
  <c r="AN126" i="6"/>
  <c r="AR126" i="6"/>
  <c r="AR127" i="6"/>
  <c r="AC128" i="6"/>
  <c r="AN128" i="6"/>
  <c r="AV130" i="6"/>
  <c r="AR131" i="6"/>
  <c r="AN135" i="6"/>
  <c r="AV135" i="6"/>
  <c r="AR138" i="6"/>
  <c r="AV138" i="6"/>
  <c r="AJ144" i="6"/>
  <c r="AO403" i="6"/>
  <c r="AS403" i="6"/>
  <c r="AW403" i="6"/>
  <c r="AN146" i="6"/>
  <c r="AR146" i="6"/>
  <c r="AD147" i="6"/>
  <c r="AC147" i="6" s="1"/>
  <c r="AB147" i="6" s="1"/>
  <c r="AR149" i="6"/>
  <c r="AV152" i="6"/>
  <c r="AJ153" i="6"/>
  <c r="AR153" i="6"/>
  <c r="AV153" i="6"/>
  <c r="AC154" i="6"/>
  <c r="AJ157" i="6"/>
  <c r="AR157" i="6"/>
  <c r="AV157" i="6"/>
  <c r="AD158" i="6"/>
  <c r="AN159" i="6"/>
  <c r="AR159" i="6"/>
  <c r="AN161" i="6"/>
  <c r="AN162" i="6"/>
  <c r="AR162" i="6"/>
  <c r="AN163" i="6"/>
  <c r="AV163" i="6"/>
  <c r="AR164" i="6"/>
  <c r="AV164" i="6"/>
  <c r="AJ165" i="6"/>
  <c r="AD169" i="6"/>
  <c r="AN169" i="6"/>
  <c r="AR170" i="6"/>
  <c r="AD171" i="6"/>
  <c r="AD172" i="6"/>
  <c r="AR172" i="6"/>
  <c r="AC173" i="6"/>
  <c r="AB173" i="6" s="1"/>
  <c r="AC174" i="6"/>
  <c r="AB174" i="6" s="1"/>
  <c r="AV174" i="6"/>
  <c r="AN175" i="6"/>
  <c r="AR175" i="6"/>
  <c r="AN176" i="6"/>
  <c r="AN177" i="6"/>
  <c r="AR177" i="6"/>
  <c r="AJ178" i="6"/>
  <c r="AC179" i="6"/>
  <c r="AB179" i="6" s="1"/>
  <c r="AC180" i="6"/>
  <c r="AB180" i="6" s="1"/>
  <c r="AN180" i="6"/>
  <c r="AV180" i="6"/>
  <c r="AN181" i="6"/>
  <c r="AN183" i="6"/>
  <c r="AV183" i="6"/>
  <c r="AN184" i="6"/>
  <c r="AR184" i="6"/>
  <c r="AJ185" i="6"/>
  <c r="AC186" i="6"/>
  <c r="AB186" i="6" s="1"/>
  <c r="AV186" i="6"/>
  <c r="AR187" i="6"/>
  <c r="AV187" i="6"/>
  <c r="AR189" i="6"/>
  <c r="AC190" i="6"/>
  <c r="AB190" i="6" s="1"/>
  <c r="AV191" i="6"/>
  <c r="AJ192" i="6"/>
  <c r="AR192" i="6"/>
  <c r="AV192" i="6"/>
  <c r="AJ193" i="6"/>
  <c r="AD194" i="6"/>
  <c r="AC195" i="6"/>
  <c r="AB195" i="6" s="1"/>
  <c r="AD198" i="6"/>
  <c r="AV201" i="6"/>
  <c r="AV205" i="6"/>
  <c r="AR206" i="6"/>
  <c r="AD207" i="6"/>
  <c r="AC208" i="6"/>
  <c r="AB208" i="6" s="1"/>
  <c r="AR214" i="6"/>
  <c r="AD215" i="6"/>
  <c r="AD216" i="6"/>
  <c r="AR217" i="6"/>
  <c r="AC218" i="6"/>
  <c r="AB218" i="6" s="1"/>
  <c r="AV219" i="6"/>
  <c r="AN220" i="6"/>
  <c r="AV220" i="6"/>
  <c r="AJ221" i="6"/>
  <c r="AN221" i="6"/>
  <c r="AJ222" i="6"/>
  <c r="AN222" i="6"/>
  <c r="AR223" i="6"/>
  <c r="AV223" i="6"/>
  <c r="AN224" i="6"/>
  <c r="AJ225" i="6"/>
  <c r="AN225" i="6"/>
  <c r="AJ226" i="6"/>
  <c r="AN226" i="6"/>
  <c r="AN227" i="6"/>
  <c r="AR227" i="6"/>
  <c r="AN229" i="6"/>
  <c r="AV229" i="6"/>
  <c r="AJ230" i="6"/>
  <c r="AN230" i="6"/>
  <c r="AR230" i="6"/>
  <c r="AC231" i="6"/>
  <c r="AB231" i="6" s="1"/>
  <c r="AV232" i="6"/>
  <c r="AJ233" i="6"/>
  <c r="AC234" i="6"/>
  <c r="AB234" i="6" s="1"/>
  <c r="AV238" i="6"/>
  <c r="AR239" i="6"/>
  <c r="AD241" i="6"/>
  <c r="AD238" i="6"/>
  <c r="AD239" i="6"/>
  <c r="AR243" i="6"/>
  <c r="AJ245" i="6"/>
  <c r="AN245" i="6"/>
  <c r="AX394" i="6"/>
  <c r="AV19" i="6"/>
  <c r="AN21" i="6"/>
  <c r="AV23" i="6"/>
  <c r="AJ24" i="6"/>
  <c r="AN24" i="6"/>
  <c r="AR24" i="6"/>
  <c r="AV25" i="6"/>
  <c r="AN27" i="6"/>
  <c r="AN28" i="6"/>
  <c r="AJ30" i="6"/>
  <c r="AN30" i="6"/>
  <c r="AR30" i="6"/>
  <c r="AR32" i="6"/>
  <c r="AV33" i="6"/>
  <c r="AR34" i="6"/>
  <c r="AV35" i="6"/>
  <c r="AR37" i="6"/>
  <c r="AV37" i="6"/>
  <c r="AJ39" i="6"/>
  <c r="AR40" i="6"/>
  <c r="AR41" i="6"/>
  <c r="AV42" i="6"/>
  <c r="AR43" i="6"/>
  <c r="AV43" i="6"/>
  <c r="AD44" i="6"/>
  <c r="AC44" i="6" s="1"/>
  <c r="AN44" i="6"/>
  <c r="AD45" i="6"/>
  <c r="AC45" i="6" s="1"/>
  <c r="AB45" i="6" s="1"/>
  <c r="AR45" i="6"/>
  <c r="AV45" i="6"/>
  <c r="AD48" i="6"/>
  <c r="AC48" i="6" s="1"/>
  <c r="AB48" i="6" s="1"/>
  <c r="AR48" i="6"/>
  <c r="AR50" i="6"/>
  <c r="AV51" i="6"/>
  <c r="AD53" i="6"/>
  <c r="AC53" i="6" s="1"/>
  <c r="AB53" i="6" s="1"/>
  <c r="AV53" i="6"/>
  <c r="AR54" i="6"/>
  <c r="AN55" i="6"/>
  <c r="AV57" i="6"/>
  <c r="AN59" i="6"/>
  <c r="AN60" i="6"/>
  <c r="AN61" i="6"/>
  <c r="AN62" i="6"/>
  <c r="AN63" i="6"/>
  <c r="AN64" i="6"/>
  <c r="AN65" i="6"/>
  <c r="AN66" i="6"/>
  <c r="AN67" i="6"/>
  <c r="AN68" i="6"/>
  <c r="AN69" i="6"/>
  <c r="AN70" i="6"/>
  <c r="AN71" i="6"/>
  <c r="AN72" i="6"/>
  <c r="AN73" i="6"/>
  <c r="AJ76" i="6"/>
  <c r="AV78" i="6"/>
  <c r="AN80" i="6"/>
  <c r="AN81" i="6"/>
  <c r="AN82" i="6"/>
  <c r="AR82" i="6"/>
  <c r="AD83" i="6"/>
  <c r="AC83" i="6" s="1"/>
  <c r="AB83" i="6" s="1"/>
  <c r="AN84" i="6"/>
  <c r="AV84" i="6"/>
  <c r="AN86" i="6"/>
  <c r="AR86" i="6"/>
  <c r="AD87" i="6"/>
  <c r="AC87" i="6" s="1"/>
  <c r="AB87" i="6" s="1"/>
  <c r="AN88" i="6"/>
  <c r="AV88" i="6"/>
  <c r="AJ89" i="6"/>
  <c r="AV90" i="6"/>
  <c r="AJ91" i="6"/>
  <c r="AN91" i="6"/>
  <c r="AJ92" i="6"/>
  <c r="AV95" i="6"/>
  <c r="AN96" i="6"/>
  <c r="AR96" i="6"/>
  <c r="AD97" i="6"/>
  <c r="AC97" i="6" s="1"/>
  <c r="AV97" i="6"/>
  <c r="AJ98" i="6"/>
  <c r="AR100" i="6"/>
  <c r="AV100" i="6"/>
  <c r="AR103" i="6"/>
  <c r="AV104" i="6"/>
  <c r="AR105" i="6"/>
  <c r="AV105" i="6"/>
  <c r="AD106" i="6"/>
  <c r="AC106" i="6" s="1"/>
  <c r="AB106" i="6" s="1"/>
  <c r="AN107" i="6"/>
  <c r="AR108" i="6"/>
  <c r="AR111" i="6"/>
  <c r="AV111" i="6"/>
  <c r="AD112" i="6"/>
  <c r="AC112" i="6" s="1"/>
  <c r="AN112" i="6"/>
  <c r="AR113" i="6"/>
  <c r="AV113" i="6"/>
  <c r="AN115" i="6"/>
  <c r="AR115" i="6"/>
  <c r="AD116" i="6"/>
  <c r="AC116" i="6" s="1"/>
  <c r="AN116" i="6"/>
  <c r="AR118" i="6"/>
  <c r="AV118" i="6"/>
  <c r="AR121" i="6"/>
  <c r="AV121" i="6"/>
  <c r="AR123" i="6"/>
  <c r="AV123" i="6"/>
  <c r="AJ124" i="6"/>
  <c r="AC125" i="6"/>
  <c r="AB125" i="6" s="1"/>
  <c r="AV127" i="6"/>
  <c r="AR128" i="6"/>
  <c r="AV128" i="6"/>
  <c r="AN130" i="6"/>
  <c r="AR130" i="6"/>
  <c r="AN133" i="6"/>
  <c r="AV134" i="6"/>
  <c r="AJ135" i="6"/>
  <c r="AR137" i="6"/>
  <c r="AV137" i="6"/>
  <c r="AV139" i="6"/>
  <c r="AR140" i="6"/>
  <c r="AD141" i="6"/>
  <c r="AC141" i="6" s="1"/>
  <c r="AB141" i="6" s="1"/>
  <c r="AV143" i="6"/>
  <c r="AL403" i="6"/>
  <c r="AT403" i="6"/>
  <c r="AX403" i="6"/>
  <c r="AR145" i="6"/>
  <c r="AV145" i="6"/>
  <c r="AV148" i="6"/>
  <c r="AV151" i="6"/>
  <c r="AN152" i="6"/>
  <c r="AR152" i="6"/>
  <c r="AJ154" i="6"/>
  <c r="AD154" i="6"/>
  <c r="AC155" i="6"/>
  <c r="AC156" i="6"/>
  <c r="AB156" i="6" s="1"/>
  <c r="AR158" i="6"/>
  <c r="AV158" i="6"/>
  <c r="AJ163" i="6"/>
  <c r="AD164" i="6"/>
  <c r="AR166" i="6"/>
  <c r="AV166" i="6"/>
  <c r="AR167" i="6"/>
  <c r="AE397" i="6"/>
  <c r="AL397" i="6"/>
  <c r="AP397" i="6"/>
  <c r="AR168" i="6"/>
  <c r="AW397" i="6"/>
  <c r="AR169" i="6"/>
  <c r="AV169" i="6"/>
  <c r="AN170" i="6"/>
  <c r="AN171" i="6"/>
  <c r="AR171" i="6"/>
  <c r="AJ172" i="6"/>
  <c r="AN173" i="6"/>
  <c r="AR173" i="6"/>
  <c r="AR174" i="6"/>
  <c r="AD177" i="6"/>
  <c r="AV178" i="6"/>
  <c r="AN179" i="6"/>
  <c r="AR179" i="6"/>
  <c r="AD181" i="6"/>
  <c r="AR181" i="6"/>
  <c r="AV181" i="6"/>
  <c r="AR182" i="6"/>
  <c r="AD183" i="6"/>
  <c r="AD184" i="6"/>
  <c r="AV185" i="6"/>
  <c r="AJ186" i="6"/>
  <c r="AN186" i="6"/>
  <c r="AR186" i="6"/>
  <c r="AC187" i="6"/>
  <c r="AB187" i="6" s="1"/>
  <c r="AN187" i="6"/>
  <c r="AR188" i="6"/>
  <c r="AV188" i="6"/>
  <c r="AJ190" i="6"/>
  <c r="AN190" i="6"/>
  <c r="AN191" i="6"/>
  <c r="AR191" i="6"/>
  <c r="AV193" i="6"/>
  <c r="AN194" i="6"/>
  <c r="AR194" i="6"/>
  <c r="AV196" i="6"/>
  <c r="AR197" i="6"/>
  <c r="AV197" i="6"/>
  <c r="AJ198" i="6"/>
  <c r="AD199" i="6"/>
  <c r="AV200" i="6"/>
  <c r="AN201" i="6"/>
  <c r="AR201" i="6"/>
  <c r="AR202" i="6"/>
  <c r="AC203" i="6"/>
  <c r="AB203" i="6" s="1"/>
  <c r="AV204" i="6"/>
  <c r="AN205" i="6"/>
  <c r="AR205" i="6"/>
  <c r="AN206" i="6"/>
  <c r="AN207" i="6"/>
  <c r="AR207" i="6"/>
  <c r="AJ208" i="6"/>
  <c r="AC209" i="6"/>
  <c r="AB209" i="6" s="1"/>
  <c r="AD210" i="6"/>
  <c r="AD212" i="6"/>
  <c r="AV213" i="6"/>
  <c r="AJ214" i="6"/>
  <c r="AN214" i="6"/>
  <c r="AN215" i="6"/>
  <c r="AR215" i="6"/>
  <c r="AN216" i="6"/>
  <c r="AJ217" i="6"/>
  <c r="AN217" i="6"/>
  <c r="AJ218" i="6"/>
  <c r="AN218" i="6"/>
  <c r="AN219" i="6"/>
  <c r="AR219" i="6"/>
  <c r="AJ220" i="6"/>
  <c r="AC221" i="6"/>
  <c r="AB221" i="6" s="1"/>
  <c r="AC222" i="6"/>
  <c r="AB222" i="6" s="1"/>
  <c r="AD223" i="6"/>
  <c r="AC225" i="6"/>
  <c r="AB225" i="6" s="1"/>
  <c r="AC226" i="6"/>
  <c r="AB226" i="6" s="1"/>
  <c r="AD227" i="6"/>
  <c r="AR228" i="6"/>
  <c r="AV228" i="6"/>
  <c r="AJ229" i="6"/>
  <c r="AC230" i="6"/>
  <c r="AB230" i="6" s="1"/>
  <c r="AV230" i="6"/>
  <c r="AJ231" i="6"/>
  <c r="AN231" i="6"/>
  <c r="AN232" i="6"/>
  <c r="AR232" i="6"/>
  <c r="AD236" i="6"/>
  <c r="AV237" i="6"/>
  <c r="AN238" i="6"/>
  <c r="AR238" i="6"/>
  <c r="AN239" i="6"/>
  <c r="AN240" i="6"/>
  <c r="AR240" i="6"/>
  <c r="AN241" i="6"/>
  <c r="AN242" i="6"/>
  <c r="AR242" i="6"/>
  <c r="AJ243" i="6"/>
  <c r="AR244" i="6"/>
  <c r="AV244" i="6"/>
  <c r="AD126" i="6"/>
  <c r="AD159" i="6"/>
  <c r="AD175" i="6"/>
  <c r="AN6" i="6"/>
  <c r="AP396" i="6"/>
  <c r="AW396" i="6"/>
  <c r="AN8" i="6"/>
  <c r="AV8" i="6"/>
  <c r="AN9" i="6"/>
  <c r="AV9" i="6"/>
  <c r="AN10" i="6"/>
  <c r="AV10" i="6"/>
  <c r="AN11" i="6"/>
  <c r="AV11" i="6"/>
  <c r="AD12" i="6"/>
  <c r="AC12" i="6" s="1"/>
  <c r="AN13" i="6"/>
  <c r="AJ14" i="6"/>
  <c r="AR14" i="6"/>
  <c r="AK394" i="6"/>
  <c r="AN17" i="6"/>
  <c r="AS394" i="6"/>
  <c r="AR19" i="6"/>
  <c r="AV20" i="6"/>
  <c r="AR21" i="6"/>
  <c r="AV21" i="6"/>
  <c r="AD22" i="6"/>
  <c r="AC22" i="6" s="1"/>
  <c r="AB22" i="6" s="1"/>
  <c r="AD23" i="6"/>
  <c r="AC23" i="6" s="1"/>
  <c r="AD24" i="6"/>
  <c r="AC24" i="6" s="1"/>
  <c r="AB24" i="6" s="1"/>
  <c r="AV24" i="6"/>
  <c r="AD26" i="6"/>
  <c r="AC26" i="6" s="1"/>
  <c r="AB26" i="6" s="1"/>
  <c r="AN26" i="6"/>
  <c r="AJ28" i="6"/>
  <c r="AR29" i="6"/>
  <c r="AV29" i="6"/>
  <c r="AD30" i="6"/>
  <c r="AC30" i="6" s="1"/>
  <c r="AV30" i="6"/>
  <c r="AN31" i="6"/>
  <c r="AR35" i="6"/>
  <c r="AN37" i="6"/>
  <c r="AV40" i="6"/>
  <c r="AJ41" i="6"/>
  <c r="AR42" i="6"/>
  <c r="AN43" i="6"/>
  <c r="AN45" i="6"/>
  <c r="AV50" i="6"/>
  <c r="AJ53" i="6"/>
  <c r="AN53" i="6"/>
  <c r="AV54" i="6"/>
  <c r="AR55" i="6"/>
  <c r="AV55" i="6"/>
  <c r="AD57" i="6"/>
  <c r="AC57" i="6" s="1"/>
  <c r="AB57" i="6" s="1"/>
  <c r="AJ57" i="6"/>
  <c r="AR57" i="6"/>
  <c r="AV58" i="6"/>
  <c r="AR59" i="6"/>
  <c r="AV59" i="6"/>
  <c r="AR60" i="6"/>
  <c r="AV60" i="6"/>
  <c r="AR61" i="6"/>
  <c r="AV61" i="6"/>
  <c r="AR62" i="6"/>
  <c r="AV62" i="6"/>
  <c r="AR63" i="6"/>
  <c r="AV63" i="6"/>
  <c r="AR64" i="6"/>
  <c r="AV64" i="6"/>
  <c r="AR65" i="6"/>
  <c r="AV65" i="6"/>
  <c r="AR66" i="6"/>
  <c r="AV66" i="6"/>
  <c r="AR67" i="6"/>
  <c r="AV67" i="6"/>
  <c r="AR68" i="6"/>
  <c r="AV68" i="6"/>
  <c r="AR69" i="6"/>
  <c r="AV69" i="6"/>
  <c r="AR70" i="6"/>
  <c r="AV70" i="6"/>
  <c r="AR71" i="6"/>
  <c r="AV71" i="6"/>
  <c r="AR72" i="6"/>
  <c r="AV72" i="6"/>
  <c r="AD73" i="6"/>
  <c r="AC73" i="6" s="1"/>
  <c r="AB73" i="6" s="1"/>
  <c r="AJ73" i="6"/>
  <c r="AR73" i="6"/>
  <c r="AD74" i="6"/>
  <c r="AC74" i="6" s="1"/>
  <c r="AB74" i="6" s="1"/>
  <c r="AV74" i="6"/>
  <c r="AD75" i="6"/>
  <c r="AC75" i="6" s="1"/>
  <c r="AB75" i="6" s="1"/>
  <c r="AV75" i="6"/>
  <c r="AV77" i="6"/>
  <c r="AD78" i="6"/>
  <c r="AC78" i="6" s="1"/>
  <c r="AB78" i="6" s="1"/>
  <c r="AJ78" i="6"/>
  <c r="AR78" i="6"/>
  <c r="AV79" i="6"/>
  <c r="AR80" i="6"/>
  <c r="AV80" i="6"/>
  <c r="AR81" i="6"/>
  <c r="AV81" i="6"/>
  <c r="AJ83" i="6"/>
  <c r="AN83" i="6"/>
  <c r="AJ84" i="6"/>
  <c r="AR85" i="6"/>
  <c r="AV85" i="6"/>
  <c r="AJ87" i="6"/>
  <c r="AN87" i="6"/>
  <c r="AJ88" i="6"/>
  <c r="AV89" i="6"/>
  <c r="AD91" i="6"/>
  <c r="AC91" i="6" s="1"/>
  <c r="AB91" i="6" s="1"/>
  <c r="AV92" i="6"/>
  <c r="AJ93" i="6"/>
  <c r="AN95" i="6"/>
  <c r="AR95" i="6"/>
  <c r="AJ97" i="6"/>
  <c r="AN97" i="6"/>
  <c r="AR97" i="6"/>
  <c r="AN100" i="6"/>
  <c r="AN101" i="6"/>
  <c r="AR101" i="6"/>
  <c r="AD102" i="6"/>
  <c r="AC102" i="6" s="1"/>
  <c r="AN102" i="6"/>
  <c r="AJ103" i="6"/>
  <c r="AN103" i="6"/>
  <c r="AJ106" i="6"/>
  <c r="AN106" i="6"/>
  <c r="AJ107" i="6"/>
  <c r="AJ109" i="6"/>
  <c r="AN18" i="6"/>
  <c r="AN23" i="6"/>
  <c r="AF396" i="6"/>
  <c r="AK396" i="6"/>
  <c r="AT396" i="6"/>
  <c r="AJ8" i="6"/>
  <c r="AR8" i="6"/>
  <c r="AJ9" i="6"/>
  <c r="AR9" i="6"/>
  <c r="AR10" i="6"/>
  <c r="AJ11" i="6"/>
  <c r="AR11" i="6"/>
  <c r="AN12" i="6"/>
  <c r="AR12" i="6"/>
  <c r="AV12" i="6"/>
  <c r="AV13" i="6"/>
  <c r="AN14" i="6"/>
  <c r="AV14" i="6"/>
  <c r="AN15" i="6"/>
  <c r="AN16" i="6"/>
  <c r="AV16" i="6"/>
  <c r="AO394" i="6"/>
  <c r="AD19" i="6"/>
  <c r="AC19" i="6" s="1"/>
  <c r="AB19" i="6" s="1"/>
  <c r="AN19" i="6"/>
  <c r="AD20" i="6"/>
  <c r="AC20" i="6" s="1"/>
  <c r="AN20" i="6"/>
  <c r="AR22" i="6"/>
  <c r="AR23" i="6"/>
  <c r="AD25" i="6"/>
  <c r="AC25" i="6" s="1"/>
  <c r="AB25" i="6" s="1"/>
  <c r="AN25" i="6"/>
  <c r="AR25" i="6"/>
  <c r="AR26" i="6"/>
  <c r="AV27" i="6"/>
  <c r="AV28" i="6"/>
  <c r="AV31" i="6"/>
  <c r="AV32" i="6"/>
  <c r="AD33" i="6"/>
  <c r="AC33" i="6" s="1"/>
  <c r="AB33" i="6" s="1"/>
  <c r="AN33" i="6"/>
  <c r="AR33" i="6"/>
  <c r="AV34" i="6"/>
  <c r="AD35" i="6"/>
  <c r="AC35" i="6" s="1"/>
  <c r="AN35" i="6"/>
  <c r="AD36" i="6"/>
  <c r="AC36" i="6" s="1"/>
  <c r="AB36" i="6" s="1"/>
  <c r="AN36" i="6"/>
  <c r="AR36" i="6"/>
  <c r="AV38" i="6"/>
  <c r="AV39" i="6"/>
  <c r="AD40" i="6"/>
  <c r="AC40" i="6" s="1"/>
  <c r="AN40" i="6"/>
  <c r="AV41" i="6"/>
  <c r="AD42" i="6"/>
  <c r="AC42" i="6" s="1"/>
  <c r="AN42" i="6"/>
  <c r="AR44" i="6"/>
  <c r="AV46" i="6"/>
  <c r="AD47" i="6"/>
  <c r="AC47" i="6" s="1"/>
  <c r="AB47" i="6" s="1"/>
  <c r="AN47" i="6"/>
  <c r="AR47" i="6"/>
  <c r="AV49" i="6"/>
  <c r="AD50" i="6"/>
  <c r="AC50" i="6" s="1"/>
  <c r="AD52" i="6"/>
  <c r="AC52" i="6" s="1"/>
  <c r="AB52" i="6" s="1"/>
  <c r="AN52" i="6"/>
  <c r="AD54" i="6"/>
  <c r="AC54" i="6" s="1"/>
  <c r="AB54" i="6" s="1"/>
  <c r="AN58" i="6"/>
  <c r="AJ59" i="6"/>
  <c r="AJ60" i="6"/>
  <c r="AJ61" i="6"/>
  <c r="AJ63" i="6"/>
  <c r="AJ64" i="6"/>
  <c r="AJ65" i="6"/>
  <c r="AJ66" i="6"/>
  <c r="AJ67" i="6"/>
  <c r="AJ68" i="6"/>
  <c r="AJ69" i="6"/>
  <c r="AJ70" i="6"/>
  <c r="AJ71" i="6"/>
  <c r="AJ72" i="6"/>
  <c r="AD76" i="6"/>
  <c r="AC76" i="6" s="1"/>
  <c r="AB76" i="6" s="1"/>
  <c r="AN76" i="6"/>
  <c r="AR76" i="6"/>
  <c r="AN77" i="6"/>
  <c r="AN79" i="6"/>
  <c r="AJ80" i="6"/>
  <c r="AJ81" i="6"/>
  <c r="AJ82" i="6"/>
  <c r="AV83" i="6"/>
  <c r="AR84" i="6"/>
  <c r="AD85" i="6"/>
  <c r="AC85" i="6" s="1"/>
  <c r="AN85" i="6"/>
  <c r="AJ86" i="6"/>
  <c r="AV87" i="6"/>
  <c r="AR88" i="6"/>
  <c r="AR89" i="6"/>
  <c r="AD90" i="6"/>
  <c r="AC90" i="6" s="1"/>
  <c r="AN90" i="6"/>
  <c r="AR90" i="6"/>
  <c r="AV91" i="6"/>
  <c r="AD92" i="6"/>
  <c r="AC92" i="6" s="1"/>
  <c r="AR92" i="6"/>
  <c r="AD93" i="6"/>
  <c r="AC93" i="6" s="1"/>
  <c r="AB93" i="6" s="1"/>
  <c r="AR93" i="6"/>
  <c r="AD94" i="6"/>
  <c r="AC94" i="6" s="1"/>
  <c r="AN94" i="6"/>
  <c r="AR94" i="6"/>
  <c r="AJ95" i="6"/>
  <c r="AJ96" i="6"/>
  <c r="AV98" i="6"/>
  <c r="AD99" i="6"/>
  <c r="AC99" i="6" s="1"/>
  <c r="AN99" i="6"/>
  <c r="AR99" i="6"/>
  <c r="AJ100" i="6"/>
  <c r="AJ101" i="6"/>
  <c r="AV103" i="6"/>
  <c r="AD104" i="6"/>
  <c r="AC104" i="6" s="1"/>
  <c r="AN104" i="6"/>
  <c r="AR104" i="6"/>
  <c r="AN105" i="6"/>
  <c r="AV106" i="6"/>
  <c r="AV107" i="6"/>
  <c r="AD108" i="6"/>
  <c r="AC108" i="6" s="1"/>
  <c r="AB108" i="6" s="1"/>
  <c r="AV108" i="6"/>
  <c r="AR109" i="6"/>
  <c r="AD110" i="6"/>
  <c r="AC110" i="6" s="1"/>
  <c r="AN110" i="6"/>
  <c r="AV110" i="6"/>
  <c r="AD111" i="6"/>
  <c r="AC111" i="6" s="1"/>
  <c r="AN111" i="6"/>
  <c r="AJ115" i="6"/>
  <c r="AV117" i="6"/>
  <c r="AD118" i="6"/>
  <c r="AC118" i="6" s="1"/>
  <c r="AB118" i="6" s="1"/>
  <c r="AN118" i="6"/>
  <c r="AR119" i="6"/>
  <c r="AD120" i="6"/>
  <c r="AC120" i="6" s="1"/>
  <c r="AB120" i="6" s="1"/>
  <c r="AN122" i="6"/>
  <c r="AN123" i="6"/>
  <c r="AR124" i="6"/>
  <c r="AD125" i="6"/>
  <c r="AV125" i="6"/>
  <c r="AN127" i="6"/>
  <c r="AD127" i="6"/>
  <c r="AD128" i="6"/>
  <c r="AN131" i="6"/>
  <c r="AV131" i="6"/>
  <c r="AD132" i="6"/>
  <c r="AC132" i="6" s="1"/>
  <c r="AR132" i="6"/>
  <c r="AR134" i="6"/>
  <c r="AR135" i="6"/>
  <c r="AD136" i="6"/>
  <c r="AC136" i="6" s="1"/>
  <c r="AB136" i="6" s="1"/>
  <c r="AN136" i="6"/>
  <c r="AV136" i="6"/>
  <c r="AD137" i="6"/>
  <c r="AC137" i="6" s="1"/>
  <c r="AB137" i="6" s="1"/>
  <c r="AN137" i="6"/>
  <c r="AN138" i="6"/>
  <c r="AR139" i="6"/>
  <c r="AD140" i="6"/>
  <c r="AC140" i="6" s="1"/>
  <c r="AV141" i="6"/>
  <c r="AV142" i="6"/>
  <c r="AD143" i="6"/>
  <c r="AC143" i="6" s="1"/>
  <c r="AB143" i="6" s="1"/>
  <c r="AR143" i="6"/>
  <c r="AR144" i="6"/>
  <c r="AN145" i="6"/>
  <c r="AJ146" i="6"/>
  <c r="AN147" i="6"/>
  <c r="AR148" i="6"/>
  <c r="AD149" i="6"/>
  <c r="AV149" i="6"/>
  <c r="AR150" i="6"/>
  <c r="AD150" i="6"/>
  <c r="AR151" i="6"/>
  <c r="AD151" i="6"/>
  <c r="AJ152" i="6"/>
  <c r="AN153" i="6"/>
  <c r="AR154" i="6"/>
  <c r="AC157" i="6"/>
  <c r="AD162" i="6"/>
  <c r="AD163" i="6"/>
  <c r="AR20" i="6"/>
  <c r="AN22" i="6"/>
  <c r="AD122" i="6"/>
  <c r="AD123" i="6"/>
  <c r="AD131" i="6"/>
  <c r="AD160" i="6"/>
  <c r="AD155" i="6"/>
  <c r="AV155" i="6"/>
  <c r="AJ156" i="6"/>
  <c r="AN157" i="6"/>
  <c r="AN160" i="6"/>
  <c r="AV161" i="6"/>
  <c r="AJ162" i="6"/>
  <c r="AR163" i="6"/>
  <c r="AN164" i="6"/>
  <c r="AN166" i="6"/>
  <c r="AN167" i="6"/>
  <c r="AD167" i="6"/>
  <c r="AD168" i="6"/>
  <c r="AN168" i="6"/>
  <c r="AV170" i="6"/>
  <c r="AJ171" i="6"/>
  <c r="AV172" i="6"/>
  <c r="AJ173" i="6"/>
  <c r="AD173" i="6"/>
  <c r="AN174" i="6"/>
  <c r="AD174" i="6"/>
  <c r="AV176" i="6"/>
  <c r="AJ177" i="6"/>
  <c r="AR178" i="6"/>
  <c r="AJ179" i="6"/>
  <c r="AD179" i="6"/>
  <c r="AR180" i="6"/>
  <c r="AJ181" i="6"/>
  <c r="AN182" i="6"/>
  <c r="AD182" i="6"/>
  <c r="AR183" i="6"/>
  <c r="AJ184" i="6"/>
  <c r="AR185" i="6"/>
  <c r="AD186" i="6"/>
  <c r="AD187" i="6"/>
  <c r="AN188" i="6"/>
  <c r="AN189" i="6"/>
  <c r="AV189" i="6"/>
  <c r="AD190" i="6"/>
  <c r="AV190" i="6"/>
  <c r="AJ191" i="6"/>
  <c r="AD191" i="6"/>
  <c r="AN192" i="6"/>
  <c r="AR193" i="6"/>
  <c r="AJ194" i="6"/>
  <c r="AN195" i="6"/>
  <c r="AR196" i="6"/>
  <c r="AN197" i="6"/>
  <c r="AR198" i="6"/>
  <c r="AN199" i="6"/>
  <c r="AR200" i="6"/>
  <c r="AJ201" i="6"/>
  <c r="AN202" i="6"/>
  <c r="AD202" i="6"/>
  <c r="AJ203" i="6"/>
  <c r="AD203" i="6"/>
  <c r="AR204" i="6"/>
  <c r="AJ205" i="6"/>
  <c r="AV206" i="6"/>
  <c r="AJ207" i="6"/>
  <c r="AR208" i="6"/>
  <c r="AD209" i="6"/>
  <c r="AV209" i="6"/>
  <c r="AN210" i="6"/>
  <c r="AV211" i="6"/>
  <c r="AJ212" i="6"/>
  <c r="AR213" i="6"/>
  <c r="AD214" i="6"/>
  <c r="AV214" i="6"/>
  <c r="AJ215" i="6"/>
  <c r="AV216" i="6"/>
  <c r="AD217" i="6"/>
  <c r="AV217" i="6"/>
  <c r="AD218" i="6"/>
  <c r="AV218" i="6"/>
  <c r="AJ219" i="6"/>
  <c r="AD219" i="6"/>
  <c r="AR220" i="6"/>
  <c r="AD221" i="6"/>
  <c r="AV221" i="6"/>
  <c r="AD222" i="6"/>
  <c r="AV222" i="6"/>
  <c r="AN223" i="6"/>
  <c r="AV224" i="6"/>
  <c r="AD225" i="6"/>
  <c r="AV225" i="6"/>
  <c r="AD226" i="6"/>
  <c r="AV226" i="6"/>
  <c r="AJ227" i="6"/>
  <c r="AN228" i="6"/>
  <c r="AR229" i="6"/>
  <c r="AD230" i="6"/>
  <c r="AD231" i="6"/>
  <c r="AV231" i="6"/>
  <c r="AJ232" i="6"/>
  <c r="AN233" i="6"/>
  <c r="AR233" i="6"/>
  <c r="AN234" i="6"/>
  <c r="AV235" i="6"/>
  <c r="AJ236" i="6"/>
  <c r="AR237" i="6"/>
  <c r="AJ238" i="6"/>
  <c r="AH238" i="6" s="1"/>
  <c r="AV239" i="6"/>
  <c r="AJ240" i="6"/>
  <c r="AD240" i="6"/>
  <c r="AV241" i="6"/>
  <c r="AJ242" i="6"/>
  <c r="AD242" i="6"/>
  <c r="AV243" i="6"/>
  <c r="AN244" i="6"/>
  <c r="AV245" i="6"/>
  <c r="AD166" i="6"/>
  <c r="AD180" i="6"/>
  <c r="AD188" i="6"/>
  <c r="AD189" i="6"/>
  <c r="AD192" i="6"/>
  <c r="AD195" i="6"/>
  <c r="AD208" i="6"/>
  <c r="AD213" i="6"/>
  <c r="AD220" i="6"/>
  <c r="AD228" i="6"/>
  <c r="AD229" i="6"/>
  <c r="AD233" i="6"/>
  <c r="AD234" i="6"/>
  <c r="AD237" i="6"/>
  <c r="AD243" i="6"/>
  <c r="AD244" i="6"/>
  <c r="AK404" i="6"/>
  <c r="AK398" i="6"/>
  <c r="AK391" i="6"/>
  <c r="AT404" i="6"/>
  <c r="AT398" i="6"/>
  <c r="AT391" i="6"/>
  <c r="AW404" i="6"/>
  <c r="AW398" i="6"/>
  <c r="AW391" i="6"/>
  <c r="AK405" i="6"/>
  <c r="AK399" i="6"/>
  <c r="AT405" i="6"/>
  <c r="AT399" i="6"/>
  <c r="AW405" i="6"/>
  <c r="AW399" i="6"/>
  <c r="AK401" i="6"/>
  <c r="AK393" i="6"/>
  <c r="AT401" i="6"/>
  <c r="AT393" i="6"/>
  <c r="AD17" i="6"/>
  <c r="AE394" i="6"/>
  <c r="AF402" i="6"/>
  <c r="AF395" i="6"/>
  <c r="AO402" i="6"/>
  <c r="AO395" i="6"/>
  <c r="AQ402" i="6"/>
  <c r="AQ395" i="6"/>
  <c r="AX402" i="6"/>
  <c r="AX395" i="6"/>
  <c r="AE404" i="6"/>
  <c r="AE398" i="6"/>
  <c r="AE391" i="6"/>
  <c r="AL404" i="6"/>
  <c r="AL398" i="6"/>
  <c r="AL391" i="6"/>
  <c r="AO404" i="6"/>
  <c r="AO398" i="6"/>
  <c r="AO391" i="6"/>
  <c r="AQ404" i="6"/>
  <c r="AQ398" i="6"/>
  <c r="AQ391" i="6"/>
  <c r="AS404" i="6"/>
  <c r="AS398" i="6"/>
  <c r="AS391" i="6"/>
  <c r="AX404" i="6"/>
  <c r="AX398" i="6"/>
  <c r="AX391" i="6"/>
  <c r="AX400" i="6" s="1"/>
  <c r="AD7" i="6"/>
  <c r="AE396" i="6"/>
  <c r="X405" i="6"/>
  <c r="X399" i="6"/>
  <c r="Z405" i="6"/>
  <c r="Z399" i="6"/>
  <c r="AD15" i="6"/>
  <c r="AE405" i="6"/>
  <c r="AE399" i="6"/>
  <c r="AL405" i="6"/>
  <c r="AL399" i="6"/>
  <c r="AO405" i="6"/>
  <c r="AO399" i="6"/>
  <c r="AQ405" i="6"/>
  <c r="AQ399" i="6"/>
  <c r="AS405" i="6"/>
  <c r="AS399" i="6"/>
  <c r="AX405" i="6"/>
  <c r="AX399" i="6"/>
  <c r="X401" i="6"/>
  <c r="X393" i="6"/>
  <c r="Z401" i="6"/>
  <c r="Z393" i="6"/>
  <c r="AD16" i="6"/>
  <c r="AE401" i="6"/>
  <c r="AE393" i="6"/>
  <c r="AL401" i="6"/>
  <c r="AL393" i="6"/>
  <c r="AO401" i="6"/>
  <c r="AO393" i="6"/>
  <c r="AQ401" i="6"/>
  <c r="AQ393" i="6"/>
  <c r="AS401" i="6"/>
  <c r="AS393" i="6"/>
  <c r="AX401" i="6"/>
  <c r="AX393" i="6"/>
  <c r="AD18" i="6"/>
  <c r="AE402" i="6"/>
  <c r="AE395" i="6"/>
  <c r="AL402" i="6"/>
  <c r="AL395" i="6"/>
  <c r="AP402" i="6"/>
  <c r="AP395" i="6"/>
  <c r="AT402" i="6"/>
  <c r="AT395" i="6"/>
  <c r="AW402" i="6"/>
  <c r="AW395" i="6"/>
  <c r="AN50" i="6"/>
  <c r="AJ50" i="6"/>
  <c r="AN7" i="6"/>
  <c r="AC6" i="6"/>
  <c r="AJ6" i="6"/>
  <c r="AV6" i="6"/>
  <c r="X396" i="6"/>
  <c r="Z396" i="6"/>
  <c r="AJ7" i="6"/>
  <c r="AL396" i="6"/>
  <c r="AO396" i="6"/>
  <c r="AQ396" i="6"/>
  <c r="AS396" i="6"/>
  <c r="AV7" i="6"/>
  <c r="AX396" i="6"/>
  <c r="AD8" i="6"/>
  <c r="AC8" i="6" s="1"/>
  <c r="AD9" i="6"/>
  <c r="AC9" i="6" s="1"/>
  <c r="AD10" i="6"/>
  <c r="AC10" i="6" s="1"/>
  <c r="AD11" i="6"/>
  <c r="AC11" i="6" s="1"/>
  <c r="AB11" i="6" s="1"/>
  <c r="AD13" i="6"/>
  <c r="AC13" i="6" s="1"/>
  <c r="AJ13" i="6"/>
  <c r="AR13" i="6"/>
  <c r="AD14" i="6"/>
  <c r="AC14" i="6" s="1"/>
  <c r="AJ15" i="6"/>
  <c r="AV15" i="6"/>
  <c r="AJ16" i="6"/>
  <c r="N17" i="6"/>
  <c r="AF394" i="6"/>
  <c r="AJ17" i="6"/>
  <c r="AL394" i="6"/>
  <c r="AP394" i="6"/>
  <c r="AR17" i="6"/>
  <c r="AT394" i="6"/>
  <c r="AW394" i="6"/>
  <c r="AJ18" i="6"/>
  <c r="AR18" i="6"/>
  <c r="AJ19" i="6"/>
  <c r="AD21" i="6"/>
  <c r="AC21" i="6" s="1"/>
  <c r="AB21" i="6" s="1"/>
  <c r="AJ21" i="6"/>
  <c r="AD27" i="6"/>
  <c r="AC27" i="6" s="1"/>
  <c r="AB27" i="6" s="1"/>
  <c r="AJ27" i="6"/>
  <c r="AD28" i="6"/>
  <c r="AC28" i="6" s="1"/>
  <c r="AB28" i="6" s="1"/>
  <c r="AD29" i="6"/>
  <c r="AC29" i="6" s="1"/>
  <c r="AB29" i="6" s="1"/>
  <c r="AJ29" i="6"/>
  <c r="AD31" i="6"/>
  <c r="AC31" i="6" s="1"/>
  <c r="AB31" i="6" s="1"/>
  <c r="AJ31" i="6"/>
  <c r="AR31" i="6"/>
  <c r="AD32" i="6"/>
  <c r="AC32" i="6" s="1"/>
  <c r="AD34" i="6"/>
  <c r="AC34" i="6" s="1"/>
  <c r="AB34" i="6" s="1"/>
  <c r="AI35" i="6"/>
  <c r="AJ35" i="6" s="1"/>
  <c r="AD37" i="6"/>
  <c r="AC37" i="6" s="1"/>
  <c r="AB37" i="6" s="1"/>
  <c r="AD38" i="6"/>
  <c r="AB38" i="6" s="1"/>
  <c r="AJ38" i="6"/>
  <c r="AD39" i="6"/>
  <c r="AC39" i="6" s="1"/>
  <c r="AB39" i="6" s="1"/>
  <c r="AI40" i="6"/>
  <c r="AJ40" i="6" s="1"/>
  <c r="AD41" i="6"/>
  <c r="AB41" i="6" s="1"/>
  <c r="AI42" i="6"/>
  <c r="AD43" i="6"/>
  <c r="AC43" i="6" s="1"/>
  <c r="AB43" i="6" s="1"/>
  <c r="AJ43" i="6"/>
  <c r="AI44" i="6"/>
  <c r="AJ44" i="6" s="1"/>
  <c r="AJ45" i="6"/>
  <c r="AD46" i="6"/>
  <c r="AC46" i="6" s="1"/>
  <c r="AB46" i="6" s="1"/>
  <c r="AJ46" i="6"/>
  <c r="AN48" i="6"/>
  <c r="AD49" i="6"/>
  <c r="AC49" i="6" s="1"/>
  <c r="AJ49" i="6"/>
  <c r="AD51" i="6"/>
  <c r="AC51" i="6" s="1"/>
  <c r="AR51" i="6"/>
  <c r="AR52" i="6"/>
  <c r="AR53" i="6"/>
  <c r="AN54" i="6"/>
  <c r="AD56" i="6"/>
  <c r="AC56" i="6" s="1"/>
  <c r="AB56" i="6" s="1"/>
  <c r="AR56" i="6"/>
  <c r="AF404" i="6"/>
  <c r="AF398" i="6"/>
  <c r="AF391" i="6"/>
  <c r="AP404" i="6"/>
  <c r="AP398" i="6"/>
  <c r="AP391" i="6"/>
  <c r="AF405" i="6"/>
  <c r="AF399" i="6"/>
  <c r="AP405" i="6"/>
  <c r="AP399" i="6"/>
  <c r="AF401" i="6"/>
  <c r="AF393" i="6"/>
  <c r="AP401" i="6"/>
  <c r="AP393" i="6"/>
  <c r="AW401" i="6"/>
  <c r="AW393" i="6"/>
  <c r="AM401" i="6"/>
  <c r="AM394" i="6"/>
  <c r="X402" i="6"/>
  <c r="X395" i="6"/>
  <c r="Z402" i="6"/>
  <c r="Z395" i="6"/>
  <c r="AB18" i="6"/>
  <c r="AK402" i="6"/>
  <c r="AK395" i="6"/>
  <c r="AM402" i="6"/>
  <c r="AM395" i="6"/>
  <c r="AS402" i="6"/>
  <c r="AS395" i="6"/>
  <c r="AM404" i="6"/>
  <c r="AM396" i="6"/>
  <c r="AN51" i="6"/>
  <c r="AI51" i="6"/>
  <c r="AJ51" i="6" s="1"/>
  <c r="AN56" i="6"/>
  <c r="AI56" i="6"/>
  <c r="AR6" i="6"/>
  <c r="AR7" i="6"/>
  <c r="AR15" i="6"/>
  <c r="AR16" i="6"/>
  <c r="AV18" i="6"/>
  <c r="AJ48" i="6"/>
  <c r="AD144" i="6"/>
  <c r="AE403" i="6"/>
  <c r="AJ120" i="6"/>
  <c r="AJ134" i="6"/>
  <c r="AJ140" i="6"/>
  <c r="AN149" i="6"/>
  <c r="AC149" i="6"/>
  <c r="AJ150" i="6"/>
  <c r="AC150" i="6"/>
  <c r="AJ151" i="6"/>
  <c r="AC151" i="6"/>
  <c r="AB151" i="6" s="1"/>
  <c r="AN158" i="6"/>
  <c r="AC158" i="6"/>
  <c r="AB158" i="6" s="1"/>
  <c r="AJ159" i="6"/>
  <c r="AC159" i="6"/>
  <c r="AB159" i="6" s="1"/>
  <c r="AD55" i="6"/>
  <c r="AC55" i="6" s="1"/>
  <c r="AJ55" i="6"/>
  <c r="AD58" i="6"/>
  <c r="AC58" i="6" s="1"/>
  <c r="AB58" i="6" s="1"/>
  <c r="AJ58" i="6"/>
  <c r="AR58" i="6"/>
  <c r="AD59" i="6"/>
  <c r="AC59" i="6" s="1"/>
  <c r="AB59" i="6" s="1"/>
  <c r="AD60" i="6"/>
  <c r="AC60" i="6" s="1"/>
  <c r="AB60" i="6" s="1"/>
  <c r="AD61" i="6"/>
  <c r="AC61" i="6" s="1"/>
  <c r="AB61" i="6" s="1"/>
  <c r="AD62" i="6"/>
  <c r="AC62" i="6" s="1"/>
  <c r="AB62" i="6" s="1"/>
  <c r="AD63" i="6"/>
  <c r="AC63" i="6" s="1"/>
  <c r="AB63" i="6" s="1"/>
  <c r="AD64" i="6"/>
  <c r="AC64" i="6" s="1"/>
  <c r="AB64" i="6" s="1"/>
  <c r="AD65" i="6"/>
  <c r="AC65" i="6" s="1"/>
  <c r="AB65" i="6" s="1"/>
  <c r="AD66" i="6"/>
  <c r="AC66" i="6" s="1"/>
  <c r="AB66" i="6" s="1"/>
  <c r="AD67" i="6"/>
  <c r="AC67" i="6" s="1"/>
  <c r="AB67" i="6" s="1"/>
  <c r="AD68" i="6"/>
  <c r="AC68" i="6" s="1"/>
  <c r="AD69" i="6"/>
  <c r="AC69" i="6" s="1"/>
  <c r="AB69" i="6" s="1"/>
  <c r="AD70" i="6"/>
  <c r="AC70" i="6" s="1"/>
  <c r="AB70" i="6" s="1"/>
  <c r="AD71" i="6"/>
  <c r="AC71" i="6" s="1"/>
  <c r="AB71" i="6" s="1"/>
  <c r="AD72" i="6"/>
  <c r="AC72" i="6" s="1"/>
  <c r="AB72" i="6" s="1"/>
  <c r="AD77" i="6"/>
  <c r="AC77" i="6" s="1"/>
  <c r="AJ77" i="6"/>
  <c r="AR77" i="6"/>
  <c r="AD79" i="6"/>
  <c r="AC79" i="6" s="1"/>
  <c r="AB79" i="6" s="1"/>
  <c r="AJ79" i="6"/>
  <c r="AR79" i="6"/>
  <c r="AD80" i="6"/>
  <c r="AC80" i="6" s="1"/>
  <c r="AB80" i="6" s="1"/>
  <c r="AD81" i="6"/>
  <c r="AC81" i="6" s="1"/>
  <c r="AD82" i="6"/>
  <c r="AC82" i="6" s="1"/>
  <c r="AB82" i="6" s="1"/>
  <c r="AD84" i="6"/>
  <c r="AC84" i="6" s="1"/>
  <c r="AB84" i="6" s="1"/>
  <c r="AD86" i="6"/>
  <c r="AC86" i="6" s="1"/>
  <c r="AB86" i="6" s="1"/>
  <c r="AD88" i="6"/>
  <c r="AC88" i="6" s="1"/>
  <c r="AD89" i="6"/>
  <c r="AC89" i="6" s="1"/>
  <c r="AD95" i="6"/>
  <c r="AC95" i="6" s="1"/>
  <c r="AD96" i="6"/>
  <c r="AC96" i="6" s="1"/>
  <c r="AD98" i="6"/>
  <c r="AC98" i="6" s="1"/>
  <c r="AD100" i="6"/>
  <c r="AC100" i="6" s="1"/>
  <c r="AB100" i="6" s="1"/>
  <c r="AD101" i="6"/>
  <c r="AC101" i="6" s="1"/>
  <c r="AD105" i="6"/>
  <c r="AC105" i="6" s="1"/>
  <c r="AB105" i="6" s="1"/>
  <c r="AJ105" i="6"/>
  <c r="AD107" i="6"/>
  <c r="AC107" i="6" s="1"/>
  <c r="AI108" i="6"/>
  <c r="AJ108" i="6" s="1"/>
  <c r="AN108" i="6"/>
  <c r="AD109" i="6"/>
  <c r="AC109" i="6" s="1"/>
  <c r="AB109" i="6" s="1"/>
  <c r="AI113" i="6"/>
  <c r="AD114" i="6"/>
  <c r="AB114" i="6" s="1"/>
  <c r="AD115" i="6"/>
  <c r="AC115" i="6" s="1"/>
  <c r="AB115" i="6" s="1"/>
  <c r="AI116" i="6"/>
  <c r="AD117" i="6"/>
  <c r="AC117" i="6" s="1"/>
  <c r="AB117" i="6" s="1"/>
  <c r="AJ117" i="6"/>
  <c r="AD119" i="6"/>
  <c r="AC119" i="6" s="1"/>
  <c r="AJ119" i="6"/>
  <c r="AN120" i="6"/>
  <c r="AC124" i="6"/>
  <c r="AB124" i="6" s="1"/>
  <c r="AC126" i="6"/>
  <c r="AB126" i="6" s="1"/>
  <c r="AC129" i="6"/>
  <c r="AB129" i="6" s="1"/>
  <c r="AJ129" i="6"/>
  <c r="AC130" i="6"/>
  <c r="AB130" i="6" s="1"/>
  <c r="AJ130" i="6"/>
  <c r="AJ132" i="6"/>
  <c r="AD133" i="6"/>
  <c r="AC133" i="6" s="1"/>
  <c r="AJ133" i="6"/>
  <c r="AN134" i="6"/>
  <c r="AD135" i="6"/>
  <c r="AC135" i="6" s="1"/>
  <c r="AB135" i="6" s="1"/>
  <c r="AD138" i="6"/>
  <c r="AC138" i="6" s="1"/>
  <c r="AB138" i="6" s="1"/>
  <c r="AJ138" i="6"/>
  <c r="AD139" i="6"/>
  <c r="AC139" i="6" s="1"/>
  <c r="AJ139" i="6"/>
  <c r="AN140" i="6"/>
  <c r="AD142" i="6"/>
  <c r="AC142" i="6" s="1"/>
  <c r="N144" i="6"/>
  <c r="AF403" i="6"/>
  <c r="AK403" i="6"/>
  <c r="AN144" i="6"/>
  <c r="AP403" i="6"/>
  <c r="AV144" i="6"/>
  <c r="AD145" i="6"/>
  <c r="AC145" i="6" s="1"/>
  <c r="AD152" i="6"/>
  <c r="AD153" i="6"/>
  <c r="AD156" i="6"/>
  <c r="AD157" i="6"/>
  <c r="AU403" i="6"/>
  <c r="AU398" i="6"/>
  <c r="AU391" i="6"/>
  <c r="AM403" i="6"/>
  <c r="AM397" i="6"/>
  <c r="AD146" i="6"/>
  <c r="AC146" i="6" s="1"/>
  <c r="AJ149" i="6"/>
  <c r="AJ158" i="6"/>
  <c r="AR160" i="6"/>
  <c r="AC161" i="6"/>
  <c r="AB161" i="6" s="1"/>
  <c r="AJ161" i="6"/>
  <c r="AC162" i="6"/>
  <c r="AB162" i="6" s="1"/>
  <c r="AC164" i="6"/>
  <c r="AB164" i="6" s="1"/>
  <c r="AJ164" i="6"/>
  <c r="AC165" i="6"/>
  <c r="AB165" i="6" s="1"/>
  <c r="AC168" i="6"/>
  <c r="AJ168" i="6"/>
  <c r="AS397" i="6"/>
  <c r="AV168" i="6"/>
  <c r="AX397" i="6"/>
  <c r="AC169" i="6"/>
  <c r="AB169" i="6" s="1"/>
  <c r="AJ169" i="6"/>
  <c r="AC170" i="6"/>
  <c r="AB170" i="6" s="1"/>
  <c r="AJ170" i="6"/>
  <c r="AC171" i="6"/>
  <c r="AC172" i="6"/>
  <c r="AB172" i="6" s="1"/>
  <c r="AC175" i="6"/>
  <c r="AB175" i="6" s="1"/>
  <c r="AC176" i="6"/>
  <c r="AJ176" i="6"/>
  <c r="AC177" i="6"/>
  <c r="AB177" i="6" s="1"/>
  <c r="AC178" i="6"/>
  <c r="AB178" i="6" s="1"/>
  <c r="AC181" i="6"/>
  <c r="AB181" i="6" s="1"/>
  <c r="AC183" i="6"/>
  <c r="AB183" i="6" s="1"/>
  <c r="AJ183" i="6"/>
  <c r="AC184" i="6"/>
  <c r="AB184" i="6" s="1"/>
  <c r="AC185" i="6"/>
  <c r="AB185" i="6" s="1"/>
  <c r="AI187" i="6"/>
  <c r="AJ187" i="6" s="1"/>
  <c r="AC193" i="6"/>
  <c r="AB193" i="6" s="1"/>
  <c r="AC194" i="6"/>
  <c r="AB194" i="6" s="1"/>
  <c r="AC196" i="6"/>
  <c r="AB196" i="6" s="1"/>
  <c r="AC197" i="6"/>
  <c r="AB197" i="6" s="1"/>
  <c r="AJ197" i="6"/>
  <c r="AC198" i="6"/>
  <c r="AB198" i="6" s="1"/>
  <c r="AC199" i="6"/>
  <c r="AB199" i="6" s="1"/>
  <c r="AJ199" i="6"/>
  <c r="AC200" i="6"/>
  <c r="AB200" i="6" s="1"/>
  <c r="AC201" i="6"/>
  <c r="AB201" i="6" s="1"/>
  <c r="AC204" i="6"/>
  <c r="AB204" i="6" s="1"/>
  <c r="AC205" i="6"/>
  <c r="AB205" i="6" s="1"/>
  <c r="AC206" i="6"/>
  <c r="AB206" i="6" s="1"/>
  <c r="AJ206" i="6"/>
  <c r="AC207" i="6"/>
  <c r="AB207" i="6" s="1"/>
  <c r="AC210" i="6"/>
  <c r="AB210" i="6" s="1"/>
  <c r="AJ210" i="6"/>
  <c r="AC211" i="6"/>
  <c r="AB211" i="6" s="1"/>
  <c r="AJ211" i="6"/>
  <c r="AC212" i="6"/>
  <c r="AB212" i="6" s="1"/>
  <c r="AC215" i="6"/>
  <c r="AB215" i="6" s="1"/>
  <c r="AC216" i="6"/>
  <c r="AB216" i="6" s="1"/>
  <c r="AJ216" i="6"/>
  <c r="AC223" i="6"/>
  <c r="AB223" i="6" s="1"/>
  <c r="AJ223" i="6"/>
  <c r="AC224" i="6"/>
  <c r="AB224" i="6" s="1"/>
  <c r="AJ224" i="6"/>
  <c r="AC227" i="6"/>
  <c r="AB227" i="6" s="1"/>
  <c r="AC232" i="6"/>
  <c r="AB232" i="6" s="1"/>
  <c r="AC235" i="6"/>
  <c r="AB235" i="6" s="1"/>
  <c r="AJ235" i="6"/>
  <c r="AC236" i="6"/>
  <c r="AB236" i="6" s="1"/>
  <c r="AC238" i="6"/>
  <c r="AB238" i="6" s="1"/>
  <c r="AC239" i="6"/>
  <c r="AB239" i="6" s="1"/>
  <c r="AJ239" i="6"/>
  <c r="AC241" i="6"/>
  <c r="AB241" i="6" s="1"/>
  <c r="AJ241" i="6"/>
  <c r="AB6" i="6"/>
  <c r="AA6" i="6"/>
  <c r="AA391" i="6" s="1"/>
  <c r="AA400" i="6" s="1"/>
  <c r="X6" i="6"/>
  <c r="N6" i="6" s="1"/>
  <c r="AB1" i="6"/>
  <c r="AH6" i="6" l="1"/>
  <c r="AH38" i="6"/>
  <c r="AB171" i="6"/>
  <c r="AB133" i="6"/>
  <c r="AB155" i="6"/>
  <c r="AB154" i="6"/>
  <c r="AB142" i="6"/>
  <c r="AB139" i="6"/>
  <c r="AB150" i="6"/>
  <c r="AB132" i="6"/>
  <c r="AB140" i="6"/>
  <c r="AB145" i="6"/>
  <c r="AB149" i="6"/>
  <c r="AB128" i="6"/>
  <c r="AB146" i="6"/>
  <c r="AB119" i="6"/>
  <c r="AB167" i="6"/>
  <c r="AB98" i="6"/>
  <c r="AB96" i="6"/>
  <c r="AB85" i="6"/>
  <c r="AB95" i="6"/>
  <c r="AB110" i="6"/>
  <c r="AB89" i="6"/>
  <c r="AB77" i="6"/>
  <c r="AB92" i="6"/>
  <c r="AB88" i="6"/>
  <c r="AB99" i="6"/>
  <c r="AB112" i="6"/>
  <c r="AB107" i="6"/>
  <c r="AH162" i="6"/>
  <c r="AB90" i="6"/>
  <c r="AB97" i="6"/>
  <c r="AB81" i="6"/>
  <c r="AB68" i="6"/>
  <c r="AB101" i="6"/>
  <c r="AH7" i="6"/>
  <c r="AB111" i="6"/>
  <c r="AB104" i="6"/>
  <c r="AB94" i="6"/>
  <c r="AB102" i="6"/>
  <c r="AB116" i="6"/>
  <c r="AB103" i="6"/>
  <c r="AB157" i="6"/>
  <c r="AB176" i="6"/>
  <c r="AB51" i="6"/>
  <c r="AB50" i="6"/>
  <c r="AH47" i="6"/>
  <c r="AB55" i="6"/>
  <c r="AB13" i="6"/>
  <c r="AB42" i="6"/>
  <c r="AB10" i="6"/>
  <c r="AB49" i="6"/>
  <c r="AB20" i="6"/>
  <c r="AB40" i="6"/>
  <c r="AB23" i="6"/>
  <c r="AB12" i="6"/>
  <c r="AB32" i="6"/>
  <c r="AB14" i="6"/>
  <c r="AB44" i="6"/>
  <c r="AB35" i="6"/>
  <c r="AB30" i="6"/>
  <c r="AB9" i="6"/>
  <c r="AB8" i="6"/>
  <c r="AG12" i="6"/>
  <c r="AW400" i="6"/>
  <c r="AH12" i="6"/>
  <c r="A198" i="6"/>
  <c r="A1194" i="4"/>
  <c r="A1195" i="4"/>
  <c r="AH239" i="6"/>
  <c r="AH240" i="6"/>
  <c r="AH171" i="6"/>
  <c r="AH69" i="6"/>
  <c r="AH60" i="6"/>
  <c r="AH31" i="6"/>
  <c r="AG15" i="6"/>
  <c r="AH15" i="6"/>
  <c r="AH222" i="6"/>
  <c r="AG222" i="6"/>
  <c r="Y222" i="6" s="1"/>
  <c r="AH183" i="6"/>
  <c r="AG183" i="6"/>
  <c r="Y183" i="6" s="1"/>
  <c r="AH46" i="6"/>
  <c r="AG46" i="6"/>
  <c r="Y46" i="6" s="1"/>
  <c r="AG38" i="6"/>
  <c r="Y38" i="6" s="1"/>
  <c r="AH34" i="6"/>
  <c r="AG34" i="6"/>
  <c r="Y34" i="6" s="1"/>
  <c r="AH217" i="6"/>
  <c r="AG217" i="6"/>
  <c r="Y217" i="6" s="1"/>
  <c r="AG47" i="6"/>
  <c r="Y47" i="6" s="1"/>
  <c r="AG6" i="6"/>
  <c r="AH206" i="6"/>
  <c r="AG206" i="6"/>
  <c r="Y206" i="6" s="1"/>
  <c r="AH197" i="6"/>
  <c r="AG197" i="6"/>
  <c r="Y197" i="6" s="1"/>
  <c r="AH139" i="6"/>
  <c r="AG139" i="6"/>
  <c r="Y139" i="6" s="1"/>
  <c r="AH138" i="6"/>
  <c r="AG138" i="6"/>
  <c r="Y138" i="6" s="1"/>
  <c r="AH241" i="6"/>
  <c r="AG241" i="6"/>
  <c r="Y241" i="6" s="1"/>
  <c r="AG239" i="6"/>
  <c r="Y239" i="6" s="1"/>
  <c r="AH235" i="6"/>
  <c r="AG235" i="6"/>
  <c r="Y235" i="6" s="1"/>
  <c r="AH224" i="6"/>
  <c r="AG224" i="6"/>
  <c r="Y224" i="6" s="1"/>
  <c r="AH223" i="6"/>
  <c r="AG223" i="6"/>
  <c r="Y223" i="6" s="1"/>
  <c r="AH216" i="6"/>
  <c r="AG216" i="6"/>
  <c r="Y216" i="6" s="1"/>
  <c r="AH211" i="6"/>
  <c r="AG211" i="6"/>
  <c r="Y211" i="6" s="1"/>
  <c r="AH210" i="6"/>
  <c r="AG210" i="6"/>
  <c r="Y210" i="6" s="1"/>
  <c r="AH199" i="6"/>
  <c r="AG199" i="6"/>
  <c r="Y199" i="6" s="1"/>
  <c r="AH187" i="6"/>
  <c r="AG187" i="6"/>
  <c r="Y187" i="6" s="1"/>
  <c r="AH176" i="6"/>
  <c r="AG176" i="6"/>
  <c r="AH170" i="6"/>
  <c r="AG170" i="6"/>
  <c r="Y170" i="6" s="1"/>
  <c r="AH169" i="6"/>
  <c r="AG169" i="6"/>
  <c r="Y169" i="6" s="1"/>
  <c r="AH164" i="6"/>
  <c r="AG164" i="6"/>
  <c r="Y164" i="6" s="1"/>
  <c r="AH158" i="6"/>
  <c r="AG158" i="6"/>
  <c r="Y158" i="6" s="1"/>
  <c r="AH130" i="6"/>
  <c r="AG130" i="6"/>
  <c r="Y130" i="6" s="1"/>
  <c r="AH129" i="6"/>
  <c r="AG129" i="6"/>
  <c r="Y129" i="6" s="1"/>
  <c r="AH119" i="6"/>
  <c r="AG119" i="6"/>
  <c r="Y119" i="6" s="1"/>
  <c r="AH117" i="6"/>
  <c r="AG117" i="6"/>
  <c r="Y117" i="6" s="1"/>
  <c r="AH108" i="6"/>
  <c r="AG108" i="6"/>
  <c r="Y108" i="6" s="1"/>
  <c r="AH105" i="6"/>
  <c r="AG105" i="6"/>
  <c r="Y105" i="6" s="1"/>
  <c r="AH77" i="6"/>
  <c r="AG77" i="6"/>
  <c r="AH159" i="6"/>
  <c r="AG159" i="6"/>
  <c r="Y159" i="6" s="1"/>
  <c r="AH151" i="6"/>
  <c r="AG151" i="6"/>
  <c r="Y151" i="6" s="1"/>
  <c r="AH150" i="6"/>
  <c r="AG150" i="6"/>
  <c r="Y150" i="6" s="1"/>
  <c r="AH134" i="6"/>
  <c r="AG134" i="6"/>
  <c r="Y134" i="6" s="1"/>
  <c r="AH48" i="6"/>
  <c r="AG48" i="6"/>
  <c r="Y48" i="6" s="1"/>
  <c r="AG51" i="6"/>
  <c r="AH51" i="6"/>
  <c r="AG45" i="6"/>
  <c r="Y45" i="6" s="1"/>
  <c r="AH45" i="6"/>
  <c r="AG43" i="6"/>
  <c r="Y43" i="6" s="1"/>
  <c r="AH43" i="6"/>
  <c r="AH40" i="6"/>
  <c r="AG40" i="6"/>
  <c r="AG31" i="6"/>
  <c r="Y31" i="6" s="1"/>
  <c r="AH29" i="6"/>
  <c r="AG29" i="6"/>
  <c r="Y29" i="6" s="1"/>
  <c r="AG16" i="6"/>
  <c r="AH16" i="6"/>
  <c r="AH50" i="6"/>
  <c r="AG50" i="6"/>
  <c r="AH242" i="6"/>
  <c r="AG242" i="6"/>
  <c r="Y242" i="6" s="1"/>
  <c r="AH232" i="6"/>
  <c r="AG232" i="6"/>
  <c r="Y232" i="6" s="1"/>
  <c r="AH227" i="6"/>
  <c r="AG227" i="6"/>
  <c r="Y227" i="6" s="1"/>
  <c r="AH203" i="6"/>
  <c r="AG203" i="6"/>
  <c r="Y203" i="6" s="1"/>
  <c r="AH194" i="6"/>
  <c r="AG194" i="6"/>
  <c r="Y194" i="6" s="1"/>
  <c r="AH191" i="6"/>
  <c r="AG191" i="6"/>
  <c r="Y191" i="6" s="1"/>
  <c r="AH179" i="6"/>
  <c r="AG179" i="6"/>
  <c r="Y179" i="6" s="1"/>
  <c r="AH177" i="6"/>
  <c r="AG177" i="6"/>
  <c r="Y177" i="6" s="1"/>
  <c r="AH152" i="6"/>
  <c r="AG152" i="6"/>
  <c r="Y152" i="6" s="1"/>
  <c r="AH100" i="6"/>
  <c r="AG100" i="6"/>
  <c r="Y100" i="6" s="1"/>
  <c r="AH95" i="6"/>
  <c r="AG95" i="6"/>
  <c r="AG82" i="6"/>
  <c r="Y82" i="6" s="1"/>
  <c r="AH82" i="6"/>
  <c r="AG80" i="6"/>
  <c r="Y80" i="6" s="1"/>
  <c r="AH80" i="6"/>
  <c r="AG71" i="6"/>
  <c r="Y71" i="6" s="1"/>
  <c r="AH71" i="6"/>
  <c r="AG69" i="6"/>
  <c r="Y69" i="6" s="1"/>
  <c r="AG67" i="6"/>
  <c r="Y67" i="6" s="1"/>
  <c r="AH67" i="6"/>
  <c r="AG65" i="6"/>
  <c r="Y65" i="6" s="1"/>
  <c r="AH65" i="6"/>
  <c r="AG63" i="6"/>
  <c r="Y63" i="6" s="1"/>
  <c r="AH63" i="6"/>
  <c r="AG61" i="6"/>
  <c r="Y61" i="6" s="1"/>
  <c r="AH61" i="6"/>
  <c r="AG59" i="6"/>
  <c r="Y59" i="6" s="1"/>
  <c r="AH59" i="6"/>
  <c r="AH109" i="6"/>
  <c r="AG109" i="6"/>
  <c r="Y109" i="6" s="1"/>
  <c r="AH93" i="6"/>
  <c r="AG93" i="6"/>
  <c r="Y93" i="6" s="1"/>
  <c r="AG88" i="6"/>
  <c r="AH88" i="6"/>
  <c r="AH87" i="6"/>
  <c r="AG87" i="6"/>
  <c r="Y87" i="6" s="1"/>
  <c r="AG78" i="6"/>
  <c r="Y78" i="6" s="1"/>
  <c r="AH78" i="6"/>
  <c r="AG73" i="6"/>
  <c r="Y73" i="6" s="1"/>
  <c r="AH73" i="6"/>
  <c r="AG57" i="6"/>
  <c r="Y57" i="6" s="1"/>
  <c r="AH57" i="6"/>
  <c r="AG53" i="6"/>
  <c r="Y53" i="6" s="1"/>
  <c r="AH53" i="6"/>
  <c r="AG14" i="6"/>
  <c r="AH14" i="6"/>
  <c r="AH229" i="6"/>
  <c r="AG229" i="6"/>
  <c r="Y229" i="6" s="1"/>
  <c r="AH214" i="6"/>
  <c r="AG214" i="6"/>
  <c r="Y214" i="6" s="1"/>
  <c r="AH198" i="6"/>
  <c r="AG198" i="6"/>
  <c r="Y198" i="6" s="1"/>
  <c r="AH190" i="6"/>
  <c r="AG190" i="6"/>
  <c r="Y190" i="6" s="1"/>
  <c r="AH172" i="6"/>
  <c r="AG172" i="6"/>
  <c r="Y172" i="6" s="1"/>
  <c r="AH124" i="6"/>
  <c r="AG124" i="6"/>
  <c r="Y124" i="6" s="1"/>
  <c r="AH98" i="6"/>
  <c r="AG98" i="6"/>
  <c r="AH92" i="6"/>
  <c r="AG92" i="6"/>
  <c r="AH91" i="6"/>
  <c r="AG91" i="6"/>
  <c r="Y91" i="6" s="1"/>
  <c r="AH89" i="6"/>
  <c r="AG89" i="6"/>
  <c r="AG76" i="6"/>
  <c r="Y76" i="6" s="1"/>
  <c r="AH76" i="6"/>
  <c r="AG39" i="6"/>
  <c r="Y39" i="6" s="1"/>
  <c r="AH39" i="6"/>
  <c r="AG24" i="6"/>
  <c r="Y24" i="6" s="1"/>
  <c r="AH24" i="6"/>
  <c r="AH230" i="6"/>
  <c r="AG230" i="6"/>
  <c r="Y230" i="6" s="1"/>
  <c r="AH226" i="6"/>
  <c r="AG226" i="6"/>
  <c r="Y226" i="6" s="1"/>
  <c r="AH225" i="6"/>
  <c r="AG225" i="6"/>
  <c r="Y225" i="6" s="1"/>
  <c r="AH193" i="6"/>
  <c r="AG193" i="6"/>
  <c r="Y193" i="6" s="1"/>
  <c r="AH165" i="6"/>
  <c r="AG165" i="6"/>
  <c r="Y165" i="6" s="1"/>
  <c r="AH144" i="6"/>
  <c r="AG144" i="6"/>
  <c r="AH122" i="6"/>
  <c r="AG122" i="6"/>
  <c r="Y122" i="6" s="1"/>
  <c r="AH104" i="6"/>
  <c r="AG104" i="6"/>
  <c r="AH36" i="6"/>
  <c r="AG36" i="6"/>
  <c r="Y36" i="6" s="1"/>
  <c r="AH209" i="6"/>
  <c r="AG209" i="6"/>
  <c r="Y209" i="6" s="1"/>
  <c r="AH200" i="6"/>
  <c r="AG200" i="6"/>
  <c r="Y200" i="6" s="1"/>
  <c r="AH195" i="6"/>
  <c r="AG195" i="6"/>
  <c r="Y195" i="6" s="1"/>
  <c r="AH155" i="6"/>
  <c r="AG155" i="6"/>
  <c r="Y155" i="6" s="1"/>
  <c r="AH147" i="6"/>
  <c r="AG147" i="6"/>
  <c r="Y147" i="6" s="1"/>
  <c r="AH142" i="6"/>
  <c r="AG142" i="6"/>
  <c r="Y142" i="6" s="1"/>
  <c r="AH123" i="6"/>
  <c r="AG123" i="6"/>
  <c r="Y123" i="6" s="1"/>
  <c r="AH137" i="6"/>
  <c r="AG137" i="6"/>
  <c r="Y137" i="6" s="1"/>
  <c r="AH111" i="6"/>
  <c r="AG111" i="6"/>
  <c r="AG90" i="6"/>
  <c r="AH90" i="6"/>
  <c r="AH85" i="6"/>
  <c r="AG85" i="6"/>
  <c r="Y85" i="6" s="1"/>
  <c r="AH25" i="6"/>
  <c r="AG25" i="6"/>
  <c r="Y25" i="6" s="1"/>
  <c r="AH244" i="6"/>
  <c r="AG244" i="6"/>
  <c r="Y244" i="6" s="1"/>
  <c r="AH234" i="6"/>
  <c r="AG234" i="6"/>
  <c r="Y234" i="6" s="1"/>
  <c r="AH228" i="6"/>
  <c r="AG228" i="6"/>
  <c r="Y228" i="6" s="1"/>
  <c r="AH118" i="6"/>
  <c r="AG118" i="6"/>
  <c r="Y118" i="6" s="1"/>
  <c r="AH168" i="6"/>
  <c r="AG168" i="6"/>
  <c r="AH161" i="6"/>
  <c r="AG161" i="6"/>
  <c r="Y161" i="6" s="1"/>
  <c r="AH149" i="6"/>
  <c r="AG149" i="6"/>
  <c r="Y149" i="6" s="1"/>
  <c r="AH133" i="6"/>
  <c r="AG133" i="6"/>
  <c r="Y133" i="6" s="1"/>
  <c r="AH132" i="6"/>
  <c r="AG132" i="6"/>
  <c r="AH79" i="6"/>
  <c r="AG79" i="6"/>
  <c r="Y79" i="6" s="1"/>
  <c r="AH58" i="6"/>
  <c r="AG58" i="6"/>
  <c r="Y58" i="6" s="1"/>
  <c r="AG55" i="6"/>
  <c r="AH55" i="6"/>
  <c r="AH140" i="6"/>
  <c r="AG140" i="6"/>
  <c r="AH120" i="6"/>
  <c r="AG120" i="6"/>
  <c r="Y120" i="6" s="1"/>
  <c r="AG49" i="6"/>
  <c r="AH49" i="6"/>
  <c r="AH44" i="6"/>
  <c r="AG44" i="6"/>
  <c r="AG35" i="6"/>
  <c r="AH35" i="6"/>
  <c r="AH27" i="6"/>
  <c r="AG27" i="6"/>
  <c r="Y27" i="6" s="1"/>
  <c r="AH21" i="6"/>
  <c r="AG21" i="6"/>
  <c r="Y21" i="6" s="1"/>
  <c r="AH19" i="6"/>
  <c r="AG19" i="6"/>
  <c r="Y19" i="6" s="1"/>
  <c r="AG18" i="6"/>
  <c r="Y18" i="6" s="1"/>
  <c r="AH18" i="6"/>
  <c r="AH17" i="6"/>
  <c r="AG17" i="6"/>
  <c r="AH13" i="6"/>
  <c r="AG13" i="6"/>
  <c r="AG7" i="6"/>
  <c r="AG240" i="6"/>
  <c r="Y240" i="6" s="1"/>
  <c r="AG238" i="6"/>
  <c r="Y238" i="6" s="1"/>
  <c r="AH236" i="6"/>
  <c r="AG236" i="6"/>
  <c r="Y236" i="6" s="1"/>
  <c r="AH219" i="6"/>
  <c r="AG219" i="6"/>
  <c r="Y219" i="6" s="1"/>
  <c r="AH215" i="6"/>
  <c r="AG215" i="6"/>
  <c r="Y215" i="6" s="1"/>
  <c r="AH212" i="6"/>
  <c r="AG212" i="6"/>
  <c r="Y212" i="6" s="1"/>
  <c r="AH207" i="6"/>
  <c r="AG207" i="6"/>
  <c r="Y207" i="6" s="1"/>
  <c r="AH205" i="6"/>
  <c r="AG205" i="6"/>
  <c r="Y205" i="6" s="1"/>
  <c r="AH201" i="6"/>
  <c r="AG201" i="6"/>
  <c r="Y201" i="6" s="1"/>
  <c r="AH184" i="6"/>
  <c r="AG184" i="6"/>
  <c r="Y184" i="6" s="1"/>
  <c r="AH181" i="6"/>
  <c r="AG181" i="6"/>
  <c r="Y181" i="6" s="1"/>
  <c r="AH173" i="6"/>
  <c r="AG173" i="6"/>
  <c r="Y173" i="6" s="1"/>
  <c r="AG171" i="6"/>
  <c r="AG162" i="6"/>
  <c r="Y162" i="6" s="1"/>
  <c r="AH156" i="6"/>
  <c r="AG156" i="6"/>
  <c r="Y156" i="6" s="1"/>
  <c r="AH146" i="6"/>
  <c r="AG146" i="6"/>
  <c r="AH115" i="6"/>
  <c r="AG115" i="6"/>
  <c r="Y115" i="6" s="1"/>
  <c r="AH101" i="6"/>
  <c r="AG101" i="6"/>
  <c r="AH96" i="6"/>
  <c r="AG96" i="6"/>
  <c r="Y96" i="6" s="1"/>
  <c r="AG86" i="6"/>
  <c r="Y86" i="6" s="1"/>
  <c r="AH86" i="6"/>
  <c r="AH81" i="6"/>
  <c r="AG81" i="6"/>
  <c r="AH72" i="6"/>
  <c r="AG72" i="6"/>
  <c r="Y72" i="6" s="1"/>
  <c r="AH70" i="6"/>
  <c r="AG70" i="6"/>
  <c r="Y70" i="6" s="1"/>
  <c r="AH68" i="6"/>
  <c r="AG68" i="6"/>
  <c r="AH66" i="6"/>
  <c r="AG66" i="6"/>
  <c r="Y66" i="6" s="1"/>
  <c r="AH64" i="6"/>
  <c r="AG64" i="6"/>
  <c r="Y64" i="6" s="1"/>
  <c r="AH62" i="6"/>
  <c r="AG62" i="6"/>
  <c r="Y62" i="6" s="1"/>
  <c r="AG60" i="6"/>
  <c r="Y60" i="6" s="1"/>
  <c r="AH11" i="6"/>
  <c r="AG11" i="6"/>
  <c r="Y11" i="6" s="1"/>
  <c r="AG10" i="6"/>
  <c r="AH10" i="6"/>
  <c r="AH9" i="6"/>
  <c r="AG9" i="6"/>
  <c r="AG8" i="6"/>
  <c r="AH8" i="6"/>
  <c r="AH107" i="6"/>
  <c r="AG107" i="6"/>
  <c r="AH106" i="6"/>
  <c r="AG106" i="6"/>
  <c r="Y106" i="6" s="1"/>
  <c r="AH103" i="6"/>
  <c r="AG103" i="6"/>
  <c r="AH97" i="6"/>
  <c r="AG97" i="6"/>
  <c r="AG84" i="6"/>
  <c r="Y84" i="6" s="1"/>
  <c r="AH84" i="6"/>
  <c r="AH83" i="6"/>
  <c r="AG83" i="6"/>
  <c r="Y83" i="6" s="1"/>
  <c r="AG41" i="6"/>
  <c r="Y41" i="6" s="1"/>
  <c r="AH41" i="6"/>
  <c r="AG28" i="6"/>
  <c r="Y28" i="6" s="1"/>
  <c r="AH28" i="6"/>
  <c r="AH243" i="6"/>
  <c r="AG243" i="6"/>
  <c r="Y243" i="6" s="1"/>
  <c r="AH231" i="6"/>
  <c r="AG231" i="6"/>
  <c r="Y231" i="6" s="1"/>
  <c r="AH220" i="6"/>
  <c r="AG220" i="6"/>
  <c r="Y220" i="6" s="1"/>
  <c r="AH218" i="6"/>
  <c r="AG218" i="6"/>
  <c r="Y218" i="6" s="1"/>
  <c r="AH208" i="6"/>
  <c r="AG208" i="6"/>
  <c r="Y208" i="6" s="1"/>
  <c r="AH186" i="6"/>
  <c r="AG186" i="6"/>
  <c r="Y186" i="6" s="1"/>
  <c r="AH163" i="6"/>
  <c r="AG163" i="6"/>
  <c r="Y163" i="6" s="1"/>
  <c r="AH154" i="6"/>
  <c r="AG154" i="6"/>
  <c r="AH135" i="6"/>
  <c r="AG135" i="6"/>
  <c r="Y135" i="6" s="1"/>
  <c r="AH30" i="6"/>
  <c r="AG30" i="6"/>
  <c r="AH245" i="6"/>
  <c r="AG245" i="6"/>
  <c r="Y245" i="6" s="1"/>
  <c r="AH233" i="6"/>
  <c r="AG233" i="6"/>
  <c r="Y233" i="6" s="1"/>
  <c r="AH221" i="6"/>
  <c r="AG221" i="6"/>
  <c r="Y221" i="6" s="1"/>
  <c r="AH192" i="6"/>
  <c r="AG192" i="6"/>
  <c r="Y192" i="6" s="1"/>
  <c r="AH185" i="6"/>
  <c r="AG185" i="6"/>
  <c r="Y185" i="6" s="1"/>
  <c r="AH178" i="6"/>
  <c r="AG178" i="6"/>
  <c r="Y178" i="6" s="1"/>
  <c r="AH157" i="6"/>
  <c r="AG157" i="6"/>
  <c r="AH153" i="6"/>
  <c r="AG153" i="6"/>
  <c r="Y153" i="6" s="1"/>
  <c r="AH125" i="6"/>
  <c r="AG125" i="6"/>
  <c r="Y125" i="6" s="1"/>
  <c r="AH52" i="6"/>
  <c r="AG52" i="6"/>
  <c r="Y52" i="6" s="1"/>
  <c r="AH213" i="6"/>
  <c r="AG213" i="6"/>
  <c r="Y213" i="6" s="1"/>
  <c r="AH204" i="6"/>
  <c r="AG204" i="6"/>
  <c r="Y204" i="6" s="1"/>
  <c r="AH196" i="6"/>
  <c r="AG196" i="6"/>
  <c r="Y196" i="6" s="1"/>
  <c r="AH188" i="6"/>
  <c r="AG188" i="6"/>
  <c r="Y188" i="6" s="1"/>
  <c r="AH148" i="6"/>
  <c r="AG148" i="6"/>
  <c r="Y148" i="6" s="1"/>
  <c r="AH143" i="6"/>
  <c r="AG143" i="6"/>
  <c r="Y143" i="6" s="1"/>
  <c r="AH141" i="6"/>
  <c r="AG141" i="6"/>
  <c r="Y141" i="6" s="1"/>
  <c r="AH145" i="6"/>
  <c r="AG145" i="6"/>
  <c r="AH99" i="6"/>
  <c r="AG99" i="6"/>
  <c r="AH75" i="6"/>
  <c r="AG75" i="6"/>
  <c r="Y75" i="6" s="1"/>
  <c r="AH74" i="6"/>
  <c r="AG74" i="6"/>
  <c r="Y74" i="6" s="1"/>
  <c r="AG33" i="6"/>
  <c r="Y33" i="6" s="1"/>
  <c r="AH33" i="6"/>
  <c r="AH94" i="6"/>
  <c r="AG94" i="6"/>
  <c r="AH166" i="6"/>
  <c r="AG166" i="6"/>
  <c r="Y166" i="6" s="1"/>
  <c r="AH160" i="6"/>
  <c r="AG160" i="6"/>
  <c r="Y160" i="6" s="1"/>
  <c r="AH180" i="6"/>
  <c r="AG180" i="6"/>
  <c r="Y180" i="6" s="1"/>
  <c r="AH237" i="6"/>
  <c r="AG237" i="6"/>
  <c r="Y237" i="6" s="1"/>
  <c r="AN397" i="6"/>
  <c r="AN399" i="6"/>
  <c r="AN405" i="6"/>
  <c r="AD397" i="6"/>
  <c r="AR397" i="6"/>
  <c r="AV394" i="6"/>
  <c r="AN403" i="6"/>
  <c r="N391" i="6"/>
  <c r="AJ202" i="6"/>
  <c r="AJ174" i="6"/>
  <c r="AJ42" i="6"/>
  <c r="AV393" i="6"/>
  <c r="AU393" i="6" s="1"/>
  <c r="AN393" i="6"/>
  <c r="AN402" i="6"/>
  <c r="AN404" i="6"/>
  <c r="AN401" i="6"/>
  <c r="AT400" i="6"/>
  <c r="AV401" i="6"/>
  <c r="AB168" i="6"/>
  <c r="AC397" i="6"/>
  <c r="AC144" i="6"/>
  <c r="AD403" i="6"/>
  <c r="AR401" i="6"/>
  <c r="AR393" i="6"/>
  <c r="AR404" i="6"/>
  <c r="AR398" i="6"/>
  <c r="AR391" i="6"/>
  <c r="AJ405" i="6"/>
  <c r="AJ399" i="6"/>
  <c r="AV396" i="6"/>
  <c r="AV404" i="6"/>
  <c r="AV398" i="6"/>
  <c r="AV391" i="6"/>
  <c r="AD402" i="6"/>
  <c r="AD395" i="6"/>
  <c r="AC15" i="6"/>
  <c r="AD405" i="6"/>
  <c r="AD399" i="6"/>
  <c r="AC7" i="6"/>
  <c r="AD396" i="6"/>
  <c r="AJ116" i="6"/>
  <c r="AJ113" i="6"/>
  <c r="AJ56" i="6"/>
  <c r="AC402" i="6"/>
  <c r="AD391" i="6"/>
  <c r="AD404" i="6"/>
  <c r="AN394" i="6"/>
  <c r="AN395" i="6"/>
  <c r="AN391" i="6"/>
  <c r="X404" i="6"/>
  <c r="X398" i="6"/>
  <c r="X391" i="6"/>
  <c r="Z404" i="6"/>
  <c r="Z398" i="6"/>
  <c r="Z391" i="6"/>
  <c r="AV397" i="6"/>
  <c r="AV403" i="6"/>
  <c r="AV402" i="6"/>
  <c r="AV395" i="6"/>
  <c r="AR405" i="6"/>
  <c r="AR399" i="6"/>
  <c r="AR396" i="6"/>
  <c r="AR402" i="6"/>
  <c r="AR395" i="6"/>
  <c r="AR394" i="6"/>
  <c r="AV405" i="6"/>
  <c r="AV399" i="6"/>
  <c r="AJ398" i="6"/>
  <c r="AC16" i="6"/>
  <c r="AD401" i="6"/>
  <c r="AD393" i="6"/>
  <c r="AC17" i="6"/>
  <c r="AD394" i="6"/>
  <c r="AJ121" i="6"/>
  <c r="AR403" i="6"/>
  <c r="AC395" i="6"/>
  <c r="AN396" i="6"/>
  <c r="AS400" i="6"/>
  <c r="AP400" i="6" s="1"/>
  <c r="AO400" i="6" s="1"/>
  <c r="AL400" i="6" s="1"/>
  <c r="AK400" i="6" s="1"/>
  <c r="AF400" i="6" s="1"/>
  <c r="AE400" i="6" s="1"/>
  <c r="AD398" i="6"/>
  <c r="AN398" i="6"/>
  <c r="Y171" i="6" l="1"/>
  <c r="Y132" i="6"/>
  <c r="Y146" i="6"/>
  <c r="Y154" i="6"/>
  <c r="Y98" i="6"/>
  <c r="Y90" i="6"/>
  <c r="Y107" i="6"/>
  <c r="Y140" i="6"/>
  <c r="Y89" i="6"/>
  <c r="Y145" i="6"/>
  <c r="Y95" i="6"/>
  <c r="Y81" i="6"/>
  <c r="Y92" i="6"/>
  <c r="Y111" i="6"/>
  <c r="Y77" i="6"/>
  <c r="Y68" i="6"/>
  <c r="AC398" i="6"/>
  <c r="Y99" i="6"/>
  <c r="Y94" i="6"/>
  <c r="Y101" i="6"/>
  <c r="Y103" i="6"/>
  <c r="Y88" i="6"/>
  <c r="Y104" i="6"/>
  <c r="Y97" i="6"/>
  <c r="Y51" i="6"/>
  <c r="Y176" i="6"/>
  <c r="Y157" i="6"/>
  <c r="Y55" i="6"/>
  <c r="Y50" i="6"/>
  <c r="Y13" i="6"/>
  <c r="Y40" i="6"/>
  <c r="AB395" i="6"/>
  <c r="Y44" i="6"/>
  <c r="Y10" i="6"/>
  <c r="AB402" i="6"/>
  <c r="Y30" i="6"/>
  <c r="Y12" i="6"/>
  <c r="Y35" i="6"/>
  <c r="Y49" i="6"/>
  <c r="Y14" i="6"/>
  <c r="Y6" i="6"/>
  <c r="Y8" i="6"/>
  <c r="Y9" i="6"/>
  <c r="A199" i="6"/>
  <c r="A1197" i="4"/>
  <c r="A1196" i="4"/>
  <c r="A1199" i="4"/>
  <c r="A1198" i="4"/>
  <c r="Y168" i="6"/>
  <c r="AH121" i="6"/>
  <c r="AG121" i="6"/>
  <c r="Y121" i="6" s="1"/>
  <c r="AH113" i="6"/>
  <c r="AG113" i="6"/>
  <c r="Y113" i="6" s="1"/>
  <c r="AH174" i="6"/>
  <c r="AG174" i="6"/>
  <c r="Y174" i="6" s="1"/>
  <c r="AH56" i="6"/>
  <c r="AG56" i="6"/>
  <c r="Y56" i="6" s="1"/>
  <c r="AH116" i="6"/>
  <c r="AG116" i="6"/>
  <c r="Y116" i="6" s="1"/>
  <c r="AH42" i="6"/>
  <c r="AG42" i="6"/>
  <c r="Y42" i="6" s="1"/>
  <c r="AH202" i="6"/>
  <c r="AG202" i="6"/>
  <c r="Y202" i="6" s="1"/>
  <c r="AD400" i="6"/>
  <c r="AB16" i="6"/>
  <c r="Y16" i="6" s="1"/>
  <c r="AC401" i="6"/>
  <c r="AC393" i="6"/>
  <c r="AB7" i="6"/>
  <c r="Y7" i="6" s="1"/>
  <c r="AC396" i="6"/>
  <c r="AC391" i="6"/>
  <c r="AC404" i="6"/>
  <c r="AB17" i="6"/>
  <c r="Y17" i="6" s="1"/>
  <c r="AC394" i="6"/>
  <c r="AG398" i="6"/>
  <c r="AB15" i="6"/>
  <c r="Y15" i="6" s="1"/>
  <c r="AC405" i="6"/>
  <c r="AC399" i="6"/>
  <c r="AG405" i="6"/>
  <c r="AG399" i="6"/>
  <c r="AB144" i="6"/>
  <c r="Y144" i="6" s="1"/>
  <c r="AC403" i="6"/>
  <c r="AB397" i="6"/>
  <c r="A1201" i="4" l="1"/>
  <c r="A200" i="6"/>
  <c r="A1200" i="4"/>
  <c r="Z400" i="6"/>
  <c r="AC400" i="6"/>
  <c r="AB391" i="6"/>
  <c r="AB405" i="6"/>
  <c r="AB399" i="6"/>
  <c r="AB394" i="6"/>
  <c r="AB401" i="6"/>
  <c r="AB393" i="6"/>
  <c r="AB403" i="6"/>
  <c r="Y398" i="6"/>
  <c r="AB398" i="6"/>
  <c r="AB396" i="6"/>
  <c r="AB404" i="6"/>
  <c r="A955" i="4" l="1"/>
  <c r="A951" i="4"/>
  <c r="A954" i="4"/>
  <c r="A201" i="6"/>
  <c r="A953" i="4"/>
  <c r="A956" i="4"/>
  <c r="A952" i="4"/>
  <c r="AB406" i="6"/>
  <c r="I2126" i="4"/>
  <c r="B2126" i="4"/>
  <c r="Y405" i="6"/>
  <c r="Y399" i="6"/>
  <c r="A959" i="4" l="1"/>
  <c r="A202" i="6"/>
  <c r="A958" i="4"/>
  <c r="A957" i="4"/>
  <c r="AB400" i="6"/>
  <c r="AA407" i="6"/>
  <c r="AI32" i="6"/>
  <c r="AJ32" i="6" s="1"/>
  <c r="AI37" i="6"/>
  <c r="AJ37" i="6" s="1"/>
  <c r="AI114" i="6"/>
  <c r="AJ114" i="6" s="1"/>
  <c r="AI126" i="6"/>
  <c r="AJ126" i="6" s="1"/>
  <c r="AI175" i="6"/>
  <c r="AJ175" i="6" s="1"/>
  <c r="AI189" i="6"/>
  <c r="AJ189" i="6" s="1"/>
  <c r="AJ182" i="6"/>
  <c r="AI167" i="6"/>
  <c r="AJ167" i="6" s="1"/>
  <c r="AJ128" i="6"/>
  <c r="AI136" i="6"/>
  <c r="AJ136" i="6" s="1"/>
  <c r="AI110" i="6"/>
  <c r="AJ110" i="6" s="1"/>
  <c r="AI102" i="6"/>
  <c r="AJ102" i="6" s="1"/>
  <c r="AI127" i="6"/>
  <c r="AJ127" i="6" s="1"/>
  <c r="AI263" i="6"/>
  <c r="AJ263" i="6" s="1"/>
  <c r="AI267" i="6"/>
  <c r="AJ267" i="6" s="1"/>
  <c r="AJ352" i="6"/>
  <c r="AI131" i="6"/>
  <c r="AJ131" i="6" s="1"/>
  <c r="AI112" i="6"/>
  <c r="AJ112" i="6" s="1"/>
  <c r="AI23" i="6"/>
  <c r="AJ23" i="6" s="1"/>
  <c r="AI26" i="6"/>
  <c r="AJ26" i="6" s="1"/>
  <c r="AI22" i="6"/>
  <c r="AJ22" i="6" s="1"/>
  <c r="AI20" i="6"/>
  <c r="AJ20" i="6" s="1"/>
  <c r="AI253" i="6"/>
  <c r="AJ253" i="6" s="1"/>
  <c r="AI282" i="6"/>
  <c r="AJ282" i="6" s="1"/>
  <c r="AI297" i="6"/>
  <c r="AJ297" i="6" s="1"/>
  <c r="AI369" i="6"/>
  <c r="AJ369" i="6" s="1"/>
  <c r="AI378" i="6"/>
  <c r="AJ378" i="6" s="1"/>
  <c r="AI396" i="6"/>
  <c r="A968" i="4" l="1"/>
  <c r="A964" i="4"/>
  <c r="A966" i="4"/>
  <c r="A960" i="4"/>
  <c r="A967" i="4"/>
  <c r="A961" i="4"/>
  <c r="A962" i="4"/>
  <c r="A963" i="4"/>
  <c r="A203" i="6"/>
  <c r="A965" i="4"/>
  <c r="AH20" i="6"/>
  <c r="AG20" i="6"/>
  <c r="Y20" i="6" s="1"/>
  <c r="AH112" i="6"/>
  <c r="AG112" i="6"/>
  <c r="Y112" i="6" s="1"/>
  <c r="AH189" i="6"/>
  <c r="AG189" i="6"/>
  <c r="Y189" i="6" s="1"/>
  <c r="AI393" i="6"/>
  <c r="AI404" i="6"/>
  <c r="AI397" i="6"/>
  <c r="AH378" i="6"/>
  <c r="AG378" i="6"/>
  <c r="Y378" i="6" s="1"/>
  <c r="AH297" i="6"/>
  <c r="AG297" i="6"/>
  <c r="Y297" i="6" s="1"/>
  <c r="AH253" i="6"/>
  <c r="AG253" i="6"/>
  <c r="Y253" i="6" s="1"/>
  <c r="AG22" i="6"/>
  <c r="Y22" i="6" s="1"/>
  <c r="AH22" i="6"/>
  <c r="AH23" i="6"/>
  <c r="AG23" i="6"/>
  <c r="Y23" i="6" s="1"/>
  <c r="AH131" i="6"/>
  <c r="AG131" i="6"/>
  <c r="Y131" i="6" s="1"/>
  <c r="AH267" i="6"/>
  <c r="AG267" i="6"/>
  <c r="Y267" i="6" s="1"/>
  <c r="AH127" i="6"/>
  <c r="AG127" i="6"/>
  <c r="Y127" i="6" s="1"/>
  <c r="AH54" i="6"/>
  <c r="AG54" i="6"/>
  <c r="Y54" i="6" s="1"/>
  <c r="AH136" i="6"/>
  <c r="AG136" i="6"/>
  <c r="Y136" i="6" s="1"/>
  <c r="AH167" i="6"/>
  <c r="AG167" i="6"/>
  <c r="Y167" i="6" s="1"/>
  <c r="AH332" i="6"/>
  <c r="AG332" i="6"/>
  <c r="Y332" i="6" s="1"/>
  <c r="AH175" i="6"/>
  <c r="AG175" i="6"/>
  <c r="Y175" i="6" s="1"/>
  <c r="AH114" i="6"/>
  <c r="AG114" i="6"/>
  <c r="Y114" i="6" s="1"/>
  <c r="AH32" i="6"/>
  <c r="AG32" i="6"/>
  <c r="Y32" i="6" s="1"/>
  <c r="AH369" i="6"/>
  <c r="AG369" i="6"/>
  <c r="Y369" i="6" s="1"/>
  <c r="AH282" i="6"/>
  <c r="AG282" i="6"/>
  <c r="Y282" i="6" s="1"/>
  <c r="AG26" i="6"/>
  <c r="Y26" i="6" s="1"/>
  <c r="AH26" i="6"/>
  <c r="AH352" i="6"/>
  <c r="AG352" i="6"/>
  <c r="Y352" i="6" s="1"/>
  <c r="AH263" i="6"/>
  <c r="AG263" i="6"/>
  <c r="Y263" i="6" s="1"/>
  <c r="AH102" i="6"/>
  <c r="AG102" i="6"/>
  <c r="Y102" i="6" s="1"/>
  <c r="AH110" i="6"/>
  <c r="AG110" i="6"/>
  <c r="Y110" i="6" s="1"/>
  <c r="AH128" i="6"/>
  <c r="AG128" i="6"/>
  <c r="Y128" i="6" s="1"/>
  <c r="AH182" i="6"/>
  <c r="AG182" i="6"/>
  <c r="Y182" i="6" s="1"/>
  <c r="AH126" i="6"/>
  <c r="AG126" i="6"/>
  <c r="Y126" i="6" s="1"/>
  <c r="AG37" i="6"/>
  <c r="Y37" i="6" s="1"/>
  <c r="AH37" i="6"/>
  <c r="AI403" i="6"/>
  <c r="AI401" i="6"/>
  <c r="AI394" i="6"/>
  <c r="AI402" i="6"/>
  <c r="AI395" i="6"/>
  <c r="AI391" i="6"/>
  <c r="AJ401" i="6"/>
  <c r="AJ404" i="6"/>
  <c r="AJ397" i="6"/>
  <c r="AJ393" i="6"/>
  <c r="AJ403" i="6"/>
  <c r="AJ396" i="6"/>
  <c r="AJ394" i="6"/>
  <c r="AJ391" i="6"/>
  <c r="AJ402" i="6"/>
  <c r="AJ395" i="6"/>
  <c r="A969" i="4" l="1"/>
  <c r="A204" i="6"/>
  <c r="A970" i="4"/>
  <c r="Y391" i="6"/>
  <c r="AG396" i="6"/>
  <c r="AH391" i="6"/>
  <c r="AG393" i="6"/>
  <c r="AG395" i="6"/>
  <c r="Y402" i="6"/>
  <c r="AG401" i="6"/>
  <c r="AG397" i="6"/>
  <c r="AG403" i="6"/>
  <c r="Y394" i="6"/>
  <c r="AG391" i="6"/>
  <c r="AG402" i="6"/>
  <c r="AG404" i="6"/>
  <c r="AG394" i="6"/>
  <c r="Y397" i="6"/>
  <c r="Y403" i="6"/>
  <c r="Y393" i="6"/>
  <c r="Y396" i="6"/>
  <c r="Y401" i="6"/>
  <c r="G2127" i="4"/>
  <c r="G2128" i="4" s="1"/>
  <c r="J2128" i="4" s="1"/>
  <c r="A973" i="4" l="1"/>
  <c r="A205" i="6"/>
  <c r="A972" i="4"/>
  <c r="A971" i="4"/>
  <c r="Y395" i="6"/>
  <c r="Y404" i="6"/>
  <c r="A1203" i="4" l="1"/>
  <c r="A206" i="6"/>
  <c r="A1202" i="4"/>
  <c r="A207" i="6" l="1"/>
  <c r="A1232" i="4"/>
  <c r="A1233" i="4"/>
  <c r="A208" i="6" l="1"/>
  <c r="A1234" i="4"/>
  <c r="A1235" i="4"/>
  <c r="A1237" i="4" l="1"/>
  <c r="A209" i="6"/>
  <c r="A1236" i="4"/>
  <c r="A1238" i="4"/>
  <c r="A1240" i="4" l="1"/>
  <c r="A210" i="6"/>
  <c r="A1242" i="4" s="1"/>
  <c r="A1239" i="4"/>
  <c r="A211" i="6" l="1"/>
  <c r="A1241" i="4"/>
  <c r="A1243" i="4"/>
  <c r="A1245" i="4" l="1"/>
  <c r="A212" i="6"/>
  <c r="A1244" i="4"/>
  <c r="A1246" i="4" l="1"/>
  <c r="A1248" i="4"/>
  <c r="A213" i="6"/>
  <c r="A1247" i="4"/>
  <c r="A1249" i="4"/>
  <c r="A214" i="6" l="1"/>
  <c r="A1250" i="4"/>
  <c r="A1251" i="4"/>
  <c r="A1254" i="4" l="1"/>
  <c r="A1253" i="4"/>
  <c r="A215" i="6"/>
  <c r="A1252" i="4"/>
  <c r="A1259" i="4" l="1"/>
  <c r="A1256" i="4"/>
  <c r="A216" i="6"/>
  <c r="A1258" i="4"/>
  <c r="A1255" i="4"/>
  <c r="A1257" i="4"/>
  <c r="A217" i="6" l="1"/>
  <c r="A1261" i="4"/>
  <c r="A1260" i="4"/>
  <c r="A1262" i="4" l="1"/>
  <c r="A1266" i="4"/>
  <c r="A218" i="6"/>
  <c r="A1263" i="4"/>
  <c r="A1265" i="4"/>
  <c r="A1264" i="4"/>
  <c r="A1206" i="4" l="1"/>
  <c r="A1204" i="4"/>
  <c r="A219" i="6"/>
  <c r="A1205" i="4"/>
  <c r="A1268" i="4" l="1"/>
  <c r="A220" i="6"/>
  <c r="A1267" i="4"/>
  <c r="A1269" i="4" l="1"/>
  <c r="A1270" i="4"/>
  <c r="A221" i="6"/>
  <c r="A1271" i="4" l="1"/>
  <c r="A1272" i="4"/>
  <c r="A222" i="6"/>
  <c r="A1276" i="4" l="1"/>
  <c r="A1277" i="4"/>
  <c r="A1273" i="4"/>
  <c r="A1278" i="4"/>
  <c r="A1275" i="4"/>
  <c r="A223" i="6"/>
  <c r="A1274" i="4"/>
  <c r="A1279" i="4" l="1"/>
  <c r="A1280" i="4"/>
  <c r="A224" i="6"/>
  <c r="A1281" i="4" l="1"/>
  <c r="A1282" i="4"/>
  <c r="A225" i="6"/>
  <c r="A1283" i="4" l="1"/>
  <c r="A1284" i="4"/>
  <c r="A226" i="6"/>
  <c r="A1288" i="4" l="1"/>
  <c r="A1286" i="4"/>
  <c r="A1285" i="4"/>
  <c r="A1287" i="4"/>
  <c r="A227" i="6"/>
  <c r="A1208" i="4" l="1"/>
  <c r="A1207" i="4"/>
  <c r="A1209" i="4"/>
  <c r="A228" i="6"/>
  <c r="A1211" i="4" l="1"/>
  <c r="A1210" i="4"/>
  <c r="A229" i="6"/>
  <c r="A230" i="6" l="1"/>
  <c r="A1290" i="4" s="1"/>
  <c r="A1213" i="4"/>
  <c r="A1212" i="4"/>
  <c r="A1292" i="4" l="1"/>
  <c r="A1294" i="4"/>
  <c r="A1289" i="4"/>
  <c r="A231" i="6"/>
  <c r="A1291" i="4"/>
  <c r="A1293" i="4"/>
  <c r="A1216" i="4" l="1"/>
  <c r="A232" i="6"/>
  <c r="A1215" i="4"/>
  <c r="A1214" i="4"/>
  <c r="A1219" i="4" l="1"/>
  <c r="A1218" i="4"/>
  <c r="A1220" i="4"/>
  <c r="A233" i="6"/>
  <c r="A1217" i="4"/>
  <c r="A1223" i="4" l="1"/>
  <c r="A234" i="6"/>
  <c r="A1221" i="4"/>
  <c r="A1222" i="4"/>
  <c r="A235" i="6" l="1"/>
  <c r="A1224" i="4"/>
  <c r="A1225" i="4"/>
  <c r="A236" i="6" l="1"/>
  <c r="A1227" i="4"/>
  <c r="A1226" i="4"/>
  <c r="A1229" i="4" l="1"/>
  <c r="A237" i="6"/>
  <c r="A1228" i="4"/>
  <c r="A1231" i="4" l="1"/>
  <c r="A238" i="6"/>
  <c r="A1230" i="4"/>
  <c r="A1296" i="4" l="1"/>
  <c r="A1295" i="4"/>
  <c r="A239" i="6"/>
  <c r="A1297" i="4" l="1"/>
  <c r="A240" i="6"/>
  <c r="A1298" i="4"/>
  <c r="A1299" i="4" l="1"/>
  <c r="A241" i="6"/>
  <c r="A1300" i="4"/>
  <c r="A242" i="6" l="1"/>
  <c r="A1302" i="4"/>
  <c r="A1301" i="4"/>
  <c r="A1303" i="4" l="1"/>
  <c r="A243" i="6"/>
  <c r="A1304" i="4"/>
  <c r="A1305" i="4" l="1"/>
  <c r="A244" i="6"/>
  <c r="A1306" i="4"/>
  <c r="A1308" i="4" l="1"/>
  <c r="A245" i="6"/>
  <c r="A1311" i="4"/>
  <c r="A1312" i="4"/>
  <c r="A1309" i="4"/>
  <c r="A1310" i="4"/>
  <c r="A1307" i="4"/>
  <c r="A1421" i="4" l="1"/>
  <c r="A1419" i="4"/>
  <c r="A1418" i="4"/>
  <c r="A1420" i="4"/>
  <c r="A246" i="6"/>
  <c r="A1423" i="4" l="1"/>
  <c r="A1422" i="4"/>
  <c r="A247" i="6"/>
  <c r="A1426" i="4" l="1"/>
  <c r="A1424" i="4"/>
  <c r="A1427" i="4"/>
  <c r="A248" i="6"/>
  <c r="A1441" i="4" s="1"/>
  <c r="A1425" i="4"/>
  <c r="A1443" i="4" l="1"/>
  <c r="A1436" i="4"/>
  <c r="A1444" i="4"/>
  <c r="A1430" i="4"/>
  <c r="A1434" i="4"/>
  <c r="A1439" i="4"/>
  <c r="A1431" i="4"/>
  <c r="A1442" i="4"/>
  <c r="A1445" i="4"/>
  <c r="A249" i="6"/>
  <c r="A1429" i="4"/>
  <c r="A1435" i="4"/>
  <c r="A1433" i="4"/>
  <c r="A1440" i="4"/>
  <c r="A1432" i="4"/>
  <c r="A1438" i="4"/>
  <c r="A1437" i="4"/>
  <c r="A1428" i="4"/>
  <c r="A1446" i="4" l="1"/>
  <c r="A1447" i="4"/>
  <c r="A250" i="6"/>
  <c r="A1448" i="4"/>
  <c r="A1449" i="4" l="1"/>
  <c r="A1450" i="4"/>
  <c r="A251" i="6"/>
  <c r="A1452" i="4" l="1"/>
  <c r="A1451" i="4"/>
  <c r="A1453" i="4"/>
  <c r="A252" i="6"/>
  <c r="A1454" i="4" l="1"/>
  <c r="A253" i="6"/>
  <c r="A1463" i="4" s="1"/>
  <c r="A1455" i="4"/>
  <c r="A1464" i="4" l="1"/>
  <c r="A1456" i="4"/>
  <c r="A1458" i="4"/>
  <c r="A1459" i="4"/>
  <c r="A254" i="6"/>
  <c r="A1457" i="4"/>
  <c r="A1460" i="4"/>
  <c r="A1462" i="4"/>
  <c r="A1461" i="4"/>
  <c r="A1467" i="4" l="1"/>
  <c r="A1466" i="4"/>
  <c r="A1465" i="4"/>
  <c r="A255" i="6"/>
  <c r="A256" i="6" l="1"/>
  <c r="A1471" i="4"/>
  <c r="A1468" i="4"/>
  <c r="A1470" i="4"/>
  <c r="A1469" i="4"/>
  <c r="A1478" i="4" l="1"/>
  <c r="A257" i="6"/>
  <c r="A1476" i="4"/>
  <c r="A1477" i="4"/>
  <c r="A1472" i="4"/>
  <c r="A1473" i="4"/>
  <c r="A1475" i="4"/>
  <c r="A1474" i="4"/>
  <c r="A1484" i="4" l="1"/>
  <c r="A258" i="6"/>
  <c r="A1480" i="4"/>
  <c r="A1481" i="4"/>
  <c r="A1482" i="4"/>
  <c r="A1479" i="4"/>
  <c r="A1483" i="4"/>
  <c r="A1489" i="4" l="1"/>
  <c r="A1486" i="4"/>
  <c r="A1488" i="4"/>
  <c r="A259" i="6"/>
  <c r="A1485" i="4"/>
  <c r="A1487" i="4"/>
  <c r="A260" i="6" l="1"/>
  <c r="A1490" i="4"/>
  <c r="A1491" i="4"/>
  <c r="A1496" i="4" l="1"/>
  <c r="A261" i="6"/>
  <c r="A1498" i="4" s="1"/>
  <c r="A1492" i="4"/>
  <c r="A1495" i="4"/>
  <c r="A1494" i="4"/>
  <c r="A1493" i="4"/>
  <c r="A262" i="6" l="1"/>
  <c r="A1503" i="4" s="1"/>
  <c r="A1497" i="4"/>
  <c r="A1499" i="4"/>
  <c r="A1505" i="4" l="1"/>
  <c r="A1504" i="4"/>
  <c r="A1501" i="4"/>
  <c r="A263" i="6"/>
  <c r="A1502" i="4"/>
  <c r="A1500" i="4"/>
  <c r="A1506" i="4" l="1"/>
  <c r="A1508" i="4"/>
  <c r="A1507" i="4"/>
  <c r="A264" i="6"/>
  <c r="A1509" i="4" l="1"/>
  <c r="A265" i="6"/>
  <c r="A1510" i="4"/>
  <c r="A1517" i="4" l="1"/>
  <c r="A1514" i="4"/>
  <c r="A266" i="6"/>
  <c r="A1317" i="4" s="1"/>
  <c r="A1511" i="4"/>
  <c r="A1512" i="4"/>
  <c r="A1513" i="4"/>
  <c r="A1515" i="4"/>
  <c r="A1516" i="4"/>
  <c r="A1314" i="4" l="1"/>
  <c r="A1316" i="4"/>
  <c r="A267" i="6"/>
  <c r="A1326" i="4" s="1"/>
  <c r="A1315" i="4"/>
  <c r="A1313" i="4"/>
  <c r="A1318" i="4"/>
  <c r="A1323" i="4" l="1"/>
  <c r="A1324" i="4"/>
  <c r="A1327" i="4"/>
  <c r="A1325" i="4"/>
  <c r="A268" i="6"/>
  <c r="A1320" i="4"/>
  <c r="A1319" i="4"/>
  <c r="A1321" i="4"/>
  <c r="A1322" i="4"/>
  <c r="A269" i="6" l="1"/>
  <c r="A1334" i="4" s="1"/>
  <c r="A1519" i="4"/>
  <c r="A1518" i="4"/>
  <c r="A1522" i="4"/>
  <c r="A1520" i="4"/>
  <c r="A1521" i="4"/>
  <c r="A1330" i="4" l="1"/>
  <c r="A270" i="6"/>
  <c r="A1336" i="4"/>
  <c r="A1335" i="4"/>
  <c r="A1331" i="4"/>
  <c r="A1332" i="4"/>
  <c r="A1329" i="4"/>
  <c r="A1328" i="4"/>
  <c r="A1333" i="4"/>
  <c r="A1338" i="4" l="1"/>
  <c r="A271" i="6"/>
  <c r="A1337" i="4"/>
  <c r="A1349" i="4" l="1"/>
  <c r="A272" i="6"/>
  <c r="A1344" i="4"/>
  <c r="A1345" i="4"/>
  <c r="A1342" i="4"/>
  <c r="A1346" i="4"/>
  <c r="A1347" i="4"/>
  <c r="A1341" i="4"/>
  <c r="A1348" i="4"/>
  <c r="A1339" i="4"/>
  <c r="A1340" i="4"/>
  <c r="A1343" i="4"/>
  <c r="A1352" i="4" l="1"/>
  <c r="A1351" i="4"/>
  <c r="A1350" i="4"/>
  <c r="A273" i="6"/>
  <c r="A1355" i="4" l="1"/>
  <c r="A1353" i="4"/>
  <c r="A274" i="6"/>
  <c r="A1354" i="4"/>
  <c r="A1360" i="4" l="1"/>
  <c r="A1359" i="4"/>
  <c r="A275" i="6"/>
  <c r="A1356" i="4"/>
  <c r="A1357" i="4"/>
  <c r="A1358" i="4"/>
  <c r="A1363" i="4" l="1"/>
  <c r="A1361" i="4"/>
  <c r="A276" i="6"/>
  <c r="A1362" i="4"/>
  <c r="A1370" i="4" l="1"/>
  <c r="A1367" i="4"/>
  <c r="A1365" i="4"/>
  <c r="A1368" i="4"/>
  <c r="A277" i="6"/>
  <c r="A1369" i="4"/>
  <c r="A1364" i="4"/>
  <c r="A1366" i="4"/>
  <c r="A1376" i="4" l="1"/>
  <c r="A1377" i="4"/>
  <c r="A1378" i="4"/>
  <c r="A1374" i="4"/>
  <c r="A1373" i="4"/>
  <c r="A1371" i="4"/>
  <c r="A278" i="6"/>
  <c r="A1375" i="4"/>
  <c r="A1372" i="4"/>
  <c r="A1389" i="4" l="1"/>
  <c r="A1386" i="4"/>
  <c r="A1383" i="4"/>
  <c r="A1388" i="4"/>
  <c r="A1380" i="4"/>
  <c r="A1381" i="4"/>
  <c r="A1382" i="4"/>
  <c r="A279" i="6"/>
  <c r="A1384" i="4"/>
  <c r="A1385" i="4"/>
  <c r="A1387" i="4"/>
  <c r="A1379" i="4"/>
  <c r="A1392" i="4" l="1"/>
  <c r="A1391" i="4"/>
  <c r="A1390" i="4"/>
  <c r="A280" i="6"/>
  <c r="A1399" i="4" l="1"/>
  <c r="A1398" i="4"/>
  <c r="A1395" i="4"/>
  <c r="A1396" i="4"/>
  <c r="A1393" i="4"/>
  <c r="A1394" i="4"/>
  <c r="A281" i="6"/>
  <c r="A1401" i="4" s="1"/>
  <c r="A1397" i="4"/>
  <c r="A1406" i="4" l="1"/>
  <c r="A1405" i="4"/>
  <c r="A1402" i="4"/>
  <c r="A1404" i="4"/>
  <c r="A282" i="6"/>
  <c r="A1403" i="4"/>
  <c r="A1400" i="4"/>
  <c r="A1414" i="4" l="1"/>
  <c r="A1409" i="4"/>
  <c r="A1413" i="4"/>
  <c r="A283" i="6"/>
  <c r="A1407" i="4"/>
  <c r="A1412" i="4"/>
  <c r="A1410" i="4"/>
  <c r="A1408" i="4"/>
  <c r="A1411" i="4"/>
  <c r="A1417" i="4" l="1"/>
  <c r="A1415" i="4"/>
  <c r="A1416" i="4"/>
  <c r="A284" i="6"/>
  <c r="A285" i="6" l="1"/>
  <c r="A1555" i="4" s="1"/>
  <c r="A1523" i="4"/>
  <c r="A1524" i="4"/>
  <c r="A286" i="6" l="1"/>
  <c r="A1553" i="4"/>
  <c r="A1554" i="4"/>
  <c r="A1551" i="4"/>
  <c r="A1552" i="4"/>
  <c r="A1556" i="4"/>
  <c r="A1559" i="4" l="1"/>
  <c r="A1557" i="4"/>
  <c r="A287" i="6"/>
  <c r="A1558" i="4"/>
  <c r="A1564" i="4" l="1"/>
  <c r="A288" i="6"/>
  <c r="A1560" i="4"/>
  <c r="A1563" i="4"/>
  <c r="A1562" i="4"/>
  <c r="A1561" i="4"/>
  <c r="A1568" i="4" l="1"/>
  <c r="A1569" i="4"/>
  <c r="A1566" i="4"/>
  <c r="A289" i="6"/>
  <c r="A1573" i="4"/>
  <c r="A1572" i="4"/>
  <c r="A1571" i="4"/>
  <c r="A1570" i="4"/>
  <c r="A1567" i="4"/>
  <c r="A1565" i="4"/>
  <c r="A1542" i="4" l="1"/>
  <c r="A1534" i="4"/>
  <c r="A1531" i="4"/>
  <c r="A1536" i="4"/>
  <c r="A1543" i="4"/>
  <c r="A1527" i="4"/>
  <c r="A1533" i="4"/>
  <c r="A1541" i="4"/>
  <c r="A1528" i="4"/>
  <c r="A1525" i="4"/>
  <c r="A1529" i="4"/>
  <c r="A1538" i="4"/>
  <c r="A1530" i="4"/>
  <c r="A1537" i="4"/>
  <c r="A1526" i="4"/>
  <c r="A1535" i="4"/>
  <c r="A290" i="6"/>
  <c r="A1532" i="4"/>
  <c r="A1539" i="4"/>
  <c r="A1540" i="4"/>
  <c r="A1578" i="4" l="1"/>
  <c r="A1576" i="4"/>
  <c r="A1577" i="4"/>
  <c r="A1579" i="4"/>
  <c r="A1575" i="4"/>
  <c r="A291" i="6"/>
  <c r="A1580" i="4" l="1"/>
  <c r="A1581" i="4"/>
  <c r="A292" i="6"/>
  <c r="A1582" i="4" l="1"/>
  <c r="A1583" i="4"/>
  <c r="A293" i="6"/>
  <c r="A1586" i="4" l="1"/>
  <c r="A1584" i="4"/>
  <c r="A1591" i="4"/>
  <c r="A1589" i="4"/>
  <c r="A1588" i="4"/>
  <c r="A294" i="6"/>
  <c r="A1587" i="4"/>
  <c r="A1590" i="4"/>
  <c r="A1585" i="4"/>
  <c r="A295" i="6" l="1"/>
  <c r="A1544" i="4"/>
  <c r="A1545" i="4"/>
  <c r="A1548" i="4" l="1"/>
  <c r="A1546" i="4"/>
  <c r="A1547" i="4"/>
  <c r="A296" i="6"/>
  <c r="A297" i="6" l="1"/>
  <c r="A1549" i="4"/>
  <c r="A1550" i="4"/>
  <c r="A1679" i="4" l="1"/>
  <c r="A1677" i="4"/>
  <c r="A1675" i="4"/>
  <c r="A298" i="6"/>
  <c r="A1676" i="4"/>
  <c r="A1678" i="4"/>
  <c r="A1689" i="4" l="1"/>
  <c r="A1686" i="4"/>
  <c r="A1680" i="4"/>
  <c r="A1687" i="4"/>
  <c r="A1688" i="4"/>
  <c r="A1682" i="4"/>
  <c r="A1681" i="4"/>
  <c r="A299" i="6"/>
  <c r="A1684" i="4"/>
  <c r="A1683" i="4"/>
  <c r="A1685" i="4"/>
  <c r="A1709" i="4" l="1"/>
  <c r="A1702" i="4"/>
  <c r="A1700" i="4"/>
  <c r="A1692" i="4"/>
  <c r="A1695" i="4"/>
  <c r="A1705" i="4"/>
  <c r="A1703" i="4"/>
  <c r="A1694" i="4"/>
  <c r="A1693" i="4"/>
  <c r="A1707" i="4"/>
  <c r="A1704" i="4"/>
  <c r="A1696" i="4"/>
  <c r="A1706" i="4"/>
  <c r="A300" i="6"/>
  <c r="A1708" i="4"/>
  <c r="A1698" i="4"/>
  <c r="A1690" i="4"/>
  <c r="A1697" i="4"/>
  <c r="A1699" i="4"/>
  <c r="A1701" i="4"/>
  <c r="A1691" i="4"/>
  <c r="A1720" i="4" l="1"/>
  <c r="A1721" i="4"/>
  <c r="A1716" i="4"/>
  <c r="A1719" i="4"/>
  <c r="A1712" i="4"/>
  <c r="A1715" i="4"/>
  <c r="A1714" i="4"/>
  <c r="A1713" i="4"/>
  <c r="A1722" i="4"/>
  <c r="A1717" i="4"/>
  <c r="A1718" i="4"/>
  <c r="A301" i="6"/>
  <c r="A1710" i="4"/>
  <c r="A1711" i="4"/>
  <c r="A1729" i="4" l="1"/>
  <c r="A1735" i="4"/>
  <c r="A1734" i="4"/>
  <c r="A1741" i="4"/>
  <c r="A1740" i="4"/>
  <c r="A1733" i="4"/>
  <c r="A1732" i="4"/>
  <c r="A1730" i="4"/>
  <c r="A1728" i="4"/>
  <c r="A1743" i="4"/>
  <c r="A1736" i="4"/>
  <c r="A1739" i="4"/>
  <c r="A1744" i="4"/>
  <c r="A1738" i="4"/>
  <c r="A1727" i="4"/>
  <c r="A1742" i="4"/>
  <c r="A1725" i="4"/>
  <c r="A302" i="6"/>
  <c r="A1737" i="4"/>
  <c r="A1723" i="4"/>
  <c r="A1726" i="4"/>
  <c r="A1731" i="4"/>
  <c r="A1724" i="4"/>
  <c r="A1746" i="4" l="1"/>
  <c r="A1755" i="4"/>
  <c r="A1753" i="4"/>
  <c r="A1752" i="4"/>
  <c r="A1750" i="4"/>
  <c r="A1754" i="4"/>
  <c r="A1745" i="4"/>
  <c r="A1749" i="4"/>
  <c r="A1756" i="4"/>
  <c r="A1757" i="4"/>
  <c r="A1747" i="4"/>
  <c r="A303" i="6"/>
  <c r="A1751" i="4"/>
  <c r="A1748" i="4"/>
  <c r="A304" i="6" l="1"/>
  <c r="A1759" i="4"/>
  <c r="A1758" i="4"/>
  <c r="A1773" i="4" l="1"/>
  <c r="A1769" i="4"/>
  <c r="A1761" i="4"/>
  <c r="A1766" i="4"/>
  <c r="A1764" i="4"/>
  <c r="A1772" i="4"/>
  <c r="A305" i="6"/>
  <c r="A1765" i="4"/>
  <c r="A1770" i="4"/>
  <c r="A1762" i="4"/>
  <c r="A1771" i="4"/>
  <c r="A1763" i="4"/>
  <c r="A1768" i="4"/>
  <c r="A1767" i="4"/>
  <c r="A1760" i="4"/>
  <c r="A1778" i="4" l="1"/>
  <c r="A1777" i="4"/>
  <c r="A1776" i="4"/>
  <c r="A1780" i="4"/>
  <c r="A1775" i="4"/>
  <c r="A1783" i="4"/>
  <c r="A1781" i="4"/>
  <c r="A306" i="6"/>
  <c r="A1774" i="4"/>
  <c r="A1779" i="4"/>
  <c r="A1782" i="4"/>
  <c r="A307" i="6" l="1"/>
  <c r="A1605" i="4" s="1"/>
  <c r="A1785" i="4"/>
  <c r="A1784" i="4"/>
  <c r="A1604" i="4" l="1"/>
  <c r="A1594" i="4"/>
  <c r="A1598" i="4"/>
  <c r="A1593" i="4"/>
  <c r="A1601" i="4"/>
  <c r="A1602" i="4"/>
  <c r="A1606" i="4"/>
  <c r="A1597" i="4"/>
  <c r="A1596" i="4"/>
  <c r="A1595" i="4"/>
  <c r="A308" i="6"/>
  <c r="A1603" i="4"/>
  <c r="A1600" i="4"/>
  <c r="A1592" i="4"/>
  <c r="A1599" i="4"/>
  <c r="A1609" i="4" l="1"/>
  <c r="A309" i="6"/>
  <c r="A1607" i="4"/>
  <c r="A1608" i="4"/>
  <c r="A310" i="6" l="1"/>
  <c r="A1787" i="4"/>
  <c r="A1786" i="4"/>
  <c r="A1804" i="4" l="1"/>
  <c r="A1802" i="4"/>
  <c r="A1793" i="4"/>
  <c r="A1801" i="4"/>
  <c r="A1792" i="4"/>
  <c r="A1790" i="4"/>
  <c r="A1800" i="4"/>
  <c r="A1791" i="4"/>
  <c r="A1799" i="4"/>
  <c r="A311" i="6"/>
  <c r="A1798" i="4"/>
  <c r="A1789" i="4"/>
  <c r="A1797" i="4"/>
  <c r="A1788" i="4"/>
  <c r="A1796" i="4"/>
  <c r="A1795" i="4"/>
  <c r="A1803" i="4"/>
  <c r="A1794" i="4"/>
  <c r="A1805" i="4" l="1"/>
  <c r="A1806" i="4"/>
  <c r="A312" i="6"/>
  <c r="A1817" i="4" l="1"/>
  <c r="A1809" i="4"/>
  <c r="A1816" i="4"/>
  <c r="A1808" i="4"/>
  <c r="A1819" i="4"/>
  <c r="A1811" i="4"/>
  <c r="A1818" i="4"/>
  <c r="A313" i="6"/>
  <c r="A1813" i="4"/>
  <c r="A1820" i="4"/>
  <c r="A1812" i="4"/>
  <c r="A1810" i="4"/>
  <c r="A1815" i="4"/>
  <c r="A1807" i="4"/>
  <c r="A1814" i="4"/>
  <c r="A314" i="6" l="1"/>
  <c r="A1826" i="4" s="1"/>
  <c r="A1822" i="4"/>
  <c r="A1823" i="4"/>
  <c r="A1821" i="4"/>
  <c r="A1831" i="4" l="1"/>
  <c r="A1828" i="4"/>
  <c r="A1830" i="4"/>
  <c r="A1827" i="4"/>
  <c r="A315" i="6"/>
  <c r="A1824" i="4"/>
  <c r="A1825" i="4"/>
  <c r="A1829" i="4"/>
  <c r="A1832" i="4"/>
  <c r="A1836" i="4" l="1"/>
  <c r="A316" i="6"/>
  <c r="A1835" i="4"/>
  <c r="A1834" i="4"/>
  <c r="A1833" i="4"/>
  <c r="A1838" i="4" l="1"/>
  <c r="A317" i="6"/>
  <c r="A1842" i="4" s="1"/>
  <c r="A1837" i="4"/>
  <c r="A1839" i="4"/>
  <c r="A318" i="6" l="1"/>
  <c r="A1844" i="4"/>
  <c r="A1840" i="4"/>
  <c r="A1841" i="4"/>
  <c r="A1845" i="4"/>
  <c r="A1843" i="4"/>
  <c r="A1855" i="4" l="1"/>
  <c r="A1847" i="4"/>
  <c r="A319" i="6"/>
  <c r="A1853" i="4"/>
  <c r="A1856" i="4"/>
  <c r="A1857" i="4"/>
  <c r="A1851" i="4"/>
  <c r="A1850" i="4"/>
  <c r="A1858" i="4"/>
  <c r="A1849" i="4"/>
  <c r="A1852" i="4"/>
  <c r="A1854" i="4"/>
  <c r="A1848" i="4"/>
  <c r="A1846" i="4"/>
  <c r="A1860" i="4" l="1"/>
  <c r="A1859" i="4"/>
  <c r="A320" i="6"/>
  <c r="A1611" i="4" l="1"/>
  <c r="A321" i="6"/>
  <c r="A1610" i="4"/>
  <c r="A1861" i="4" l="1"/>
  <c r="A322" i="6"/>
  <c r="A1862" i="4"/>
  <c r="A323" i="6" l="1"/>
  <c r="A1864" i="4"/>
  <c r="A1863" i="4"/>
  <c r="A1866" i="4" l="1"/>
  <c r="A324" i="6"/>
  <c r="A1865" i="4"/>
  <c r="A325" i="6" l="1"/>
  <c r="A1869" i="4"/>
  <c r="A1868" i="4"/>
  <c r="A1867" i="4"/>
  <c r="A1877" i="4" l="1"/>
  <c r="A1874" i="4"/>
  <c r="A1880" i="4"/>
  <c r="A1871" i="4"/>
  <c r="A1872" i="4"/>
  <c r="A1870" i="4"/>
  <c r="A1879" i="4"/>
  <c r="A1873" i="4"/>
  <c r="A326" i="6"/>
  <c r="A1875" i="4"/>
  <c r="A1876" i="4"/>
  <c r="A1878" i="4"/>
  <c r="A1612" i="4" l="1"/>
  <c r="A327" i="6"/>
  <c r="A1624" i="4" s="1"/>
  <c r="A1615" i="4"/>
  <c r="A1616" i="4"/>
  <c r="A1614" i="4"/>
  <c r="A1613" i="4"/>
  <c r="A1620" i="4" l="1"/>
  <c r="A1619" i="4"/>
  <c r="A1621" i="4"/>
  <c r="A1623" i="4"/>
  <c r="A1625" i="4"/>
  <c r="A328" i="6"/>
  <c r="A1618" i="4"/>
  <c r="A1617" i="4"/>
  <c r="A1622" i="4"/>
  <c r="A1628" i="4" l="1"/>
  <c r="A329" i="6"/>
  <c r="A1639" i="4" s="1"/>
  <c r="A1626" i="4"/>
  <c r="A1629" i="4"/>
  <c r="A1627" i="4"/>
  <c r="A1647" i="4" l="1"/>
  <c r="A1635" i="4"/>
  <c r="A1637" i="4"/>
  <c r="A1646" i="4"/>
  <c r="A1636" i="4"/>
  <c r="A1633" i="4"/>
  <c r="A1645" i="4"/>
  <c r="A1644" i="4"/>
  <c r="A330" i="6"/>
  <c r="A1651" i="4" s="1"/>
  <c r="A1643" i="4"/>
  <c r="A1632" i="4"/>
  <c r="A1642" i="4"/>
  <c r="A1631" i="4"/>
  <c r="A1638" i="4"/>
  <c r="A1641" i="4"/>
  <c r="A1630" i="4"/>
  <c r="A1640" i="4"/>
  <c r="A1634" i="4"/>
  <c r="A1652" i="4" l="1"/>
  <c r="A1648" i="4"/>
  <c r="A1649" i="4"/>
  <c r="A1650" i="4"/>
  <c r="A331" i="6"/>
  <c r="A1667" i="4" l="1"/>
  <c r="A1663" i="4"/>
  <c r="A1653" i="4"/>
  <c r="A332" i="6"/>
  <c r="A1659" i="4"/>
  <c r="A1666" i="4"/>
  <c r="A1656" i="4"/>
  <c r="A1662" i="4"/>
  <c r="A1657" i="4"/>
  <c r="A1664" i="4"/>
  <c r="A1661" i="4"/>
  <c r="A1658" i="4"/>
  <c r="A1665" i="4"/>
  <c r="A1655" i="4"/>
  <c r="A1660" i="4"/>
  <c r="A1654" i="4"/>
  <c r="A1674" i="4" l="1"/>
  <c r="A1670" i="4"/>
  <c r="A1673" i="4"/>
  <c r="A1671" i="4"/>
  <c r="A333" i="6"/>
  <c r="A1668" i="4"/>
  <c r="A1672" i="4"/>
  <c r="A1669" i="4"/>
  <c r="A1887" i="4" l="1"/>
  <c r="A1888" i="4"/>
  <c r="A334" i="6"/>
  <c r="A1886" i="4"/>
  <c r="A1890" i="4" l="1"/>
  <c r="A335" i="6"/>
  <c r="A1889" i="4"/>
  <c r="A1891" i="4" l="1"/>
  <c r="A1892" i="4"/>
  <c r="A336" i="6"/>
  <c r="A1893" i="4" l="1"/>
  <c r="A1894" i="4"/>
  <c r="A337" i="6"/>
  <c r="A1895" i="4"/>
  <c r="A1896" i="4" l="1"/>
  <c r="A338" i="6"/>
  <c r="A1897" i="4"/>
  <c r="A1882" i="4" l="1"/>
  <c r="A1881" i="4"/>
  <c r="A339" i="6"/>
  <c r="A340" i="6" l="1"/>
  <c r="A341" i="6" s="1"/>
  <c r="A1885" i="4"/>
  <c r="A1883" i="4"/>
  <c r="A1884" i="4"/>
  <c r="A1898" i="4" l="1"/>
  <c r="A1899" i="4"/>
  <c r="A1900" i="4"/>
  <c r="A1909" i="4" l="1"/>
  <c r="A1904" i="4"/>
  <c r="A1902" i="4"/>
  <c r="A342" i="6"/>
  <c r="A1905" i="4"/>
  <c r="A1903" i="4"/>
  <c r="A1908" i="4"/>
  <c r="A1906" i="4"/>
  <c r="A1907" i="4"/>
  <c r="A1901" i="4"/>
  <c r="A1912" i="4" l="1"/>
  <c r="A1911" i="4"/>
  <c r="A1910" i="4"/>
  <c r="A343" i="6"/>
  <c r="A344" i="6" l="1"/>
  <c r="A1913" i="4"/>
  <c r="A1914" i="4"/>
  <c r="A1917" i="4" l="1"/>
  <c r="A1916" i="4"/>
  <c r="A1918" i="4"/>
  <c r="A345" i="6"/>
  <c r="A1915" i="4"/>
  <c r="A1928" i="4" l="1"/>
  <c r="A1923" i="4"/>
  <c r="A1925" i="4"/>
  <c r="A1926" i="4"/>
  <c r="A1922" i="4"/>
  <c r="A346" i="6"/>
  <c r="A1931" i="4"/>
  <c r="A1921" i="4"/>
  <c r="A1924" i="4"/>
  <c r="A1929" i="4"/>
  <c r="A1927" i="4"/>
  <c r="A1930" i="4"/>
  <c r="A1919" i="4"/>
  <c r="A1920" i="4"/>
  <c r="A1935" i="4" l="1"/>
  <c r="A1946" i="4"/>
  <c r="A347" i="6"/>
  <c r="A1951" i="4" s="1"/>
  <c r="A1942" i="4"/>
  <c r="A1943" i="4"/>
  <c r="A1932" i="4"/>
  <c r="A1939" i="4"/>
  <c r="A1938" i="4"/>
  <c r="A1941" i="4"/>
  <c r="A1933" i="4"/>
  <c r="A1940" i="4"/>
  <c r="A1945" i="4"/>
  <c r="A1936" i="4"/>
  <c r="A1937" i="4"/>
  <c r="A1934" i="4"/>
  <c r="A1944" i="4"/>
  <c r="A1952" i="4" l="1"/>
  <c r="A348" i="6"/>
  <c r="A1949" i="4"/>
  <c r="A1950" i="4"/>
  <c r="A1948" i="4"/>
  <c r="A1947" i="4"/>
  <c r="A1956" i="4" l="1"/>
  <c r="A1953" i="4"/>
  <c r="A349" i="6"/>
  <c r="A1959" i="4" s="1"/>
  <c r="A1954" i="4"/>
  <c r="A1955" i="4"/>
  <c r="A1960" i="4" l="1"/>
  <c r="A350" i="6"/>
  <c r="A1957" i="4"/>
  <c r="A1958" i="4"/>
  <c r="A1962" i="4" l="1"/>
  <c r="A1961" i="4"/>
  <c r="A351" i="6"/>
  <c r="A1964" i="4" l="1"/>
  <c r="A1963" i="4"/>
  <c r="A352" i="6"/>
  <c r="A353" i="6" l="1"/>
  <c r="A1967" i="4"/>
  <c r="A1965" i="4"/>
  <c r="A1966" i="4"/>
  <c r="A1969" i="4" l="1"/>
  <c r="A1968" i="4"/>
  <c r="A354" i="6"/>
  <c r="A1979" i="4" l="1"/>
  <c r="A1976" i="4"/>
  <c r="A1977" i="4"/>
  <c r="A1978" i="4"/>
  <c r="A1975" i="4"/>
  <c r="A1970" i="4"/>
  <c r="A355" i="6"/>
  <c r="A1973" i="4"/>
  <c r="A1974" i="4"/>
  <c r="A1971" i="4"/>
  <c r="A1972" i="4"/>
  <c r="A1984" i="4" l="1"/>
  <c r="A1983" i="4"/>
  <c r="A1982" i="4"/>
  <c r="A1981" i="4"/>
  <c r="A356" i="6"/>
  <c r="A1980" i="4"/>
  <c r="A1987" i="4" l="1"/>
  <c r="A357" i="6"/>
  <c r="A1986" i="4"/>
  <c r="A1985" i="4"/>
  <c r="A1990" i="4" l="1"/>
  <c r="A1989" i="4"/>
  <c r="A358" i="6"/>
  <c r="A1988" i="4"/>
  <c r="A1991" i="4" l="1"/>
  <c r="A1992" i="4"/>
  <c r="A359" i="6"/>
  <c r="A360" i="6" s="1"/>
  <c r="A1994" i="4" l="1"/>
  <c r="A1993" i="4"/>
  <c r="A2003" i="4" l="1"/>
  <c r="A2002" i="4"/>
  <c r="A361" i="6"/>
  <c r="A2001" i="4"/>
  <c r="A362" i="6" l="1"/>
  <c r="A2004" i="4"/>
  <c r="A2005" i="4"/>
  <c r="A2006" i="4" l="1"/>
  <c r="A2007" i="4"/>
  <c r="A363" i="6"/>
  <c r="A364" i="6" l="1"/>
  <c r="A2009" i="4"/>
  <c r="A2008" i="4"/>
  <c r="A365" i="6" l="1"/>
  <c r="A2011" i="4"/>
  <c r="A2010" i="4"/>
  <c r="A366" i="6" l="1"/>
  <c r="A2013" i="4"/>
  <c r="A2012" i="4"/>
  <c r="A367" i="6" l="1"/>
  <c r="A1996" i="4"/>
  <c r="A1998" i="4"/>
  <c r="A1997" i="4"/>
  <c r="A1995" i="4"/>
  <c r="A368" i="6" l="1"/>
  <c r="A2000" i="4"/>
  <c r="A1999" i="4"/>
  <c r="A2048" i="4" l="1"/>
  <c r="A2046" i="4"/>
  <c r="A369" i="6"/>
  <c r="A2047" i="4"/>
  <c r="A370" i="6" l="1"/>
  <c r="A2051" i="4"/>
  <c r="A2052" i="4"/>
  <c r="A2049" i="4"/>
  <c r="A2055" i="4"/>
  <c r="A2050" i="4"/>
  <c r="A2054" i="4"/>
  <c r="A2053" i="4"/>
  <c r="A2059" i="4" l="1"/>
  <c r="A2058" i="4"/>
  <c r="A2057" i="4"/>
  <c r="A2056" i="4"/>
  <c r="A2060" i="4"/>
  <c r="A371" i="6"/>
  <c r="A2061" i="4"/>
  <c r="A372" i="6" l="1"/>
  <c r="A2063" i="4"/>
  <c r="A2062" i="4"/>
  <c r="A2064" i="4"/>
  <c r="A2070" i="4" l="1"/>
  <c r="A373" i="6"/>
  <c r="A2069" i="4"/>
  <c r="A2066" i="4"/>
  <c r="A2071" i="4"/>
  <c r="A2067" i="4"/>
  <c r="A2068" i="4"/>
  <c r="A2065" i="4"/>
  <c r="A2073" i="4" l="1"/>
  <c r="A2075" i="4"/>
  <c r="A374" i="6"/>
  <c r="A2072" i="4"/>
  <c r="A2074" i="4"/>
  <c r="A2078" i="4" l="1"/>
  <c r="A375" i="6"/>
  <c r="A2076" i="4"/>
  <c r="A2077" i="4"/>
  <c r="A2079" i="4" l="1"/>
  <c r="A376" i="6"/>
  <c r="A2082" i="4"/>
  <c r="A2081" i="4"/>
  <c r="A2083" i="4"/>
  <c r="A2080" i="4"/>
  <c r="A2086" i="4" l="1"/>
  <c r="A2084" i="4"/>
  <c r="A377" i="6"/>
  <c r="A2091" i="4" s="1"/>
  <c r="A2085" i="4"/>
  <c r="A2092" i="4" l="1"/>
  <c r="A378" i="6"/>
  <c r="A2096" i="4" s="1"/>
  <c r="A2089" i="4"/>
  <c r="A2087" i="4"/>
  <c r="A2090" i="4"/>
  <c r="A2088" i="4"/>
  <c r="A2093" i="4" l="1"/>
  <c r="A2094" i="4"/>
  <c r="A2095" i="4"/>
  <c r="A379" i="6"/>
  <c r="A2103" i="4" s="1"/>
  <c r="A2097" i="4"/>
  <c r="A2101" i="4" l="1"/>
  <c r="A2100" i="4"/>
  <c r="A2099" i="4"/>
  <c r="A2102" i="4"/>
  <c r="A380" i="6"/>
  <c r="A2104" i="4"/>
  <c r="A2098" i="4"/>
  <c r="A2015" i="4" l="1"/>
  <c r="A2017" i="4"/>
  <c r="A2014" i="4"/>
  <c r="A381" i="6"/>
  <c r="A2016" i="4"/>
  <c r="A2112" i="4" l="1"/>
  <c r="A2113" i="4"/>
  <c r="A2111" i="4"/>
  <c r="A2105" i="4"/>
  <c r="A2109" i="4"/>
  <c r="A2110" i="4"/>
  <c r="A382" i="6"/>
  <c r="A2108" i="4"/>
  <c r="A2106" i="4"/>
  <c r="A2107" i="4"/>
  <c r="A2019" i="4" l="1"/>
  <c r="A383" i="6"/>
  <c r="A2022" i="4" s="1"/>
  <c r="A2018" i="4"/>
  <c r="A384" i="6" l="1"/>
  <c r="A2020" i="4"/>
  <c r="A2023" i="4"/>
  <c r="A2021" i="4"/>
  <c r="A2024" i="4"/>
  <c r="BB6" i="6"/>
  <c r="BC391" i="6"/>
  <c r="BB7" i="6"/>
  <c r="BB60" i="6"/>
  <c r="BB175" i="6"/>
  <c r="BB134" i="6"/>
  <c r="BB211" i="6"/>
  <c r="BB22" i="6"/>
  <c r="BB257" i="6"/>
  <c r="BB26" i="6"/>
  <c r="BB68" i="6"/>
  <c r="BB116" i="6"/>
  <c r="BB63" i="6"/>
  <c r="BB251" i="6"/>
  <c r="BB87" i="6"/>
  <c r="BB106" i="6"/>
  <c r="BB268" i="6"/>
  <c r="BB117" i="6"/>
  <c r="BB30" i="6"/>
  <c r="BB100" i="6"/>
  <c r="BB215" i="6"/>
  <c r="BB221" i="6"/>
  <c r="BB98" i="6"/>
  <c r="BB363" i="6"/>
  <c r="BB173" i="6"/>
  <c r="BB339" i="6"/>
  <c r="BB335" i="6"/>
  <c r="BB75" i="6"/>
  <c r="BB279" i="6"/>
  <c r="BB71" i="6"/>
  <c r="BB55" i="6"/>
  <c r="BB179" i="6"/>
  <c r="BB237" i="6"/>
  <c r="BB108" i="6"/>
  <c r="BB31" i="6"/>
  <c r="BB152" i="6"/>
  <c r="BB41" i="6"/>
  <c r="BB203" i="6"/>
  <c r="BB294" i="6"/>
  <c r="BB301" i="6"/>
  <c r="BB235" i="6"/>
  <c r="BB83" i="6"/>
  <c r="BB77" i="6"/>
  <c r="BB96" i="6"/>
  <c r="BB146" i="6"/>
  <c r="BB62" i="6"/>
  <c r="BB150" i="6"/>
  <c r="BB177" i="6"/>
  <c r="BB354" i="6"/>
  <c r="BB158" i="6"/>
  <c r="BB93" i="6"/>
  <c r="BB287" i="6"/>
  <c r="BB120" i="6"/>
  <c r="BB78" i="6"/>
  <c r="BB57" i="6"/>
  <c r="BB157" i="6"/>
  <c r="BB40" i="6"/>
  <c r="BB327" i="6"/>
  <c r="BB370" i="6"/>
  <c r="BB92" i="6"/>
  <c r="BB29" i="6"/>
  <c r="BB104" i="6"/>
  <c r="BB165" i="6"/>
  <c r="BB114" i="6"/>
  <c r="BB136" i="6"/>
  <c r="BB141" i="6"/>
  <c r="BB219" i="6"/>
  <c r="BB297" i="6"/>
  <c r="BB187" i="6"/>
  <c r="BB216" i="6"/>
  <c r="BB265" i="6"/>
  <c r="BB371" i="6"/>
  <c r="BB66" i="6"/>
  <c r="BB156" i="6"/>
  <c r="BB52" i="6"/>
  <c r="BB181" i="6"/>
  <c r="BB361" i="6"/>
  <c r="BB229" i="6"/>
  <c r="BB81" i="6"/>
  <c r="BB178" i="6"/>
  <c r="BB336" i="6"/>
  <c r="BB65" i="6"/>
  <c r="BB122" i="6"/>
  <c r="BB33" i="6"/>
  <c r="BB293" i="6"/>
  <c r="BB232" i="6"/>
  <c r="BB344" i="6"/>
  <c r="BB89" i="6"/>
  <c r="BB247" i="6"/>
  <c r="BB167" i="6"/>
  <c r="BB128" i="6"/>
  <c r="BB209" i="6"/>
  <c r="BB58" i="6"/>
  <c r="BB64" i="6"/>
  <c r="BB48" i="6"/>
  <c r="BB35" i="6"/>
  <c r="BB191" i="6"/>
  <c r="BB39" i="6"/>
  <c r="BB61" i="6"/>
  <c r="BB195" i="6"/>
  <c r="BB91" i="6"/>
  <c r="BB337" i="6"/>
  <c r="BB162" i="6"/>
  <c r="BB345" i="6"/>
  <c r="BB241" i="6"/>
  <c r="BB97" i="6"/>
  <c r="BB142" i="6"/>
  <c r="BB329" i="6"/>
  <c r="BB69" i="6"/>
  <c r="BB56" i="6"/>
  <c r="BB207" i="6"/>
  <c r="BB376" i="6"/>
  <c r="BB338" i="6"/>
  <c r="BB118" i="6"/>
  <c r="BB59" i="6"/>
  <c r="BB103" i="6"/>
  <c r="BB218" i="6"/>
  <c r="BB263" i="6"/>
  <c r="BB356" i="6"/>
  <c r="BB360" i="6"/>
  <c r="BB25" i="6"/>
  <c r="BB137" i="6"/>
  <c r="BB121" i="6"/>
  <c r="BB19" i="6"/>
  <c r="BB140" i="6"/>
  <c r="BB307" i="6"/>
  <c r="BB105" i="6"/>
  <c r="BB214" i="6"/>
  <c r="BB23" i="6"/>
  <c r="BB185" i="6"/>
  <c r="BB42" i="6"/>
  <c r="BB67" i="6"/>
  <c r="BB44" i="6"/>
  <c r="BB303" i="6"/>
  <c r="BB319" i="6"/>
  <c r="BB86" i="6"/>
  <c r="BB28" i="6"/>
  <c r="BB90" i="6"/>
  <c r="BB132" i="6"/>
  <c r="BB245" i="6"/>
  <c r="BB95" i="6"/>
  <c r="BB323" i="6"/>
  <c r="BB281" i="6"/>
  <c r="BB110" i="6"/>
  <c r="BB84" i="6"/>
  <c r="BB49" i="6"/>
  <c r="BB348" i="6"/>
  <c r="BB129" i="6"/>
  <c r="BB101" i="6"/>
  <c r="BB126" i="6"/>
  <c r="BB375" i="6"/>
  <c r="BB253" i="6"/>
  <c r="BB125" i="6"/>
  <c r="BB372" i="6"/>
  <c r="BB72" i="6"/>
  <c r="BB27" i="6"/>
  <c r="BB387" i="6"/>
  <c r="BB289" i="6"/>
  <c r="BB153" i="6"/>
  <c r="BB225" i="6"/>
  <c r="BB365" i="6"/>
  <c r="BB317" i="6"/>
  <c r="BB383" i="6"/>
  <c r="BB206" i="6"/>
  <c r="BB255" i="6"/>
  <c r="BB21" i="6"/>
  <c r="BB168" i="6"/>
  <c r="BB295" i="6"/>
  <c r="BB224" i="6"/>
  <c r="BB351" i="6"/>
  <c r="BB201" i="6"/>
  <c r="BB36" i="6"/>
  <c r="BB88" i="6"/>
  <c r="BB342" i="6"/>
  <c r="BB54" i="6"/>
  <c r="BB82" i="6"/>
  <c r="BB148" i="6"/>
  <c r="BB199" i="6"/>
  <c r="BB377" i="6"/>
  <c r="BB261" i="6"/>
  <c r="BB283" i="6"/>
  <c r="BB130" i="6"/>
  <c r="BB382" i="6"/>
  <c r="BB321" i="6"/>
  <c r="BB160" i="6"/>
  <c r="BB291" i="6"/>
  <c r="BB74" i="6"/>
  <c r="BB111" i="6"/>
  <c r="BB171" i="6"/>
  <c r="BB213" i="6"/>
  <c r="BB359" i="6"/>
  <c r="BB32" i="6"/>
  <c r="BB320" i="6"/>
  <c r="BB176" i="6"/>
  <c r="BB248" i="6"/>
  <c r="BB180" i="6"/>
  <c r="BB290" i="6"/>
  <c r="BB50" i="6"/>
  <c r="BB138" i="6"/>
  <c r="BB260" i="6"/>
  <c r="BB164" i="6"/>
  <c r="BB94" i="6"/>
  <c r="BB349" i="6"/>
  <c r="BB15" i="6"/>
  <c r="BB169" i="6"/>
  <c r="BB208" i="6"/>
  <c r="BB228" i="6"/>
  <c r="BB18" i="6"/>
  <c r="BB267" i="6"/>
  <c r="BB12" i="6"/>
  <c r="BB190" i="6"/>
  <c r="BB288" i="6"/>
  <c r="BB236" i="6"/>
  <c r="BB11" i="6"/>
  <c r="BB234" i="6"/>
  <c r="BB286" i="6"/>
  <c r="BB119" i="6"/>
  <c r="BB264" i="6"/>
  <c r="BB341" i="6"/>
  <c r="BB362" i="6"/>
  <c r="BB223" i="6"/>
  <c r="BB200" i="6"/>
  <c r="BB131" i="6"/>
  <c r="BB373" i="6"/>
  <c r="BB159" i="6"/>
  <c r="BB8" i="6"/>
  <c r="BB172" i="6"/>
  <c r="BB380" i="6"/>
  <c r="BB364" i="6"/>
  <c r="BB233" i="6"/>
  <c r="BB113" i="6"/>
  <c r="BB300" i="6"/>
  <c r="BB314" i="6"/>
  <c r="BB170" i="6"/>
  <c r="BB145" i="6"/>
  <c r="BB149" i="6"/>
  <c r="BB244" i="6"/>
  <c r="BB115" i="6"/>
  <c r="BB227" i="6"/>
  <c r="BB322" i="6"/>
  <c r="BB271" i="6"/>
  <c r="BB79" i="6"/>
  <c r="BB275" i="6"/>
  <c r="BB353" i="6"/>
  <c r="BB311" i="6"/>
  <c r="BB340" i="6"/>
  <c r="BB70" i="6"/>
  <c r="BB73" i="6"/>
  <c r="BB212" i="6"/>
  <c r="BB238" i="6"/>
  <c r="BB296" i="6"/>
  <c r="BB302" i="6"/>
  <c r="BB197" i="6"/>
  <c r="BB259" i="6"/>
  <c r="BB99" i="6"/>
  <c r="BB184" i="6"/>
  <c r="BB45" i="6"/>
  <c r="BB274" i="6"/>
  <c r="BB204" i="6"/>
  <c r="BB43" i="6"/>
  <c r="BB352" i="6"/>
  <c r="BB193" i="6"/>
  <c r="BB76" i="6"/>
  <c r="BB243" i="6"/>
  <c r="BB107" i="6"/>
  <c r="BB333" i="6"/>
  <c r="BB231" i="6"/>
  <c r="BB53" i="6"/>
  <c r="BB102" i="6"/>
  <c r="BB385" i="6"/>
  <c r="BB154" i="6"/>
  <c r="BB163" i="6"/>
  <c r="BB250" i="6"/>
  <c r="BB14" i="6"/>
  <c r="BB85" i="6"/>
  <c r="BB144" i="6"/>
  <c r="BB350" i="6"/>
  <c r="BB210" i="6"/>
  <c r="BB386" i="6"/>
  <c r="BB230" i="6"/>
  <c r="BB379" i="6"/>
  <c r="BB369" i="6"/>
  <c r="BB378" i="6"/>
  <c r="BB306" i="6"/>
  <c r="BB37" i="6"/>
  <c r="BB166" i="6"/>
  <c r="BB205" i="6"/>
  <c r="BB242" i="6"/>
  <c r="BB246" i="6"/>
  <c r="BB202" i="6"/>
  <c r="BB384" i="6"/>
  <c r="BB276" i="6"/>
  <c r="BB9" i="6"/>
  <c r="BB374" i="6"/>
  <c r="BB186" i="6"/>
  <c r="BB133" i="6"/>
  <c r="BB262" i="6"/>
  <c r="BB324" i="6"/>
  <c r="BB312" i="6"/>
  <c r="BB147" i="6"/>
  <c r="BB326" i="6"/>
  <c r="BB127" i="6"/>
  <c r="BB368" i="6"/>
  <c r="BB347" i="6"/>
  <c r="BB316" i="6"/>
  <c r="BB194" i="6"/>
  <c r="BB252" i="6"/>
  <c r="BB24" i="6"/>
  <c r="BB109" i="6"/>
  <c r="BB358" i="6"/>
  <c r="BB367" i="6"/>
  <c r="BB124" i="6"/>
  <c r="BB366" i="6"/>
  <c r="BB332" i="6"/>
  <c r="BB284" i="6"/>
  <c r="BB188" i="6"/>
  <c r="BB135" i="6"/>
  <c r="BB313" i="6"/>
  <c r="BB343" i="6"/>
  <c r="BB17" i="6"/>
  <c r="BB304" i="6"/>
  <c r="BB334" i="6"/>
  <c r="BB272" i="6"/>
  <c r="BB123" i="6"/>
  <c r="BB143" i="6"/>
  <c r="BB240" i="6"/>
  <c r="BB192" i="6"/>
  <c r="BB182" i="6"/>
  <c r="BB325" i="6"/>
  <c r="BB249" i="6"/>
  <c r="BB254" i="6"/>
  <c r="BB220" i="6"/>
  <c r="BB310" i="6"/>
  <c r="BB16" i="6"/>
  <c r="BB10" i="6"/>
  <c r="BB256" i="6"/>
  <c r="BB80" i="6"/>
  <c r="BB239" i="6"/>
  <c r="BB174" i="6"/>
  <c r="BB299" i="6"/>
  <c r="BB13" i="6"/>
  <c r="BB355" i="6"/>
  <c r="BB298" i="6"/>
  <c r="BB273" i="6"/>
  <c r="BB318" i="6"/>
  <c r="BB258" i="6"/>
  <c r="BB388" i="6"/>
  <c r="BB51" i="6"/>
  <c r="BB198" i="6"/>
  <c r="BB151" i="6"/>
  <c r="BB266" i="6"/>
  <c r="BB270" i="6"/>
  <c r="BB226" i="6"/>
  <c r="BB280" i="6"/>
  <c r="BB282" i="6"/>
  <c r="BB196" i="6"/>
  <c r="BB161" i="6"/>
  <c r="BB155" i="6"/>
  <c r="BB139" i="6"/>
  <c r="A385" i="6" l="1"/>
  <c r="A2026" i="4"/>
  <c r="A2025" i="4"/>
  <c r="BB391" i="6"/>
  <c r="A2031" i="4" l="1"/>
  <c r="A386" i="6"/>
  <c r="A2032" i="4"/>
  <c r="A2028" i="4"/>
  <c r="A2033" i="4"/>
  <c r="A2027" i="4"/>
  <c r="A2029" i="4"/>
  <c r="A2030" i="4"/>
  <c r="A387" i="6" l="1"/>
  <c r="A2034" i="4"/>
  <c r="A2035" i="4"/>
  <c r="A388" i="6" l="1"/>
  <c r="A2038" i="4"/>
  <c r="A2037" i="4"/>
  <c r="A2036" i="4"/>
  <c r="A389" i="6" l="1"/>
  <c r="A2039" i="4"/>
  <c r="A2041" i="4"/>
  <c r="A2040" i="4"/>
  <c r="A2044" i="4" l="1"/>
  <c r="A2042" i="4"/>
  <c r="A2043" i="4"/>
  <c r="A2045" i="4"/>
</calcChain>
</file>

<file path=xl/comments1.xml><?xml version="1.0" encoding="utf-8"?>
<comments xmlns="http://schemas.openxmlformats.org/spreadsheetml/2006/main">
  <authors>
    <author>User</author>
  </authors>
  <commentList>
    <comment ref="AI1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техпаспорте ошибка площади бойлерной пом. 2 (S не 44,2 м2, а 101,1 м2), поэтому S подвала увеличена на 56,9 м2)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Исправить в ГИС плошадь ОИ с учетом чердака (сейчас 565,5 м2 + чердак рассчитать)</t>
        </r>
      </text>
    </comment>
    <comment ref="AM10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Росреестре не зарегистр. Вся площадь (будем писать КУИ)</t>
        </r>
      </text>
    </comment>
    <comment ref="AI12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данные нежилых помещений, в т.ч. бойлерная 60,1м2, не совпадает с S подвала, т.к. в нежилых помещениях выполнена перепланировка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искл. П. 33 мусорник
</t>
        </r>
      </text>
    </comment>
    <comment ref="AM12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 площади искл. Техканалы, но вошла пл. мусорников 8,1 и 8,3м2 (будем писать КУИ)</t>
        </r>
      </text>
    </comment>
    <comment ref="AM17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 искл. К. 4 и к. 24
</t>
        </r>
      </text>
    </comment>
    <comment ref="AI18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Площадь подвала по новому техпаспорту
</t>
        </r>
      </text>
    </comment>
    <comment ref="AO18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Площадь спецпом. По новому техпаспорту
</t>
        </r>
      </text>
    </comment>
    <comment ref="AQ18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Площадь л/кл + тамбура по новому техпаспорту
</t>
        </r>
      </text>
    </comment>
    <comment ref="AM20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 вычетом к.13</t>
        </r>
      </text>
    </comment>
    <comment ref="AU24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чердаке есть жилое помещение S=129,6 мансарды кв. 91 (в собств.)</t>
        </r>
      </text>
    </comment>
    <comment ref="AY24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решению сода вошли в состав ОИ
</t>
        </r>
      </text>
    </comment>
    <comment ref="AM26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искл. Мусорник
</t>
        </r>
      </text>
    </comment>
    <comment ref="BA26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замерам S=36,7 м2, по техпаспорту S=32,2 м2
</t>
        </r>
      </text>
    </comment>
    <comment ref="AM28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+ком. 31 пл. 5,7м2
</t>
        </r>
      </text>
    </comment>
    <comment ref="AI28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Площадь цокольного этажа по техпаспорту
</t>
        </r>
      </text>
    </comment>
    <comment ref="AM29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искл. Пом.2 пл. 55м2 и пом. 3 пл. 83,2м2 (фактически это техканалы)
</t>
        </r>
      </text>
    </comment>
    <comment ref="AM30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искл. Техканалы к. 20,21,22,23,24
</t>
        </r>
      </text>
    </comment>
    <comment ref="AM33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 вычетом техканалов и кладовки
</t>
        </r>
      </text>
    </comment>
    <comment ref="AM35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 вычетом складов и свободных пом.</t>
        </r>
      </text>
    </comment>
    <comment ref="BA35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Площадь не совпадает с данными технического паспорта, по паспорту 56,7 м2
</t>
        </r>
      </text>
    </comment>
    <comment ref="BC35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техпаспорте указано неправильно расположение трансформаторной к. 3,4, часть помещений относится к ОИ (к.1,2). Площадь указана по фактическим замерам.</t>
        </r>
      </text>
    </comment>
    <comment ref="AM36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 вычетом техканалов
</t>
        </r>
      </text>
    </comment>
    <comment ref="AM36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 вычетом техканалов
</t>
        </r>
      </text>
    </comment>
    <comment ref="AM36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Уточнить площадь, в техпаспорте ошибка в площади спецпом.</t>
        </r>
      </text>
    </comment>
    <comment ref="M24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Площадь не совпадает с техпаспортом, есть выписка с Росреестра
</t>
        </r>
      </text>
    </comment>
    <comment ref="M27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Есть выписка на 37,9 м2
</t>
        </r>
      </text>
    </comment>
    <comment ref="M27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Есть выписка на 37,9 м2
</t>
        </r>
      </text>
    </comment>
    <comment ref="M48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техпаспорте в экспликации не учтена к. 8 пл. 10,5м2
</t>
        </r>
      </text>
    </comment>
    <comment ref="M56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т.ч. 177,3 м2 оформлено в собственность РФ</t>
        </r>
      </text>
    </comment>
    <comment ref="M56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т.ч. 177,3 м2 оформлено в собственность РФ</t>
        </r>
      </text>
    </comment>
    <comment ref="M56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т.ч. 177,3 м2 оформлено в собственность РФ</t>
        </r>
      </text>
    </comment>
    <comment ref="M68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есть выписка на 76,9м2
</t>
        </r>
      </text>
    </comment>
    <comment ref="M68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Есть выписки на 111,2 м2+76,9 м2
</t>
        </r>
      </text>
    </comment>
    <comment ref="M69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Есть выписки на 111,2 м2+76,9 м2
</t>
        </r>
      </text>
    </comment>
    <comment ref="M72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есть выписка на 226 м2
</t>
        </r>
      </text>
    </comment>
    <comment ref="M74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есть выписка на 298,2м2
</t>
        </r>
      </text>
    </comment>
    <comment ref="G99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Разобраться, часть помещений на Горького, 27</t>
        </r>
      </text>
    </comment>
    <comment ref="M99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есть выписка на 96,6 м2 владелец РФ)</t>
        </r>
      </text>
    </comment>
    <comment ref="M99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есть выписка на 96,6 м2 владелец РФ)</t>
        </r>
      </text>
    </comment>
    <comment ref="M109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учтена площадь вспомогательных помещений</t>
        </r>
      </text>
    </comment>
    <comment ref="M124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учтена площадь вспомогательных помещений
</t>
        </r>
      </text>
    </comment>
    <comment ref="D128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Ранее кровельная мастерская ООО УК Логист</t>
        </r>
      </text>
    </comment>
    <comment ref="K142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решению суда помещение бойлерной отнесено к ОИ МКД
</t>
        </r>
      </text>
    </comment>
    <comment ref="M144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учтено еще два спецпом.</t>
        </r>
      </text>
    </comment>
    <comment ref="M146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учтено еще одно спецпом.</t>
        </r>
      </text>
    </comment>
    <comment ref="M149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оформили</t>
        </r>
      </text>
    </comment>
    <comment ref="S15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 этаж 177,1м2; подвал 80,6м2</t>
        </r>
      </text>
    </comment>
    <comment ref="S152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 этаж 177,1м2; подвал 80,6м2</t>
        </r>
      </text>
    </comment>
    <comment ref="S152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 этаж 177,1м2; подвал 80,6м2</t>
        </r>
      </text>
    </comment>
    <comment ref="K152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цоколе</t>
        </r>
      </text>
    </comment>
    <comment ref="M154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учтена площадь вспомогательных пом.</t>
        </r>
      </text>
    </comment>
    <comment ref="M155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учтена площадь вспомогательных помещений
</t>
        </r>
      </text>
    </comment>
    <comment ref="M156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см. Чапаева, 23
</t>
        </r>
      </text>
    </comment>
    <comment ref="M160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вся площадь зарегистрирована
</t>
        </r>
      </text>
    </comment>
    <comment ref="I165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разобраться с КУИ почему не зарегистрировали всю площадь???
</t>
        </r>
      </text>
    </comment>
    <comment ref="I177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Нужно разобраться с КУИ почему не зарегистрировали???
</t>
        </r>
      </text>
    </comment>
    <comment ref="M209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оформлено</t>
        </r>
      </text>
    </comment>
    <comment ref="M209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Аренда МУ Отдых 112 м2
Есть две выписки с Росреестра на 125,1+55,9
</t>
        </r>
      </text>
    </comment>
    <comment ref="M209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Аренда МУ Отдых 112 м2
Есть две выписки с Росреестра на 125,1+55,9
</t>
        </r>
      </text>
    </comment>
    <comment ref="M210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Единое пом. с Наб. 14</t>
        </r>
      </text>
    </comment>
    <comment ref="J212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 минусом аренды пристроя на Гагарина, 10 площадью 11,5 м2
</t>
        </r>
      </text>
    </comment>
  </commentList>
</comments>
</file>

<file path=xl/sharedStrings.xml><?xml version="1.0" encoding="utf-8"?>
<sst xmlns="http://schemas.openxmlformats.org/spreadsheetml/2006/main" count="9385" uniqueCount="2842">
  <si>
    <t>Пантелеева Наталья Геннадьевна</t>
  </si>
  <si>
    <t>Цуркан Вероника Валентиновна</t>
  </si>
  <si>
    <t>под.2</t>
  </si>
  <si>
    <t>Савельев Денис Анатольевич</t>
  </si>
  <si>
    <t>подвал</t>
  </si>
  <si>
    <t>пристрой</t>
  </si>
  <si>
    <t>Никитин Андрей Викторович</t>
  </si>
  <si>
    <t>Алонцев Евгений Владимирович</t>
  </si>
  <si>
    <t>Гайфуллина Гузалия Мукасымовна</t>
  </si>
  <si>
    <t>Парикмахерская</t>
  </si>
  <si>
    <t>Яковлева Светлана Анатольевна</t>
  </si>
  <si>
    <t>ЗАО "ТАНДЕР" Магнитогорский филиал</t>
  </si>
  <si>
    <t>Колотыгина Людмила Григорьевна</t>
  </si>
  <si>
    <t>ИП Першукова Татьяна Анатольевна</t>
  </si>
  <si>
    <t>Голотюк Андрей Петрович</t>
  </si>
  <si>
    <t>ИП  Быстров Андрей Михайлович</t>
  </si>
  <si>
    <t>Ермилов Владимир Сергеевич</t>
  </si>
  <si>
    <t>Авдиенко Надежда Евгеньевна</t>
  </si>
  <si>
    <t>ИП Селякова Татьяна Петровна</t>
  </si>
  <si>
    <t>Капцан Феликс Виленович</t>
  </si>
  <si>
    <t>Колесников Виктор Владимирович</t>
  </si>
  <si>
    <t>Данюкова Наталья Александровна</t>
  </si>
  <si>
    <t>Жаксалыкова Кулямза Давкаевна</t>
  </si>
  <si>
    <t>Архипов Илья Анатольевич</t>
  </si>
  <si>
    <t>Федосеев Дмитрий Валерьевич</t>
  </si>
  <si>
    <t>Плеханова Наталья Петровна</t>
  </si>
  <si>
    <t>ОАО "Уральский банк реконструкции и развития"</t>
  </si>
  <si>
    <t>Мартынсон Ирина Викторовна</t>
  </si>
  <si>
    <t>ООО "Содействие"</t>
  </si>
  <si>
    <t>Карташов Виктор Альбертович</t>
  </si>
  <si>
    <t>Морскова Ирина Олеговна</t>
  </si>
  <si>
    <t>Склярова Клавдия Петровна</t>
  </si>
  <si>
    <t>Жувагина Надежда Витальевна</t>
  </si>
  <si>
    <t>Малахов Сергей Александрович</t>
  </si>
  <si>
    <t>Шлюбченко Сергей Тихонович</t>
  </si>
  <si>
    <t>Пигасова Ольга Владимировна</t>
  </si>
  <si>
    <t>Цибизов Алексей Николаевич</t>
  </si>
  <si>
    <t>Лантратова Юлия Владимировна</t>
  </si>
  <si>
    <t>Бужан Лидия Иосифовна</t>
  </si>
  <si>
    <t>Семенычев Андрей Борисович</t>
  </si>
  <si>
    <t>Лаптун Ирина Викторовна</t>
  </si>
  <si>
    <t>Сухарев Антон Юрьевич</t>
  </si>
  <si>
    <t>Кулдыркаева Юлия Сергеена</t>
  </si>
  <si>
    <t>М-н "Автозвук" (нежилое помещение №7)</t>
  </si>
  <si>
    <t>Кочнева Татьяна Михайловна</t>
  </si>
  <si>
    <t>Медиц. центр "Настроение"</t>
  </si>
  <si>
    <t>пом.4 (кв.1)</t>
  </si>
  <si>
    <t>Шабалина Марина Михайловна</t>
  </si>
  <si>
    <t>Шашкин Никита Александрович</t>
  </si>
  <si>
    <t>Слугин Александр Петрович</t>
  </si>
  <si>
    <t>Вейс Виктор Эдвинович</t>
  </si>
  <si>
    <t>Головацкий Валерий Николаевич</t>
  </si>
  <si>
    <t>Труханова Марина Владимировна</t>
  </si>
  <si>
    <t>Кредит Урал Банк ОАО</t>
  </si>
  <si>
    <t>Жлудов Владислав Викторович</t>
  </si>
  <si>
    <t>Шелякова Елена Вячеславовна</t>
  </si>
  <si>
    <t>Кофанов Сергей Евгеньевич</t>
  </si>
  <si>
    <t>ИП Коршунова Лариса Семеновна</t>
  </si>
  <si>
    <t xml:space="preserve"> </t>
  </si>
  <si>
    <t>Сидоров АИ</t>
  </si>
  <si>
    <t>пом.20 (кв.13,14)</t>
  </si>
  <si>
    <t>Фёдорова НА</t>
  </si>
  <si>
    <t>ООО "МАГСЕРВИС"</t>
  </si>
  <si>
    <t>пом.22 (кв.20)</t>
  </si>
  <si>
    <t>Аглиуллин РГ</t>
  </si>
  <si>
    <t>пом.1,2 подвал</t>
  </si>
  <si>
    <t>Чичканова ТГ</t>
  </si>
  <si>
    <t>пом.7</t>
  </si>
  <si>
    <t>Дунаева Светлана Степановна</t>
  </si>
  <si>
    <t>ИП Сайфумулюкова Равза Сагитовна</t>
  </si>
  <si>
    <t>Легкова Светлана Евгеньевна</t>
  </si>
  <si>
    <t>Ширяева Лариса Павловна</t>
  </si>
  <si>
    <t>МОУ ДОД ДЮЦ "ЭГО" г. Магнитогорска</t>
  </si>
  <si>
    <t>ООО "Альянс"</t>
  </si>
  <si>
    <t>ИП Тропынина Галина Ивановна</t>
  </si>
  <si>
    <t>Лазарева Галина Исаевна</t>
  </si>
  <si>
    <t>пом.3</t>
  </si>
  <si>
    <t>ИП Андреев Евгений Александрович</t>
  </si>
  <si>
    <t>ООО "Элайт - Строй"</t>
  </si>
  <si>
    <t>М-н Уют</t>
  </si>
  <si>
    <t>Сазонов Владимир Алексеевич</t>
  </si>
  <si>
    <t>ИП Запьянцев Герман Иванович</t>
  </si>
  <si>
    <t>Мезенцева Светлана Васильевна</t>
  </si>
  <si>
    <t>Боровченко Галина Михайловна</t>
  </si>
  <si>
    <t>Фокин Дмитрий Юрьевич</t>
  </si>
  <si>
    <t>ООО "Лакомка"</t>
  </si>
  <si>
    <t>Помещение 02.11.05 г.</t>
  </si>
  <si>
    <t>Щуровский Борис Сергеевич</t>
  </si>
  <si>
    <t>Голомазова Галина Викторовна</t>
  </si>
  <si>
    <t>чердак (над кв.67,68)</t>
  </si>
  <si>
    <t>цоколь/подвал</t>
  </si>
  <si>
    <t>Кровельная мастерская (собств.нужды)</t>
  </si>
  <si>
    <t>Ленина, 34</t>
  </si>
  <si>
    <t>Кол-во подъездов</t>
  </si>
  <si>
    <t>Кол-во квартир</t>
  </si>
  <si>
    <t>по л/к</t>
  </si>
  <si>
    <t>Дедкова</t>
  </si>
  <si>
    <t>Тверской</t>
  </si>
  <si>
    <t>Корж</t>
  </si>
  <si>
    <t>пом.10</t>
  </si>
  <si>
    <t>Павлов АА</t>
  </si>
  <si>
    <t>ООО "Люкс"</t>
  </si>
  <si>
    <t>Андросенко ЕВ</t>
  </si>
  <si>
    <t>Чернова</t>
  </si>
  <si>
    <t>пустующее</t>
  </si>
  <si>
    <t>пом.22 (кв.68)</t>
  </si>
  <si>
    <t>пом.23 (кв.76)</t>
  </si>
  <si>
    <t>Чистякова Светлана Алексеевна ИП</t>
  </si>
  <si>
    <t>пом.1 (кв.17,18)</t>
  </si>
  <si>
    <t>пом.1 (кв.1,2)</t>
  </si>
  <si>
    <t>ООО "Новатек"</t>
  </si>
  <si>
    <t>ООО"СКМ-ТУР"</t>
  </si>
  <si>
    <t>подвал (слесарная)</t>
  </si>
  <si>
    <t>подвал (сантехники уч.№1)</t>
  </si>
  <si>
    <t>подвал (ЖЭУ-10, электрики)</t>
  </si>
  <si>
    <t>клининговая</t>
  </si>
  <si>
    <t>столярная</t>
  </si>
  <si>
    <t>бытовка дворников, уборщицы л/к</t>
  </si>
  <si>
    <t>ЖЭУ-11</t>
  </si>
  <si>
    <t>кровельная, плотницкая</t>
  </si>
  <si>
    <t>ЖЭУ-12, бытовки (кв.30,31)</t>
  </si>
  <si>
    <t>инструментальная</t>
  </si>
  <si>
    <t>подвал (бытовки)</t>
  </si>
  <si>
    <t>ЖЭУ-16, электрики</t>
  </si>
  <si>
    <t>контора+гаражи</t>
  </si>
  <si>
    <t>склад, мастерская</t>
  </si>
  <si>
    <t>контора (сантех, электр)</t>
  </si>
  <si>
    <t>Подвал</t>
  </si>
  <si>
    <t>спец.пом.</t>
  </si>
  <si>
    <t>отд.ст.</t>
  </si>
  <si>
    <t>ООО "Производственное Коммерческое Предприятие СаввА"</t>
  </si>
  <si>
    <t>ООО "Свободная линия"</t>
  </si>
  <si>
    <t>ООО "Элит-Климат +"</t>
  </si>
  <si>
    <t>ООО " Эксперт-Надежность"</t>
  </si>
  <si>
    <t>ООО "УРАЛМЕДСЕРВИС"</t>
  </si>
  <si>
    <t>ООО "Торговый дом "Обувь"</t>
  </si>
  <si>
    <t>ООО "Жилсервис"</t>
  </si>
  <si>
    <t>ООО "Бобровский Кварцит" - арен., Мусина ОВ - собств</t>
  </si>
  <si>
    <t>ООО "Спецремстрой - 2"</t>
  </si>
  <si>
    <t>ООО "Театральный роман"</t>
  </si>
  <si>
    <t>Суворина Надежда Николаевна</t>
  </si>
  <si>
    <t>КУБ ОАО</t>
  </si>
  <si>
    <t>ИП Жорник Игорь Владиславович</t>
  </si>
  <si>
    <t>ООО "АНТАРЕС"</t>
  </si>
  <si>
    <t>ООО "Антарес"</t>
  </si>
  <si>
    <t>Миняев Константин Владимирович</t>
  </si>
  <si>
    <t>Лысиков Сергей Анатольевич</t>
  </si>
  <si>
    <t>ЗАО "Центр Прогрессивные медицинские технологии"</t>
  </si>
  <si>
    <t>ООО "Агрофирма Ариант"</t>
  </si>
  <si>
    <t>пом.6 (кв.27)</t>
  </si>
  <si>
    <t>Кирьянок Валерий Федорович</t>
  </si>
  <si>
    <t>Савельева Ирина Николаевна</t>
  </si>
  <si>
    <t>Никифорова Екатерина Ивановна</t>
  </si>
  <si>
    <t>Осокин Валерий Александрович</t>
  </si>
  <si>
    <t>Блинова Лидия Алексеевна</t>
  </si>
  <si>
    <t>пом.5 подвал</t>
  </si>
  <si>
    <t>ИП Янков Геннадий Николаевич</t>
  </si>
  <si>
    <t>ИП Князева Виктория Михайловна</t>
  </si>
  <si>
    <t>Нотариус Салопаева Ирина Петровна</t>
  </si>
  <si>
    <t>Сивак Сергей Васильевич</t>
  </si>
  <si>
    <t>Антимонов Вадим Михайлович</t>
  </si>
  <si>
    <t>пом.10 подвал</t>
  </si>
  <si>
    <t>Давлетбердина Инна Владимировна</t>
  </si>
  <si>
    <t>Репринцев Виктор Алексеевич</t>
  </si>
  <si>
    <t>Гараж. бокс №4 (нет ГВС)</t>
  </si>
  <si>
    <t>Митиогло Михаил Афанасьевич</t>
  </si>
  <si>
    <t>Гараж. бокс №1</t>
  </si>
  <si>
    <t>Гараж. бокс №3</t>
  </si>
  <si>
    <t>Наумкин Сергей Васильевич</t>
  </si>
  <si>
    <t>ИП Лабецкая Лиана Валерьевна</t>
  </si>
  <si>
    <t>ООО "Сольди"</t>
  </si>
  <si>
    <t>Рожков Евгений Валентинович</t>
  </si>
  <si>
    <t>Тишина Елена Михайловна</t>
  </si>
  <si>
    <t>Платонова Галина Петровна (нотариус)</t>
  </si>
  <si>
    <t>Бурханова Альфинур Мухаматнуровна</t>
  </si>
  <si>
    <t>ИП Колотилин Евгений Викторович</t>
  </si>
  <si>
    <t>ООО "Урал Пром Инвест"</t>
  </si>
  <si>
    <t>Магнитогорское отделение ВТОО "Союз художников России"</t>
  </si>
  <si>
    <t>ООО "Маяк"</t>
  </si>
  <si>
    <t>Середа Олег Леонидович</t>
  </si>
  <si>
    <t>ИП Красношапка Ольга Михайловна</t>
  </si>
  <si>
    <t>ИП Герасимова Галина Михайловна</t>
  </si>
  <si>
    <t>ИП Иванкова Александра Ивановна</t>
  </si>
  <si>
    <t>ИП Матвеев Дмитрий Сергеевич</t>
  </si>
  <si>
    <t>ИП Томошев Дмитрий Михайлович</t>
  </si>
  <si>
    <t>Андреев Сергей Алексеевич</t>
  </si>
  <si>
    <t>ИП Колесниченко Татьяна Ивановна</t>
  </si>
  <si>
    <t>Петина Людмила Дмитриевна</t>
  </si>
  <si>
    <t>Галахов Николай Викторович</t>
  </si>
  <si>
    <t>ООО "ЖРЭУ № 5" города Магнитогорска (собственные нужды)</t>
  </si>
  <si>
    <t>Постникова Танзиля Шайхуллаевна</t>
  </si>
  <si>
    <t>Степанова Ирина Викторовна</t>
  </si>
  <si>
    <t>Евреева Лера Закировна</t>
  </si>
  <si>
    <t>ООО "Магазин "Мирный"</t>
  </si>
  <si>
    <t>ИП Маргевич Владимир Иосифович</t>
  </si>
  <si>
    <t>ООО "Фирма "32"</t>
  </si>
  <si>
    <t>Муратов Эдуард Фаатович</t>
  </si>
  <si>
    <t>Серова Наталья Евгеньевна</t>
  </si>
  <si>
    <t>ИП Кузнецова Елена Владимировна</t>
  </si>
  <si>
    <t>Магнитогорское отделение №1693 Сбербанка России ОАО</t>
  </si>
  <si>
    <t>Сберкасса</t>
  </si>
  <si>
    <t>ООО "Уралочка- 26"</t>
  </si>
  <si>
    <t>ИП Аксенова Людмила Александровна</t>
  </si>
  <si>
    <t>Гамей Татьяна Ивановна</t>
  </si>
  <si>
    <t>Дворецкая Анастасия Сергеевна</t>
  </si>
  <si>
    <t>Гареев РР</t>
  </si>
  <si>
    <t>пом.5</t>
  </si>
  <si>
    <t>Фабричкина Елена Валерьевна</t>
  </si>
  <si>
    <t>Степанова Ирина Владимировна</t>
  </si>
  <si>
    <t>Ясько Галина Николаевна</t>
  </si>
  <si>
    <t>Кнутов Валерий Николаевич</t>
  </si>
  <si>
    <t>пом.5 пл.53,8 встр+31,4 пристр</t>
  </si>
  <si>
    <t>АНОДПО "Альянс"</t>
  </si>
  <si>
    <t xml:space="preserve">пом.5 </t>
  </si>
  <si>
    <t>ЗАО "ЭР-Телеком Холдинг"</t>
  </si>
  <si>
    <t>пом.15 (кв.50)</t>
  </si>
  <si>
    <t>пом.17 (кв.48)</t>
  </si>
  <si>
    <t>пом.8 (кв.11)</t>
  </si>
  <si>
    <t>пом.20 (кв.3)</t>
  </si>
  <si>
    <t>ООО "Сервис-Электро"</t>
  </si>
  <si>
    <t>пом.8 (кв.30)</t>
  </si>
  <si>
    <t>пом.3 (кв.18)</t>
  </si>
  <si>
    <t>пом.3  пл.148,1</t>
  </si>
  <si>
    <t>Алимова Светлана Александровна</t>
  </si>
  <si>
    <t>Грещишин Елена Львовна</t>
  </si>
  <si>
    <t>Макагонов Борис Геннадьевич</t>
  </si>
  <si>
    <t>Зайцев Антон Николаевич</t>
  </si>
  <si>
    <t>Гилязова Эльвира Наилевна</t>
  </si>
  <si>
    <t>пом.19</t>
  </si>
  <si>
    <t>Ванюкова Нина Михайловна</t>
  </si>
  <si>
    <t>ИП Ефимов Александр Валентинович</t>
  </si>
  <si>
    <t>Гринцова Галина Владимировна</t>
  </si>
  <si>
    <t>Мурзин Алексей Сергеевич</t>
  </si>
  <si>
    <t>ИП Бурцев Анатолий Владимирович</t>
  </si>
  <si>
    <t>ООО "Чудесница"</t>
  </si>
  <si>
    <t>Ермилова Людмила Васильевна</t>
  </si>
  <si>
    <t>Краснова Любовь Федоровна</t>
  </si>
  <si>
    <t>Архив</t>
  </si>
  <si>
    <t>Ячменев Евгений Михайлович</t>
  </si>
  <si>
    <t>Гюльмамедов Иса Гюльмамед оглы</t>
  </si>
  <si>
    <t>свой эл.</t>
  </si>
  <si>
    <t>Кутузов Сергей Геннадьевич</t>
  </si>
  <si>
    <t>Александров Александр Васильевич</t>
  </si>
  <si>
    <t>Кирик Сергей Васильевич</t>
  </si>
  <si>
    <t>Махмутов Виль Равильевич</t>
  </si>
  <si>
    <t>Мамаев Олег Анатольевич</t>
  </si>
  <si>
    <t>Зубков Владимир Анатольевич</t>
  </si>
  <si>
    <t>ООО "ФинансРезерв"</t>
  </si>
  <si>
    <t>Матулла Николай Александрович</t>
  </si>
  <si>
    <t>Пивоваров Сергей Иванович</t>
  </si>
  <si>
    <t>Листопад Евгений Федорович</t>
  </si>
  <si>
    <t>Литвин Сергей Иванович</t>
  </si>
  <si>
    <t>Скворцова Наталья Владимировна</t>
  </si>
  <si>
    <t>подвал+под.2</t>
  </si>
  <si>
    <t>Васильева-Склярова Оксана Юрьевна</t>
  </si>
  <si>
    <t>Струков Владимир Николаевич</t>
  </si>
  <si>
    <t>подвал+под.3</t>
  </si>
  <si>
    <t>Сторожев Александр Викторович</t>
  </si>
  <si>
    <t>Говоров Александр Васильевич</t>
  </si>
  <si>
    <t>Новикова Ирина Владимировна</t>
  </si>
  <si>
    <t>Феофанова Светлана Витальевна</t>
  </si>
  <si>
    <t>Юдин Василий Петрович</t>
  </si>
  <si>
    <t>Филатов Александр Николаевич</t>
  </si>
  <si>
    <t>Чагова Юлия Дамировна</t>
  </si>
  <si>
    <t>Дятел Наталья Петровна</t>
  </si>
  <si>
    <t>Аверьянова Татьяна Петровна</t>
  </si>
  <si>
    <t>Акрамов Исмат Акпарович</t>
  </si>
  <si>
    <t>Тараненко Александр Сергеевич</t>
  </si>
  <si>
    <t>Гараж ,бокс №2</t>
  </si>
  <si>
    <t>Гараж ,бокс №4</t>
  </si>
  <si>
    <t>Платонов Вячеслав Викторович</t>
  </si>
  <si>
    <t>Гараж ,бокс №1</t>
  </si>
  <si>
    <t>Гараж ,бокс №3</t>
  </si>
  <si>
    <t>Иванов Герман Евгеньевич</t>
  </si>
  <si>
    <t>Суворина Евгения Викторовна</t>
  </si>
  <si>
    <t>Долженкова Лия Сауловна</t>
  </si>
  <si>
    <t>ИП Коробейникова Ирина Николаевна</t>
  </si>
  <si>
    <t>М-н "Окна и двери" 19.04.2006 г.</t>
  </si>
  <si>
    <t>Шурыгина Надежда Александровна</t>
  </si>
  <si>
    <t>М-н "Наряды от Михаила"(нежилое помещение №4)</t>
  </si>
  <si>
    <t>ИП Солоненко Александр Петрович</t>
  </si>
  <si>
    <t>Ломбард - нежилое помещение № 2</t>
  </si>
  <si>
    <t>Биккинина Зайтуна Мухаматнуровна</t>
  </si>
  <si>
    <t>Воробьева Марина Алексеевна</t>
  </si>
  <si>
    <t>Полякова Ирина Алексеевна</t>
  </si>
  <si>
    <t>М-н "Женева" 07.07.2006 г.</t>
  </si>
  <si>
    <t>Батырова Альфия Габдулбаровна</t>
  </si>
  <si>
    <t>пом.3 - кв.18</t>
  </si>
  <si>
    <t>Болховских Таисия Григорьевна</t>
  </si>
  <si>
    <t>Кащенко Александр Сергеевич</t>
  </si>
  <si>
    <t>Бандера Афанасьев Димитрий</t>
  </si>
  <si>
    <t>ООО "Стоматекс"</t>
  </si>
  <si>
    <t>Абросимов Игорь Алексеевич</t>
  </si>
  <si>
    <t>ООО "Регион Строй Индустрия</t>
  </si>
  <si>
    <t>Осинцева Ольга Вячеславовна</t>
  </si>
  <si>
    <t>Дедевич Алексей Константинович</t>
  </si>
  <si>
    <t>ООО "Урал-Укр-Диамант"</t>
  </si>
  <si>
    <t>ООО "Кедр"</t>
  </si>
  <si>
    <t>ООО "Спорттовары"</t>
  </si>
  <si>
    <t>ИП Морозова Елена Борисовна</t>
  </si>
  <si>
    <t>Коротовских Алексей Анатольевич</t>
  </si>
  <si>
    <t>ООО "Ежик"</t>
  </si>
  <si>
    <t>Запорожец Виктор Геннадьевич</t>
  </si>
  <si>
    <t>Центр социального обслуживания (МУ "КЦСОН")</t>
  </si>
  <si>
    <t>ОАО "Магнитогорский молочный комбинат"</t>
  </si>
  <si>
    <t>Зарипов Рузель Раушанович</t>
  </si>
  <si>
    <t>Уткин Дмитрий Александрович</t>
  </si>
  <si>
    <t>ИП Колесников Виктор Владимирович</t>
  </si>
  <si>
    <t>Учебный центр</t>
  </si>
  <si>
    <t>Рындина Валентина Петровна</t>
  </si>
  <si>
    <t>Шестов Михаил Александрович, Маструев</t>
  </si>
  <si>
    <t>Аникеева Ирина Ревкатовна</t>
  </si>
  <si>
    <t>Корешкова Елена Владимировна</t>
  </si>
  <si>
    <t>Марайкин Станислав Иванович</t>
  </si>
  <si>
    <t>Балыков Сергей Владимирович</t>
  </si>
  <si>
    <t>Гребенщикова Анастасия Алексеевна</t>
  </si>
  <si>
    <t>Вознесенский Алексей Анатольевич</t>
  </si>
  <si>
    <t>чердак</t>
  </si>
  <si>
    <t>ИП Воробьев Александр Николаевич</t>
  </si>
  <si>
    <t>бокс 3а</t>
  </si>
  <si>
    <t>Сегал Наталья Владимировна</t>
  </si>
  <si>
    <t>пом.3 гараж</t>
  </si>
  <si>
    <t>Палей Лина Хайдаровна</t>
  </si>
  <si>
    <t>"Танго-пицца"( Нежилое помещение)</t>
  </si>
  <si>
    <t>Кочарян Армен Жоржикович</t>
  </si>
  <si>
    <t>Врубель Татьяна Семеновна</t>
  </si>
  <si>
    <t>ИП Хвошнянская Юлия Салаватовна</t>
  </si>
  <si>
    <t>ООО "ОРЗА-УРАЛ"</t>
  </si>
  <si>
    <t>Глазатов Александр Александрович</t>
  </si>
  <si>
    <t>пом.14</t>
  </si>
  <si>
    <t>пом.20</t>
  </si>
  <si>
    <t>пом.13</t>
  </si>
  <si>
    <t>Летярина Галина Степановна</t>
  </si>
  <si>
    <t>Шрейдер Татьяна Александровна</t>
  </si>
  <si>
    <t>Мофа Надежда Арсентьевна</t>
  </si>
  <si>
    <t>Кулешова Светлана Васильевна</t>
  </si>
  <si>
    <t>Капица Альфия Раяловна</t>
  </si>
  <si>
    <t>Кашина Нина Петровна</t>
  </si>
  <si>
    <t>Чернов Денис Алексеевич</t>
  </si>
  <si>
    <t>Багаутдинова Сония Саитовна</t>
  </si>
  <si>
    <t>Александрова Ирина Михайловна</t>
  </si>
  <si>
    <t>ИП Шаульская Марина Александровна</t>
  </si>
  <si>
    <t>М-н "Саморез"</t>
  </si>
  <si>
    <t>Саматов АВ</t>
  </si>
  <si>
    <t>Управление культуры и спорта (нежилое помещение №1)</t>
  </si>
  <si>
    <t>Кизилова Татьяна Геннадьевна</t>
  </si>
  <si>
    <t>ООО "Спецтехкомплект-М"</t>
  </si>
  <si>
    <t>пом.16</t>
  </si>
  <si>
    <t>Бондяева Любовь Александровна</t>
  </si>
  <si>
    <t>№ п/п</t>
  </si>
  <si>
    <t>Этажность дома</t>
  </si>
  <si>
    <t>Горького, 3</t>
  </si>
  <si>
    <t>Горького, 9</t>
  </si>
  <si>
    <t>Горького, 11</t>
  </si>
  <si>
    <t>Комсомольская, 3</t>
  </si>
  <si>
    <t>Комсомольская, 3/1</t>
  </si>
  <si>
    <t>Комсомольская, 7</t>
  </si>
  <si>
    <t>Комсомольская, 9</t>
  </si>
  <si>
    <t>Комсомольская, 11</t>
  </si>
  <si>
    <t>Комсомольская, 13</t>
  </si>
  <si>
    <t>Комсомольская, 15</t>
  </si>
  <si>
    <t>Комсомольская, 17</t>
  </si>
  <si>
    <t>Комсомольская, 19</t>
  </si>
  <si>
    <t>Куйбышева, 4</t>
  </si>
  <si>
    <t>Куйбышева, 10</t>
  </si>
  <si>
    <t>Куйбышева, 11</t>
  </si>
  <si>
    <t>Куйбышева, 11/1</t>
  </si>
  <si>
    <t>Куйбышева, 12</t>
  </si>
  <si>
    <t>Ломоносова, 2</t>
  </si>
  <si>
    <t>Ломоносова, 3</t>
  </si>
  <si>
    <t>Ломоносова, 3/1</t>
  </si>
  <si>
    <t>Ломоносова, 3/2</t>
  </si>
  <si>
    <t>Ломоносова, 4</t>
  </si>
  <si>
    <t>Ломоносова, 5</t>
  </si>
  <si>
    <t>Ломоносова, 6</t>
  </si>
  <si>
    <t>Ломоносова, 8</t>
  </si>
  <si>
    <t>Ломоносова, 9</t>
  </si>
  <si>
    <t>Ломоносова, 9/1</t>
  </si>
  <si>
    <t>Ломоносова, 10</t>
  </si>
  <si>
    <t>Ломоносова, 11</t>
  </si>
  <si>
    <t>Ломоносова, 12</t>
  </si>
  <si>
    <t>Ломоносова, 13</t>
  </si>
  <si>
    <t>Ломоносова, 13/1</t>
  </si>
  <si>
    <t>Ломоносова, 14</t>
  </si>
  <si>
    <t>Ломоносова, 15</t>
  </si>
  <si>
    <t>Ломоносова, 16</t>
  </si>
  <si>
    <t>Ломоносова, 18</t>
  </si>
  <si>
    <t>Металлургов, 2</t>
  </si>
  <si>
    <t>Металлургов, 2а</t>
  </si>
  <si>
    <t>Металлургов, 2б</t>
  </si>
  <si>
    <t>Металлургов, 4</t>
  </si>
  <si>
    <t>Металлургов, 4а</t>
  </si>
  <si>
    <t>Металлургов, 6</t>
  </si>
  <si>
    <t>Металлургов, 6/1</t>
  </si>
  <si>
    <t>Металлургов, 8</t>
  </si>
  <si>
    <t>Металлургов, 10</t>
  </si>
  <si>
    <t>Металлургов, 10/1</t>
  </si>
  <si>
    <t>Металлургов, 12</t>
  </si>
  <si>
    <t>Металлургов, 12/1</t>
  </si>
  <si>
    <t>Металлургов, 12/2</t>
  </si>
  <si>
    <t>Металлургов, 12/3</t>
  </si>
  <si>
    <t>Металлургов, 12/4</t>
  </si>
  <si>
    <t>Строителей, 43</t>
  </si>
  <si>
    <t>Строителей, 43/1</t>
  </si>
  <si>
    <t>Строителей, 45</t>
  </si>
  <si>
    <t>Строителей, 47</t>
  </si>
  <si>
    <t>Строителей, 48</t>
  </si>
  <si>
    <t>Строителей, 49</t>
  </si>
  <si>
    <t>Строителей, 50</t>
  </si>
  <si>
    <t>Строителей, 52</t>
  </si>
  <si>
    <t>Строителей, 54</t>
  </si>
  <si>
    <t>Строителей, 54/1</t>
  </si>
  <si>
    <t>Строителей, 54/2</t>
  </si>
  <si>
    <t>Строителей, 55</t>
  </si>
  <si>
    <t>Строителей, 57</t>
  </si>
  <si>
    <t>Строителей, 58</t>
  </si>
  <si>
    <t>Строителей, 58/1</t>
  </si>
  <si>
    <t>Строителей, 58/2</t>
  </si>
  <si>
    <t>Строителей, 59</t>
  </si>
  <si>
    <t>Чапаева, 3</t>
  </si>
  <si>
    <t>Чапаева, 4</t>
  </si>
  <si>
    <t>Чапаева, 5</t>
  </si>
  <si>
    <t>Чапаева, 5/1</t>
  </si>
  <si>
    <t>Чапаева, 7</t>
  </si>
  <si>
    <t>Чапаева, 7/1</t>
  </si>
  <si>
    <t>Чапаева, 7/2</t>
  </si>
  <si>
    <t>Чапаева, 9</t>
  </si>
  <si>
    <t>Чапаева, 10</t>
  </si>
  <si>
    <t>Чапаева, 12</t>
  </si>
  <si>
    <t>Горького, 4</t>
  </si>
  <si>
    <t>Горького, 12</t>
  </si>
  <si>
    <t>Горького, 18</t>
  </si>
  <si>
    <t>Горького, 24</t>
  </si>
  <si>
    <t>Горького, 26</t>
  </si>
  <si>
    <t>Горького, 28</t>
  </si>
  <si>
    <t>Калинина, 17</t>
  </si>
  <si>
    <t>Калинина, 17/1</t>
  </si>
  <si>
    <t>Калинина, 20</t>
  </si>
  <si>
    <t>Калинина, 22</t>
  </si>
  <si>
    <t>Карла Маркса, 43</t>
  </si>
  <si>
    <t>Карла Маркса, 44</t>
  </si>
  <si>
    <t>Карла Маркса, 45/4</t>
  </si>
  <si>
    <t>Карла Маркса, 46</t>
  </si>
  <si>
    <t>Карла Маркса, 48</t>
  </si>
  <si>
    <t>Комсомольская, 21</t>
  </si>
  <si>
    <t>Комсомольская, 23</t>
  </si>
  <si>
    <t>Комсомольская, 25</t>
  </si>
  <si>
    <t>Комсомольская, 29</t>
  </si>
  <si>
    <t>Комсомольская, 37</t>
  </si>
  <si>
    <t>Ленина, 30</t>
  </si>
  <si>
    <t>Ленина, 31</t>
  </si>
  <si>
    <t>Ленина, 33</t>
  </si>
  <si>
    <t>Ленина, 35</t>
  </si>
  <si>
    <t>Ленина, 37</t>
  </si>
  <si>
    <t>Ленина, 39</t>
  </si>
  <si>
    <t>Ленина, 43</t>
  </si>
  <si>
    <t>Ленина, 43/1</t>
  </si>
  <si>
    <t>Ленина, 45</t>
  </si>
  <si>
    <t>Ленина, 45/1</t>
  </si>
  <si>
    <t>Ленина, 47</t>
  </si>
  <si>
    <t>Ленина, 47/1</t>
  </si>
  <si>
    <t>Ленина, 49</t>
  </si>
  <si>
    <t>Ленина, 51</t>
  </si>
  <si>
    <t>Ленина, 51/1</t>
  </si>
  <si>
    <t>Ленинградская, 16</t>
  </si>
  <si>
    <t>Ленинградская, 16/1</t>
  </si>
  <si>
    <t>Ленинградская, 18</t>
  </si>
  <si>
    <t>Ломоносова, 17</t>
  </si>
  <si>
    <t>Ломоносова, 19</t>
  </si>
  <si>
    <t>Ломоносова, 19/1</t>
  </si>
  <si>
    <t>Ломоносова, 22</t>
  </si>
  <si>
    <t>Ломоносова, 22/2</t>
  </si>
  <si>
    <t>Ломоносова, 23</t>
  </si>
  <si>
    <t>Ломоносова, 23/1</t>
  </si>
  <si>
    <t>Ломоносова, 26</t>
  </si>
  <si>
    <t>Ломоносова, 26/1</t>
  </si>
  <si>
    <t>Ломоносова, 26/2</t>
  </si>
  <si>
    <t>Ломоносова, 28</t>
  </si>
  <si>
    <t>Ломоносова, 34</t>
  </si>
  <si>
    <t>Металлургов, 14</t>
  </si>
  <si>
    <t>Металлургов, 15</t>
  </si>
  <si>
    <t>Металлургов, 15/1</t>
  </si>
  <si>
    <t>Металлургов, 16</t>
  </si>
  <si>
    <t>Металлургов, 16/1</t>
  </si>
  <si>
    <t>Металлургов, 17</t>
  </si>
  <si>
    <t>Металлургов, 17/1</t>
  </si>
  <si>
    <t>Металлургов, 18</t>
  </si>
  <si>
    <t>Металлургов, 18/1</t>
  </si>
  <si>
    <t>Металлургов, 18/2</t>
  </si>
  <si>
    <t>Металлургов, 19</t>
  </si>
  <si>
    <t>Металлургов, 20</t>
  </si>
  <si>
    <t>Урицкого, 7</t>
  </si>
  <si>
    <t>Урицкого, 9</t>
  </si>
  <si>
    <t>Урицкого, 16</t>
  </si>
  <si>
    <t>Урицкого, 18</t>
  </si>
  <si>
    <t>Урицкого, 20</t>
  </si>
  <si>
    <t>Урицкого, 22</t>
  </si>
  <si>
    <t>Горького, 17</t>
  </si>
  <si>
    <t>Горького, 19</t>
  </si>
  <si>
    <t>Горького, 21</t>
  </si>
  <si>
    <t>Горького, 23</t>
  </si>
  <si>
    <t>Горького, 25</t>
  </si>
  <si>
    <t>Горького, 27</t>
  </si>
  <si>
    <t>Калинина, 1</t>
  </si>
  <si>
    <t>Калинина, 3</t>
  </si>
  <si>
    <t>Калинина, 3/1</t>
  </si>
  <si>
    <t>Калинина, 3/2</t>
  </si>
  <si>
    <t>Калинина, 4</t>
  </si>
  <si>
    <t>Калинина, 4/1</t>
  </si>
  <si>
    <t>Калинина, 9</t>
  </si>
  <si>
    <t>Калинина, 10</t>
  </si>
  <si>
    <t>Калинина, 11</t>
  </si>
  <si>
    <t>Калинина, 12</t>
  </si>
  <si>
    <t>Калинина, 14</t>
  </si>
  <si>
    <t>Куйбышева, 17</t>
  </si>
  <si>
    <t>Куйбышева, 18</t>
  </si>
  <si>
    <t>Куйбышева, 20</t>
  </si>
  <si>
    <t>Куйбышева, 21</t>
  </si>
  <si>
    <t>Куйбышева, 22</t>
  </si>
  <si>
    <t>Куйбышева, 23</t>
  </si>
  <si>
    <t>Куйбышева, 24</t>
  </si>
  <si>
    <t>Куйбышева, 26</t>
  </si>
  <si>
    <t>Ленинградская, 4</t>
  </si>
  <si>
    <t>Ленинградская, 4/1</t>
  </si>
  <si>
    <t>Ленинградская, 10</t>
  </si>
  <si>
    <t>Ленинградская, 12</t>
  </si>
  <si>
    <t>Металлургов, 1</t>
  </si>
  <si>
    <t>Металлургов, 1а</t>
  </si>
  <si>
    <t>Металлургов, 3</t>
  </si>
  <si>
    <t>Металлургов, 3/1</t>
  </si>
  <si>
    <t>Металлургов, 3/2</t>
  </si>
  <si>
    <t>Металлургов, 5</t>
  </si>
  <si>
    <t>Металлургов, 5/1</t>
  </si>
  <si>
    <t>Металлургов, 7</t>
  </si>
  <si>
    <t>Металлургов, 9</t>
  </si>
  <si>
    <t>Металлургов, 9/1</t>
  </si>
  <si>
    <t>Металлургов, 11</t>
  </si>
  <si>
    <t>Металлургов, 13</t>
  </si>
  <si>
    <t>Металлургов, 13/1</t>
  </si>
  <si>
    <t>Октябрьская, 2</t>
  </si>
  <si>
    <t>Октябрьская, 2/1</t>
  </si>
  <si>
    <t>Октябрьская, 4</t>
  </si>
  <si>
    <t>Октябрьская, 6</t>
  </si>
  <si>
    <t>Октябрьская, 6/1</t>
  </si>
  <si>
    <t>Октябрьская, 8</t>
  </si>
  <si>
    <t>Октябрьская, 10</t>
  </si>
  <si>
    <t>Октябрьская, 12</t>
  </si>
  <si>
    <t>Чапаева, 11</t>
  </si>
  <si>
    <t>Чапаева, 13</t>
  </si>
  <si>
    <t>Чапаева, 15</t>
  </si>
  <si>
    <t>Чапаева, 18</t>
  </si>
  <si>
    <t>Чапаева, 20</t>
  </si>
  <si>
    <t>Чапаева, 22</t>
  </si>
  <si>
    <t>Гагарина, 14</t>
  </si>
  <si>
    <t>Гагарина, 18</t>
  </si>
  <si>
    <t>Гагарина, 18/1</t>
  </si>
  <si>
    <t>Гагарина, 20</t>
  </si>
  <si>
    <t>Гагарина, 24</t>
  </si>
  <si>
    <t>Гагарина, 28</t>
  </si>
  <si>
    <t>Гагарина, 42</t>
  </si>
  <si>
    <t>Гагарина, 44</t>
  </si>
  <si>
    <t>Калинина, 21</t>
  </si>
  <si>
    <t>Калинина, 23</t>
  </si>
  <si>
    <t>Калинина, 25</t>
  </si>
  <si>
    <t>Карла Маркса, 49</t>
  </si>
  <si>
    <t>Карла Маркса, 51</t>
  </si>
  <si>
    <t>Карла Маркса, 54</t>
  </si>
  <si>
    <t>Карла Маркса, 55/1</t>
  </si>
  <si>
    <t>Карла Маркса, 56</t>
  </si>
  <si>
    <t>Карла Маркса, 57/1</t>
  </si>
  <si>
    <t>Карла Маркса, 58</t>
  </si>
  <si>
    <t>Карла Маркса, 59</t>
  </si>
  <si>
    <t>Карла Маркса, 60</t>
  </si>
  <si>
    <t>Карла Маркса, 61</t>
  </si>
  <si>
    <t>Карла Маркса, 61/1</t>
  </si>
  <si>
    <t>Карла Маркса, 62</t>
  </si>
  <si>
    <t>Карла Маркса, 63</t>
  </si>
  <si>
    <t>Карла Маркса, 63/1</t>
  </si>
  <si>
    <t>Карла Маркса, 64</t>
  </si>
  <si>
    <t>Карла Маркса, 64/1</t>
  </si>
  <si>
    <t>Карла Маркса, 65</t>
  </si>
  <si>
    <t>Карла Маркса, 67</t>
  </si>
  <si>
    <t>Карла Маркса, 67/1</t>
  </si>
  <si>
    <t>Карла Маркса, 67/2</t>
  </si>
  <si>
    <t>Карла Маркса, 70</t>
  </si>
  <si>
    <t>Карла Маркса, 71</t>
  </si>
  <si>
    <t>Карла Маркса, 71/1</t>
  </si>
  <si>
    <t>Карла Маркса, 71/2</t>
  </si>
  <si>
    <t>Карла Маркса, 72</t>
  </si>
  <si>
    <t>Карла Маркса, 73</t>
  </si>
  <si>
    <t>Карла Маркса, 73/1</t>
  </si>
  <si>
    <t>Карла Маркса, 75</t>
  </si>
  <si>
    <t>Карла Маркса, 76</t>
  </si>
  <si>
    <t>Карла Маркса, 78</t>
  </si>
  <si>
    <t>Карла Маркса, 78/1</t>
  </si>
  <si>
    <t>Карла Маркса, 80</t>
  </si>
  <si>
    <t>Карла Маркса, 82</t>
  </si>
  <si>
    <t>Карла Маркса, 82/1</t>
  </si>
  <si>
    <t>Карла Маркса, 82/2</t>
  </si>
  <si>
    <t>Ленина, 46</t>
  </si>
  <si>
    <t>Ленинградская, 22</t>
  </si>
  <si>
    <t>Ленинградская, 22/1</t>
  </si>
  <si>
    <t>Ленинградская, 26</t>
  </si>
  <si>
    <t>Ленинградская, 26/1</t>
  </si>
  <si>
    <t>Ленинградская, 32</t>
  </si>
  <si>
    <t>Ленинградская, 34</t>
  </si>
  <si>
    <t>Ленинградская, 37</t>
  </si>
  <si>
    <t>Ленинградская, 37а</t>
  </si>
  <si>
    <t>Ленинградская, 39</t>
  </si>
  <si>
    <t>Лобачевского, 23</t>
  </si>
  <si>
    <t>Мичурина, 124</t>
  </si>
  <si>
    <t>Помяловского, 7</t>
  </si>
  <si>
    <t>Помяловского, 9</t>
  </si>
  <si>
    <t>Помяловского, 13</t>
  </si>
  <si>
    <t>Помяловского, 15</t>
  </si>
  <si>
    <t>Помяловского, 15/1</t>
  </si>
  <si>
    <t>Помяловского, 17</t>
  </si>
  <si>
    <t>Помяловского, 17/1</t>
  </si>
  <si>
    <t>Суворова, 85</t>
  </si>
  <si>
    <t>Урицкого, 19</t>
  </si>
  <si>
    <t>Урицкого, 21</t>
  </si>
  <si>
    <t>Ленинградская, 2</t>
  </si>
  <si>
    <t>Ленинградская, 3/1</t>
  </si>
  <si>
    <t>Ленинградская, 5</t>
  </si>
  <si>
    <t>Ленинградская, 5/1</t>
  </si>
  <si>
    <t>Ленинградская, 5/2</t>
  </si>
  <si>
    <t>Набережная, 2</t>
  </si>
  <si>
    <t>Набережная, 4</t>
  </si>
  <si>
    <t>Набережная, 6</t>
  </si>
  <si>
    <t>Набережная, 8</t>
  </si>
  <si>
    <t>Набережная, 10</t>
  </si>
  <si>
    <t>Набережная, 12</t>
  </si>
  <si>
    <t>Набережная, 16</t>
  </si>
  <si>
    <t>Набережная, 20</t>
  </si>
  <si>
    <t>Набережная, 22</t>
  </si>
  <si>
    <t>Набережная, 22/1</t>
  </si>
  <si>
    <t>Набережная, 24</t>
  </si>
  <si>
    <t>Октябрьская, 3</t>
  </si>
  <si>
    <t>Октябрьская, 5</t>
  </si>
  <si>
    <t>Октябрьская, 5/1</t>
  </si>
  <si>
    <t>Октябрьская, 11</t>
  </si>
  <si>
    <t>Октябрьская, 13</t>
  </si>
  <si>
    <t>Октябрьская, 15</t>
  </si>
  <si>
    <t>Октябрьская, 17</t>
  </si>
  <si>
    <t>Октябрьская, 19</t>
  </si>
  <si>
    <t>Октябрьская, 19/1</t>
  </si>
  <si>
    <t>Октябрьская, 21</t>
  </si>
  <si>
    <t>Октябрьская, 21/1</t>
  </si>
  <si>
    <t>Октябрьская, 23</t>
  </si>
  <si>
    <t>Октябрьская, 23/1</t>
  </si>
  <si>
    <t>Чапаева, 19/1</t>
  </si>
  <si>
    <t>Чапаева, 21</t>
  </si>
  <si>
    <t>Чапаева, 30</t>
  </si>
  <si>
    <t>Ленинградская, 11</t>
  </si>
  <si>
    <t>Ленинградская, 13/1</t>
  </si>
  <si>
    <t>Октябрьская, 14</t>
  </si>
  <si>
    <t>Октябрьская, 16</t>
  </si>
  <si>
    <t>Октябрьская, 20</t>
  </si>
  <si>
    <t>Октябрьская, 22</t>
  </si>
  <si>
    <t>Октябрьская, 22/1</t>
  </si>
  <si>
    <t>Октябрьская, 24</t>
  </si>
  <si>
    <t>Гагарина, 10</t>
  </si>
  <si>
    <t>Ленина, 48</t>
  </si>
  <si>
    <t>Ленина, 50</t>
  </si>
  <si>
    <t>Ленина, 50/1</t>
  </si>
  <si>
    <t>Ленина, 52</t>
  </si>
  <si>
    <t>Ленина, 52/1</t>
  </si>
  <si>
    <t>Ленина, 52/3</t>
  </si>
  <si>
    <t>Ленина, 54</t>
  </si>
  <si>
    <t>Ленина, 54/1</t>
  </si>
  <si>
    <t>Ленина, 56</t>
  </si>
  <si>
    <t>Ленина, 58</t>
  </si>
  <si>
    <t>Ленина, 58/1</t>
  </si>
  <si>
    <t>Ленина, 60</t>
  </si>
  <si>
    <t>Ленина, 60/1</t>
  </si>
  <si>
    <t>Ленина, 62</t>
  </si>
  <si>
    <t>Ленина, 64</t>
  </si>
  <si>
    <t>Ленинградская, 31</t>
  </si>
  <si>
    <t>Ленинградская, 31/1</t>
  </si>
  <si>
    <t>Ленинградская, 33</t>
  </si>
  <si>
    <t>Ленинградская, 33/1</t>
  </si>
  <si>
    <t>Ленинградская, 35</t>
  </si>
  <si>
    <t>Ленина, 63</t>
  </si>
  <si>
    <t>Ленина, 63/1</t>
  </si>
  <si>
    <t>Ленина, 65/1</t>
  </si>
  <si>
    <t>Ленина, 67</t>
  </si>
  <si>
    <t>Ленина, 69</t>
  </si>
  <si>
    <t>Ленина, 69/1</t>
  </si>
  <si>
    <t>Ленина, 53</t>
  </si>
  <si>
    <t>Ленина, 53/1</t>
  </si>
  <si>
    <t>Ленина, 55</t>
  </si>
  <si>
    <t>Ленина, 55/1</t>
  </si>
  <si>
    <t>Ленина, 57</t>
  </si>
  <si>
    <t>Ленина, 57/1</t>
  </si>
  <si>
    <t>Ленина, 61</t>
  </si>
  <si>
    <t>Ленина, 61/1</t>
  </si>
  <si>
    <t>Ленинградская, 13</t>
  </si>
  <si>
    <t>Ленинградская, 15</t>
  </si>
  <si>
    <t>Ленинградская, 15/1</t>
  </si>
  <si>
    <t>Ленинградская, 17/1</t>
  </si>
  <si>
    <t>Ленинградская, 19</t>
  </si>
  <si>
    <t>Ленинградская, 19/1</t>
  </si>
  <si>
    <t>Ленинградская, 21</t>
  </si>
  <si>
    <t>Ленинградская, 23</t>
  </si>
  <si>
    <t>Ленинградская, 25/1</t>
  </si>
  <si>
    <t>Ленинградская, 27</t>
  </si>
  <si>
    <t>Октябрьская, 26</t>
  </si>
  <si>
    <t>Октябрьская, 28</t>
  </si>
  <si>
    <t>Октябрьская, 28/1</t>
  </si>
  <si>
    <t>Октябрьская, 30</t>
  </si>
  <si>
    <t>Октябрьская, 32/1</t>
  </si>
  <si>
    <t>Октябрьская, 34</t>
  </si>
  <si>
    <t>Октябрьская, 36</t>
  </si>
  <si>
    <t>Октябрьская, 38</t>
  </si>
  <si>
    <t>Менделеева, 16</t>
  </si>
  <si>
    <t>Менделеева, 18</t>
  </si>
  <si>
    <t>Менделеева, 18/1</t>
  </si>
  <si>
    <t>Менделеева, 20/1</t>
  </si>
  <si>
    <t>Менделеева, 22</t>
  </si>
  <si>
    <t>Менделеева, 24</t>
  </si>
  <si>
    <t>Строителей, 26</t>
  </si>
  <si>
    <t>Адрес МКД</t>
  </si>
  <si>
    <t>Номер ввода</t>
  </si>
  <si>
    <t>Кайзер Артур Викторович</t>
  </si>
  <si>
    <t>Колобанова Надежда Станиславовна</t>
  </si>
  <si>
    <t>Шарипов Борис Шарифьянович</t>
  </si>
  <si>
    <t>Лебедев Александр Валентинович</t>
  </si>
  <si>
    <t>Челищева Светлана Фридриховна</t>
  </si>
  <si>
    <t>ООО "Биг Арми"</t>
  </si>
  <si>
    <t>Контрольно - счетная палата города Магнитогорска</t>
  </si>
  <si>
    <t>Контрольно-счетная палата</t>
  </si>
  <si>
    <t>пом.6</t>
  </si>
  <si>
    <t>ОАО МиМЭС "Ростелеком"</t>
  </si>
  <si>
    <t>Шайтор Мария Владимировна</t>
  </si>
  <si>
    <t>Тимошенко Галина Дмитриевна</t>
  </si>
  <si>
    <t>Сарана Юлия Ивановна</t>
  </si>
  <si>
    <t>Горбунов Сергей Юрьевич</t>
  </si>
  <si>
    <t>Терентьев Андрей Владимирович</t>
  </si>
  <si>
    <t>Никольская Алла Евгеньевна</t>
  </si>
  <si>
    <t>под.1</t>
  </si>
  <si>
    <t>Чикун Ольга Васильевна</t>
  </si>
  <si>
    <t>пом.20 (кв.11)</t>
  </si>
  <si>
    <t>ЗАО Торгово-производственное объединение "СЕРВИС"</t>
  </si>
  <si>
    <t>Нежилое помещение</t>
  </si>
  <si>
    <t>ИП Носова Марина Сергеевна</t>
  </si>
  <si>
    <t>ИП Котляр Лев Борисович</t>
  </si>
  <si>
    <t>Синегина Светлана Ивановна</t>
  </si>
  <si>
    <t>Рыжкова Валерия Владимировна</t>
  </si>
  <si>
    <t>Горьков Валерий Антонович</t>
  </si>
  <si>
    <t>Суворин Константин Алексеевич</t>
  </si>
  <si>
    <t>ИП Христовой Сергей Викторович</t>
  </si>
  <si>
    <t>ИП Блинова Лидия Алексеевна</t>
  </si>
  <si>
    <t>Муфлиханова Виктория Анатольевна</t>
  </si>
  <si>
    <t>ИП Чекурова Оксана Сергеевна</t>
  </si>
  <si>
    <t>Акименков Владимир Павлович</t>
  </si>
  <si>
    <t>Файзрахманова Марина Владимировна</t>
  </si>
  <si>
    <t>Юревич Станислав Сергеевич</t>
  </si>
  <si>
    <t>Лебедев Сергей Владимирович</t>
  </si>
  <si>
    <t>Шашко Ольга Борисовна</t>
  </si>
  <si>
    <t>ИП Репринцева Зоя Матвеевна</t>
  </si>
  <si>
    <t>Прокуратура Челябинской области</t>
  </si>
  <si>
    <t>Офис (нежилое помещение №1)</t>
  </si>
  <si>
    <t>пом.4</t>
  </si>
  <si>
    <t>Иванов Вячеслав Геннадьевич</t>
  </si>
  <si>
    <t>пом.2</t>
  </si>
  <si>
    <t>Кутищева Наталья Владимировна</t>
  </si>
  <si>
    <t>бокс 1</t>
  </si>
  <si>
    <t>бокс 3</t>
  </si>
  <si>
    <t>Цикунов Игорь Анатольевич</t>
  </si>
  <si>
    <t>бокс 4</t>
  </si>
  <si>
    <t>ИП Потапова Евгения Петровна</t>
  </si>
  <si>
    <t>Одер Наталья Михайловна</t>
  </si>
  <si>
    <t>Администрация Ленинского района в городе Магнитогорске</t>
  </si>
  <si>
    <t>Швейная мастерская</t>
  </si>
  <si>
    <t>ИП Шилов Сергей Юрьевич</t>
  </si>
  <si>
    <t>ИП Ахметзянов Салават Харисович</t>
  </si>
  <si>
    <t>ИП Егорова Ольга Алексеевна</t>
  </si>
  <si>
    <t>ООО "Стиль"</t>
  </si>
  <si>
    <t>ООО "ТРОЙКА"</t>
  </si>
  <si>
    <t>ИП Платонов Вячеслав Викторович</t>
  </si>
  <si>
    <t>ИП Дохновский Евгений Юрьевич</t>
  </si>
  <si>
    <t>ИП Алексеева Людмила Петровна</t>
  </si>
  <si>
    <t>ИП  Кирса Олег Викторович</t>
  </si>
  <si>
    <t>Магазин</t>
  </si>
  <si>
    <t>ИП  Хасанова Алла Юрьевна</t>
  </si>
  <si>
    <t>ИП Давидсон Михаил Евсеевич</t>
  </si>
  <si>
    <t>Агаев Артем Васильевич</t>
  </si>
  <si>
    <t>Евстигнеев Сергей Иванович</t>
  </si>
  <si>
    <t>Капчан Сергей Владимирович</t>
  </si>
  <si>
    <t>Иванова Алена Александровна</t>
  </si>
  <si>
    <t>ЗАО "МИКМА"</t>
  </si>
  <si>
    <t>Плеханов Юрий Борисович</t>
  </si>
  <si>
    <t>Шеховцов Сергей Николаевич</t>
  </si>
  <si>
    <t>Ваанжил Нарантуяа</t>
  </si>
  <si>
    <t>ИП Запускалова Елена Анатольевна</t>
  </si>
  <si>
    <t>Ленгузова Ирина Ивановна</t>
  </si>
  <si>
    <t>Латыпова Земфира Габденурова</t>
  </si>
  <si>
    <t>Котунов Александр Алексеевич</t>
  </si>
  <si>
    <t>Кулигина Ольга Владимировна</t>
  </si>
  <si>
    <t>ИП Байназарова Светлана Нургалиевна</t>
  </si>
  <si>
    <t>ИП Никифоров Андрей Борисович</t>
  </si>
  <si>
    <t>ООО "Акватекс"</t>
  </si>
  <si>
    <t>ООО"Галерея"</t>
  </si>
  <si>
    <t>ООО  "ТИТ"</t>
  </si>
  <si>
    <t>ООО "ТАТЬЯНА"</t>
  </si>
  <si>
    <t>ООО Медицинский центр "Настроение"</t>
  </si>
  <si>
    <t>ЗАО "МПС - Право"</t>
  </si>
  <si>
    <t>ЗАО "Строительный фонд"</t>
  </si>
  <si>
    <t>Христовой Алексей Викторович</t>
  </si>
  <si>
    <t>Смирнова Людмила Александровна</t>
  </si>
  <si>
    <t>Орлов Дмитрий Владимирович</t>
  </si>
  <si>
    <t>Вахитов Ринат Галиевич</t>
  </si>
  <si>
    <t>Махновская Елена Сергеевна</t>
  </si>
  <si>
    <t>Дружкова Ольга Николаевна</t>
  </si>
  <si>
    <t>Голубев Антон Сергеевич</t>
  </si>
  <si>
    <t>ИП Елкин Олег Викторович</t>
  </si>
  <si>
    <t>ИП Павлюченко Лина Евграфовна</t>
  </si>
  <si>
    <t>Свистунова Наталья Васильевна</t>
  </si>
  <si>
    <t>Фенин Олег Викторович</t>
  </si>
  <si>
    <t>ИП Рогачева Лариса Владимировна</t>
  </si>
  <si>
    <t>ИП Хорошилов Николай Валентинович</t>
  </si>
  <si>
    <t>Калимулина Нелля Галимзяновна</t>
  </si>
  <si>
    <t>Жукова Лариса Михайловна</t>
  </si>
  <si>
    <t>Югрин Василий Иванович</t>
  </si>
  <si>
    <t>ИП Зайцев Андрей Геннадьевич</t>
  </si>
  <si>
    <t>Куликова Татьяна Вольдемаровна</t>
  </si>
  <si>
    <t>ИП Гафарова Лариса Борисовна</t>
  </si>
  <si>
    <t>Лебедева Жанна Николаевна</t>
  </si>
  <si>
    <t>пом.1</t>
  </si>
  <si>
    <t>ИП Толмачева Татьяна Ивановна</t>
  </si>
  <si>
    <t>Косян Лада Борисовна</t>
  </si>
  <si>
    <t>Гамулецкая Татьяна Васильевна</t>
  </si>
  <si>
    <t>под.3</t>
  </si>
  <si>
    <t>ИП Алюха Елена Ильинична</t>
  </si>
  <si>
    <t>ИП Гончарова Татьяна Владимировна</t>
  </si>
  <si>
    <t>пом.8</t>
  </si>
  <si>
    <t>Сайфутдинова Тасмия Жигангировна</t>
  </si>
  <si>
    <t>Козырев Максим Викторович</t>
  </si>
  <si>
    <t>ИП Шнайдер Павел Геннадьевич</t>
  </si>
  <si>
    <t>Сызько Дмитрий Михайлович</t>
  </si>
  <si>
    <t>Евсеева Лидия Сергеевна</t>
  </si>
  <si>
    <t>ИП Воротилова Татьяна Анатольевна</t>
  </si>
  <si>
    <t>Колодкина Валентина Михайловна</t>
  </si>
  <si>
    <t>Сальников Анатолий Юрьевич</t>
  </si>
  <si>
    <t>Открытое акционерное общество "Промсвязьбанк"</t>
  </si>
  <si>
    <t>Акрамутдинов Андрей Рафкатович</t>
  </si>
  <si>
    <t>Павлова Светлана Викторовна</t>
  </si>
  <si>
    <t>ИП Шеметова Светлана Анатольевна</t>
  </si>
  <si>
    <t>ИП Кудашкина Ирина Владимировна</t>
  </si>
  <si>
    <t>Лошманова Ирина Викторовна</t>
  </si>
  <si>
    <t>Юрченко Артем Владимирович</t>
  </si>
  <si>
    <t>Горбунов Андрей Васильевич</t>
  </si>
  <si>
    <t>ИП Туров Сергей Витальевич</t>
  </si>
  <si>
    <t>ИП Климов Виктор Александрович</t>
  </si>
  <si>
    <t>ИП Зюлина Татьяна Васильевна</t>
  </si>
  <si>
    <t>ИП Гуськова Надежда Анатольевна</t>
  </si>
  <si>
    <t>Чернова Ольга Викторовна</t>
  </si>
  <si>
    <t>Овсянникова Ирина Петровна</t>
  </si>
  <si>
    <t>ИП Меньших Альмира Норкисовна</t>
  </si>
  <si>
    <t>Гореликов Никол</t>
  </si>
  <si>
    <t>Астанина Ольга Николаевна</t>
  </si>
  <si>
    <t>Григорьева Ирина Викторовна</t>
  </si>
  <si>
    <t>ИП Ильин Владимир Геннадьевич</t>
  </si>
  <si>
    <t>Мосяков Олег Николаевич</t>
  </si>
  <si>
    <t>ИП Волынец Игорь Владиславович</t>
  </si>
  <si>
    <t>Булыгина Сауле Васильевна</t>
  </si>
  <si>
    <t>ИП Тулупова Татьяна Михайловна собственник</t>
  </si>
  <si>
    <t>Бобров Сергей Павлович</t>
  </si>
  <si>
    <t>Ленешмидт Евгений Викторович</t>
  </si>
  <si>
    <t>ИП Бархатова Анна Васильевна</t>
  </si>
  <si>
    <t>Биба Сергей Федорович</t>
  </si>
  <si>
    <t>Матулла Елена Михайловна</t>
  </si>
  <si>
    <t>Родионов Владимир Николаевич</t>
  </si>
  <si>
    <t>Демцова Марина Валерьевна</t>
  </si>
  <si>
    <t>Сергеева Светлана Григорьевна</t>
  </si>
  <si>
    <t>Костылева Ирина Николаевна</t>
  </si>
  <si>
    <t>Филатова Елена Юрьевна</t>
  </si>
  <si>
    <t>ИП Афанасьева Евгения Юрьевна</t>
  </si>
  <si>
    <t>под.4</t>
  </si>
  <si>
    <t>Шаповалова Елена Александровна</t>
  </si>
  <si>
    <t>Кубасов Александр Иванович</t>
  </si>
  <si>
    <t>Суховерхова Жанна Викторовна</t>
  </si>
  <si>
    <t>Итого по нежилым помещениям, в т.ч.:</t>
  </si>
  <si>
    <t>в т.ч. собственные нужды отдельностоящие</t>
  </si>
  <si>
    <t>цоколь, бытовка электриков</t>
  </si>
  <si>
    <t>этаж</t>
  </si>
  <si>
    <t>Год ввода в экспл.</t>
  </si>
  <si>
    <t>№ ЖЭУ</t>
  </si>
  <si>
    <t>нд</t>
  </si>
  <si>
    <t>Отдел ЗАГС</t>
  </si>
  <si>
    <t>Гашнев ОА</t>
  </si>
  <si>
    <t>ООО "Магнитогорский экспертный центр"</t>
  </si>
  <si>
    <t>пом.1 (кв.48)</t>
  </si>
  <si>
    <t>пом. 1</t>
  </si>
  <si>
    <t>пом. 1 (кв.36)</t>
  </si>
  <si>
    <t>пом.10 (кв.10,11)</t>
  </si>
  <si>
    <t>пом.8 (кв.2,3)</t>
  </si>
  <si>
    <t>пом.9 (кв.43 частично)</t>
  </si>
  <si>
    <t>пом.10 (кв.43 частично)</t>
  </si>
  <si>
    <t>пом.21</t>
  </si>
  <si>
    <t>пом.11 (кв.2)</t>
  </si>
  <si>
    <t>Запускалова ЕА</t>
  </si>
  <si>
    <t>пом.3 (кв.22)</t>
  </si>
  <si>
    <t>Шпак ЕА</t>
  </si>
  <si>
    <t>пом.20 (кв.31,32)</t>
  </si>
  <si>
    <t>пом.7 (кв.47)</t>
  </si>
  <si>
    <t>№ по ЖЭУ</t>
  </si>
  <si>
    <t>Основное строение</t>
  </si>
  <si>
    <t>пом.17</t>
  </si>
  <si>
    <t>пом.20 (кв.35)</t>
  </si>
  <si>
    <t>ООО "ПКС Система"</t>
  </si>
  <si>
    <t>Кофанов СЕ</t>
  </si>
  <si>
    <t>пом.21 (кв.33)</t>
  </si>
  <si>
    <t>пом.10 (кв.3,4)</t>
  </si>
  <si>
    <t>пом.1 (кв.34)</t>
  </si>
  <si>
    <t>отдельно стоящие</t>
  </si>
  <si>
    <t>пом.11 (кв.22)</t>
  </si>
  <si>
    <t>пом.8 подвал</t>
  </si>
  <si>
    <t>ООО ФинансРезерв</t>
  </si>
  <si>
    <t>пом.10 (кв.46)</t>
  </si>
  <si>
    <t>пом.5 (кв.34)</t>
  </si>
  <si>
    <t>пом.4 (кв.19)</t>
  </si>
  <si>
    <t>Черник СН</t>
  </si>
  <si>
    <t>в т.ч. собственные нужды встроенные</t>
  </si>
  <si>
    <t>Отдельно стоящие нежилые (Комсомольская, 3а)</t>
  </si>
  <si>
    <t>Кол-во вводов ТС</t>
  </si>
  <si>
    <t>пом.1 (кв.18)</t>
  </si>
  <si>
    <t>МУ ЦБ по отрасли образования</t>
  </si>
  <si>
    <t>Курсы ГО и ЧС</t>
  </si>
  <si>
    <t>Общая жилая площадь (ЕРКЦ) м2</t>
  </si>
  <si>
    <t>Итого по ЖЭУ №</t>
  </si>
  <si>
    <t>НД</t>
  </si>
  <si>
    <t>Конструктивные элементы</t>
  </si>
  <si>
    <t>Стены</t>
  </si>
  <si>
    <t>% износа</t>
  </si>
  <si>
    <t>Шифер</t>
  </si>
  <si>
    <t>Смешанные</t>
  </si>
  <si>
    <t>Данные об инвентаризации</t>
  </si>
  <si>
    <t>Дата</t>
  </si>
  <si>
    <t>Кирпичные</t>
  </si>
  <si>
    <t>Панельные</t>
  </si>
  <si>
    <t>Рубероид</t>
  </si>
  <si>
    <t>Шлакоблочные</t>
  </si>
  <si>
    <t>Блочные</t>
  </si>
  <si>
    <t>Металл</t>
  </si>
  <si>
    <t>пом.1,2,3</t>
  </si>
  <si>
    <t>пом.9</t>
  </si>
  <si>
    <t>пом.9 (кв.1)</t>
  </si>
  <si>
    <t>пом.3 (кв.33)</t>
  </si>
  <si>
    <t>Прохоров АА</t>
  </si>
  <si>
    <t>пом.25 (кв.18)</t>
  </si>
  <si>
    <t>ИП Мительман СА</t>
  </si>
  <si>
    <t>пом.1 (кв.2, 3)</t>
  </si>
  <si>
    <t>пом.9 (кв.60)</t>
  </si>
  <si>
    <t>пом.6,7</t>
  </si>
  <si>
    <t>пом.15 (кв.62)</t>
  </si>
  <si>
    <t>Нежилые по ДО</t>
  </si>
  <si>
    <t xml:space="preserve">пом.1 </t>
  </si>
  <si>
    <t>ООО "Аптека "КЛАССИКА" ЧЛ</t>
  </si>
  <si>
    <t>пом.12</t>
  </si>
  <si>
    <t>пом.11</t>
  </si>
  <si>
    <t>пом.23 (кв.1)</t>
  </si>
  <si>
    <t>ОАО "Магнитострой"</t>
  </si>
  <si>
    <t>МАО "Дворец творчества детей и молодежи"</t>
  </si>
  <si>
    <t>МУ "Комплексный центр социального обслуживания населения"</t>
  </si>
  <si>
    <t>ООО "Каменный цветок"</t>
  </si>
  <si>
    <t>МУ "Стоматологическая поликлиника №2"</t>
  </si>
  <si>
    <t>ОГУП "Областной аптечный склад"</t>
  </si>
  <si>
    <t>Всероссийское общество инвалидов</t>
  </si>
  <si>
    <t>МУ "Объединение городских библиотек"</t>
  </si>
  <si>
    <t>МУ "Центр социальной помощи семье и детям города Магнитогорска"</t>
  </si>
  <si>
    <t>филиала ФГУП   "Почта России"</t>
  </si>
  <si>
    <t>Магнитфилиала ФГУП   "Почта России"</t>
  </si>
  <si>
    <t>ООО "Магнитогорский центр технического обслуживания"</t>
  </si>
  <si>
    <t>пом.21 (кв.19)</t>
  </si>
  <si>
    <t>пом.2 (кв.19)</t>
  </si>
  <si>
    <t>под.4 (нет ГВС)</t>
  </si>
  <si>
    <t>пом.3,4 (кв.12,13,14)</t>
  </si>
  <si>
    <t>пом.2 (кв.25)</t>
  </si>
  <si>
    <t>пом. №1,2</t>
  </si>
  <si>
    <t>пом.3 (кв.16)</t>
  </si>
  <si>
    <t>пом.1,2</t>
  </si>
  <si>
    <t>пом.15</t>
  </si>
  <si>
    <t>пом.10 (кв.3, 4)</t>
  </si>
  <si>
    <t>пом.20 (кв.30)</t>
  </si>
  <si>
    <t>пом.21 (кв.31,46)</t>
  </si>
  <si>
    <t>пом.2 (кв.18)</t>
  </si>
  <si>
    <t>пом.10 (кв.49)</t>
  </si>
  <si>
    <t>пом.20 (кв.1)</t>
  </si>
  <si>
    <t>пом.15 (кв.1,2), пом.1 (кв.3,4)</t>
  </si>
  <si>
    <t>пом.8 (кв.46)</t>
  </si>
  <si>
    <t>пом.2 (кв.11,12)</t>
  </si>
  <si>
    <t>Мухамадеева Ирина Михайловна</t>
  </si>
  <si>
    <t>Сафонова Юлия Борисовна</t>
  </si>
  <si>
    <t>Торлина Ирина Юрьевна</t>
  </si>
  <si>
    <t>Журавлев Игорь Владимирович</t>
  </si>
  <si>
    <t>Кирпишников Сергей Вячеславович</t>
  </si>
  <si>
    <t>пом.3 (кв.17,20)</t>
  </si>
  <si>
    <t>пом.4 (кв.17,18)</t>
  </si>
  <si>
    <t>пом.11 (кв.61)</t>
  </si>
  <si>
    <t>пом.9 (кв.3,16)</t>
  </si>
  <si>
    <t>пом.10 (кв.40)</t>
  </si>
  <si>
    <t>пом.8 (кв.31)</t>
  </si>
  <si>
    <t>пом.6 (кв.51)</t>
  </si>
  <si>
    <t>пом.7 (кв.1,2)</t>
  </si>
  <si>
    <t>Крыша (паспорт)</t>
  </si>
  <si>
    <t>Крыша (факт)</t>
  </si>
  <si>
    <t>Смешанные/Панельные</t>
  </si>
  <si>
    <t>Кирпичные/Блочные</t>
  </si>
  <si>
    <t>Шифер/Металл</t>
  </si>
  <si>
    <t>Профлист (кв.16)</t>
  </si>
  <si>
    <t>Профлист (кв.117)</t>
  </si>
  <si>
    <t>Профлист (под.10)</t>
  </si>
  <si>
    <t>Октябрьская, 9</t>
  </si>
  <si>
    <t>Профлист (под.3, кв.59)</t>
  </si>
  <si>
    <t>Профлист (под.3,4,5)</t>
  </si>
  <si>
    <t>Металл (под.9)</t>
  </si>
  <si>
    <t>Профлист</t>
  </si>
  <si>
    <t>Объем здания, м3</t>
  </si>
  <si>
    <t>Гончарова ЕА</t>
  </si>
  <si>
    <t>ОАО "ОАЗ"</t>
  </si>
  <si>
    <t>ООО "Фармленд-Урал"</t>
  </si>
  <si>
    <t>Волынская Наталия Валерьевна</t>
  </si>
  <si>
    <t>пом.30</t>
  </si>
  <si>
    <t>пом.31</t>
  </si>
  <si>
    <t>пом.11 (кв.43,61,62)</t>
  </si>
  <si>
    <t>В том числе нежилые в собствености</t>
  </si>
  <si>
    <t>Общее имущество (свободное)</t>
  </si>
  <si>
    <t>Коридоры мест общего пользования, м2</t>
  </si>
  <si>
    <t>ВСЕГО по паспорту</t>
  </si>
  <si>
    <t>Площадь нежилых помещений, м2</t>
  </si>
  <si>
    <t>Аренда</t>
  </si>
  <si>
    <t>Выкуп</t>
  </si>
  <si>
    <t>Нежилые помещения выше отм.0,00</t>
  </si>
  <si>
    <t>Нежилое в аренде (всего)</t>
  </si>
  <si>
    <t>Нежилое ВСЕГО</t>
  </si>
  <si>
    <t>пом.20 (кв.18)</t>
  </si>
  <si>
    <t>Сулейманова АА, Сулейманов Ж</t>
  </si>
  <si>
    <t>Гюльмамедов Иго</t>
  </si>
  <si>
    <t>пом.4 (кв.2)</t>
  </si>
  <si>
    <t>пом.19 (кв.9)</t>
  </si>
  <si>
    <t>Гостев СП</t>
  </si>
  <si>
    <t>Миронов ВА</t>
  </si>
  <si>
    <t>Говоров АВ</t>
  </si>
  <si>
    <t>пом.2 (кв.17)</t>
  </si>
  <si>
    <t>Андреянов Сергей Александрович</t>
  </si>
  <si>
    <t>пом.12 (кв.21,22)</t>
  </si>
  <si>
    <t>Горбунов АВ</t>
  </si>
  <si>
    <t>пом.1 (кв.3)</t>
  </si>
  <si>
    <t>ВДС</t>
  </si>
  <si>
    <t>Итого по уч.№</t>
  </si>
  <si>
    <t>№ по ВДС</t>
  </si>
  <si>
    <t>пом.3 (кв.2,3)</t>
  </si>
  <si>
    <t>Администрация города Магнитогорска</t>
  </si>
  <si>
    <t>пом.7 (кв.33)</t>
  </si>
  <si>
    <t>4</t>
  </si>
  <si>
    <t>Уральская, 39</t>
  </si>
  <si>
    <t>Нежилое в собственности (всего)</t>
  </si>
  <si>
    <t>Нежилое в собственности</t>
  </si>
  <si>
    <t>Нежилое в аренде</t>
  </si>
  <si>
    <t>Рождествин В.И.</t>
  </si>
  <si>
    <t>пом.7 (кв.46)</t>
  </si>
  <si>
    <t>Юревич АВ</t>
  </si>
  <si>
    <t>пом.6 (кв.46)</t>
  </si>
  <si>
    <t>пом.17 (кв.88)</t>
  </si>
  <si>
    <t>пом.1 (кв.28,43) (нет ГВС,акт 06.08.2009)</t>
  </si>
  <si>
    <t>Чапаева, 19</t>
  </si>
  <si>
    <t>Пращарук ЕН</t>
  </si>
  <si>
    <t>пом.1 (кв.2)</t>
  </si>
  <si>
    <t>пом.5 (+кв.31)</t>
  </si>
  <si>
    <t>пом.2 (кв.22)</t>
  </si>
  <si>
    <t>АНО "Магнит.раб"</t>
  </si>
  <si>
    <t>пом.5 (кв.19)</t>
  </si>
  <si>
    <t>пом. 7 ( кв.22)</t>
  </si>
  <si>
    <t>пом.22 (кв.2)</t>
  </si>
  <si>
    <t>пом.21 (кв.55)</t>
  </si>
  <si>
    <t>ЖЭУ</t>
  </si>
  <si>
    <t>Улица</t>
  </si>
  <si>
    <t>Дом</t>
  </si>
  <si>
    <t>Корпус</t>
  </si>
  <si>
    <t>Площадь (приват.)</t>
  </si>
  <si>
    <t>Площадь (муницип.)</t>
  </si>
  <si>
    <t>16</t>
  </si>
  <si>
    <t>Гагарина</t>
  </si>
  <si>
    <t>12</t>
  </si>
  <si>
    <t>1</t>
  </si>
  <si>
    <t>13</t>
  </si>
  <si>
    <t>Горького</t>
  </si>
  <si>
    <t>9</t>
  </si>
  <si>
    <t>10</t>
  </si>
  <si>
    <t>11</t>
  </si>
  <si>
    <t>Калинина</t>
  </si>
  <si>
    <t>2</t>
  </si>
  <si>
    <t>Карла Маркса</t>
  </si>
  <si>
    <t>3</t>
  </si>
  <si>
    <t>Комсомольская</t>
  </si>
  <si>
    <t>Куйбышева</t>
  </si>
  <si>
    <t>Ленина</t>
  </si>
  <si>
    <t>14</t>
  </si>
  <si>
    <t>Ленинградская</t>
  </si>
  <si>
    <t>А</t>
  </si>
  <si>
    <t>Лобачевского</t>
  </si>
  <si>
    <t>Ломоносова</t>
  </si>
  <si>
    <t>Менделеева</t>
  </si>
  <si>
    <t>Металлургов</t>
  </si>
  <si>
    <t>Б</t>
  </si>
  <si>
    <t>Мичурина</t>
  </si>
  <si>
    <t>Набережная</t>
  </si>
  <si>
    <t>Октябрьская</t>
  </si>
  <si>
    <t>Помяловского</t>
  </si>
  <si>
    <t>Строителей</t>
  </si>
  <si>
    <t>Суворова</t>
  </si>
  <si>
    <t>Уральская</t>
  </si>
  <si>
    <t>Урицкого</t>
  </si>
  <si>
    <t>Чапаева</t>
  </si>
  <si>
    <t>Паспорт-ФАКТ</t>
  </si>
  <si>
    <t>Кол-во квартир (паспорт)</t>
  </si>
  <si>
    <t>Кол-во квартир (жилых ЕРКЦ)</t>
  </si>
  <si>
    <t>Кол-во квартир (нежилых ДО)</t>
  </si>
  <si>
    <t>5</t>
  </si>
  <si>
    <t>6</t>
  </si>
  <si>
    <t>7</t>
  </si>
  <si>
    <t>8</t>
  </si>
  <si>
    <t>ОАО "БИНБАНК"</t>
  </si>
  <si>
    <t>подвал 101,4</t>
  </si>
  <si>
    <t>Шапошникова ОВ</t>
  </si>
  <si>
    <t>Шманев Е.И.</t>
  </si>
  <si>
    <t>пом. 2,3,4</t>
  </si>
  <si>
    <t>ФКУ "ГБ МСЭ"</t>
  </si>
  <si>
    <t>3,4,5</t>
  </si>
  <si>
    <t>Серия и тип постройки</t>
  </si>
  <si>
    <t>-</t>
  </si>
  <si>
    <t>1-447</t>
  </si>
  <si>
    <t>1-447с</t>
  </si>
  <si>
    <t>1-439</t>
  </si>
  <si>
    <t>1-447с-1</t>
  </si>
  <si>
    <t>1-447с-8</t>
  </si>
  <si>
    <t>1-447с-10</t>
  </si>
  <si>
    <t>1-447с-4</t>
  </si>
  <si>
    <t>Общее имущество (нежилое в аренде)</t>
  </si>
  <si>
    <t>Горького, 1 площадь</t>
  </si>
  <si>
    <t>Горького, 9 площадь</t>
  </si>
  <si>
    <t>Капчан Галина Владимировна</t>
  </si>
  <si>
    <t>пом.2 (кв.48)</t>
  </si>
  <si>
    <t>ООО "ОЛИМП"</t>
  </si>
  <si>
    <t>пом. 21 (кв.74,75)</t>
  </si>
  <si>
    <t>пом.12 (кв.47)</t>
  </si>
  <si>
    <t>1-447с-5</t>
  </si>
  <si>
    <t>1-447с-6</t>
  </si>
  <si>
    <t>1-439А-4</t>
  </si>
  <si>
    <t>1-447с-17</t>
  </si>
  <si>
    <t>1-464АД-105с</t>
  </si>
  <si>
    <t>1-464АД-101</t>
  </si>
  <si>
    <t>1-464АД-104</t>
  </si>
  <si>
    <t>1-439а-11-5</t>
  </si>
  <si>
    <t>1-464а-3</t>
  </si>
  <si>
    <t>1-439а-4</t>
  </si>
  <si>
    <t>пом.12 (кв.60)</t>
  </si>
  <si>
    <t>пом.5 (кв.2)</t>
  </si>
  <si>
    <t>пом.7 (кв.11,12,21)</t>
  </si>
  <si>
    <t>пом.11 (кв.40)</t>
  </si>
  <si>
    <t>пом.4 (кв.42)</t>
  </si>
  <si>
    <t>пом.5(кв.21)</t>
  </si>
  <si>
    <t>пом.20 (кв.1,2)</t>
  </si>
  <si>
    <t>пом.6 (кв.23,24)</t>
  </si>
  <si>
    <t>пом.8 (кв.44)</t>
  </si>
  <si>
    <t>пом.14 (кв.1)</t>
  </si>
  <si>
    <t>пом.2 (кв.3)</t>
  </si>
  <si>
    <t>пом.4 (кв.41-42,55-57)</t>
  </si>
  <si>
    <t>пом.10 (кв.31)</t>
  </si>
  <si>
    <t>пом.3(кв.22)</t>
  </si>
  <si>
    <t>пом.20 (кв.59)</t>
  </si>
  <si>
    <t>пом.21 (кв.61, 62)</t>
  </si>
  <si>
    <t>пом.22 (кв.40)</t>
  </si>
  <si>
    <t>пом.3 цоколь</t>
  </si>
  <si>
    <t>пом.20 (кв.15)</t>
  </si>
  <si>
    <t>пом.25 (кв.16)</t>
  </si>
  <si>
    <t>пом.21 (кв.2)</t>
  </si>
  <si>
    <t>пом.1 (кв.13,14)</t>
  </si>
  <si>
    <t>пом (кв.3)</t>
  </si>
  <si>
    <t>пом.2 подвал</t>
  </si>
  <si>
    <t>пом.10 (кв.10,11,12,13)</t>
  </si>
  <si>
    <t>пом.12 (кв.18)</t>
  </si>
  <si>
    <t>пом.20 (кв.2,3)</t>
  </si>
  <si>
    <t>пом.10 (кв.3)</t>
  </si>
  <si>
    <t>пом.20 (кв.17)</t>
  </si>
  <si>
    <t>пом.1 (кв.26,27)</t>
  </si>
  <si>
    <t>пом.10 (кв.13,14,15)</t>
  </si>
  <si>
    <t>пом.10 (кв.17,18)</t>
  </si>
  <si>
    <t>пом.10 (кв.18)</t>
  </si>
  <si>
    <t>пом.11 (кв.45,46,47)</t>
  </si>
  <si>
    <t>пом.21 (кв.3)</t>
  </si>
  <si>
    <t>пом.20 (кв.17,18)</t>
  </si>
  <si>
    <t>пом.9 (кв.49)</t>
  </si>
  <si>
    <t>пом.12 (кв.32,33)</t>
  </si>
  <si>
    <t>пом.16 (кв.2)</t>
  </si>
  <si>
    <t>пом.11 (кв.18)</t>
  </si>
  <si>
    <t>пом.3 (кв.29)</t>
  </si>
  <si>
    <t>пом.7 (кв.31,44)</t>
  </si>
  <si>
    <t>пом.2 (кв.2)</t>
  </si>
  <si>
    <t>пом.21 (кв.1)</t>
  </si>
  <si>
    <t>пом.10 (кв.29,30)</t>
  </si>
  <si>
    <t>Гараж бокс4</t>
  </si>
  <si>
    <t>Гараж бокс3</t>
  </si>
  <si>
    <t>Гараж бокс1</t>
  </si>
  <si>
    <t>пом.1 (кв.11)</t>
  </si>
  <si>
    <t>пом.20 (кв.2,3,10)</t>
  </si>
  <si>
    <t>пом.2 пустующее</t>
  </si>
  <si>
    <t>пом.10 (кв.17)</t>
  </si>
  <si>
    <t>пом.2 (кв.95-98)</t>
  </si>
  <si>
    <t>пом.8 (кв.43,56,57)</t>
  </si>
  <si>
    <t>пом.6 (кв.41,42)</t>
  </si>
  <si>
    <t>пом.3 (кв.3,4,21,22)</t>
  </si>
  <si>
    <t>пом.4 (кв76,77,78)</t>
  </si>
  <si>
    <t>пом.7(кв.2)</t>
  </si>
  <si>
    <t>пом.1 (кв.23,24)</t>
  </si>
  <si>
    <t>пом.10 (кв.26,29)</t>
  </si>
  <si>
    <t>пом.11(кв.15,25)</t>
  </si>
  <si>
    <t>пом.20 (кв.2)</t>
  </si>
  <si>
    <t>пом.21 (кв.14)</t>
  </si>
  <si>
    <t>пом.1 (кв.18,19)</t>
  </si>
  <si>
    <t>пом.2 (кв.3,4)</t>
  </si>
  <si>
    <t>пом.3 (кв.17)</t>
  </si>
  <si>
    <t>пом.21 (кв.18)</t>
  </si>
  <si>
    <t>пом.4 (кв.29)</t>
  </si>
  <si>
    <t>пом.2 (кв.31)</t>
  </si>
  <si>
    <t>Закиров Дамир Марсович</t>
  </si>
  <si>
    <t>пом.1 (кв.19-21)</t>
  </si>
  <si>
    <t>пом.2 (кв.30,31)</t>
  </si>
  <si>
    <t>пом.4 (кв.10,11)</t>
  </si>
  <si>
    <t>пом.3 (кв.28,29)</t>
  </si>
  <si>
    <t>пом.8 (кв13,14)</t>
  </si>
  <si>
    <t>пом.3 (кв.3)</t>
  </si>
  <si>
    <t>пом.2 (кв18,19)</t>
  </si>
  <si>
    <t>пом.1(кв.3)</t>
  </si>
  <si>
    <t>пом.5 (кв.30)</t>
  </si>
  <si>
    <t>кв.47</t>
  </si>
  <si>
    <t>пом.4 (кв.17)</t>
  </si>
  <si>
    <t>пом.3 (кв.1,2)</t>
  </si>
  <si>
    <t>пом.3 (кв.3,4)</t>
  </si>
  <si>
    <t>кв.35</t>
  </si>
  <si>
    <t>пом.8 (кв.1)</t>
  </si>
  <si>
    <t>пом.2 (кв.38)</t>
  </si>
  <si>
    <t>Жандарбаева Б</t>
  </si>
  <si>
    <t>пом.4 (кв.39)</t>
  </si>
  <si>
    <t>пом.5 (кв.22)</t>
  </si>
  <si>
    <t>пом.10 (кв.23)</t>
  </si>
  <si>
    <t>пом.10 (кв.22)</t>
  </si>
  <si>
    <t>пом.1 (кв.32)</t>
  </si>
  <si>
    <t>пом.2 (кв.1,2)</t>
  </si>
  <si>
    <t>пом.3 (кв.11)</t>
  </si>
  <si>
    <t>пом.4 (кв.12)</t>
  </si>
  <si>
    <t>пом.6 (кв.22,31)</t>
  </si>
  <si>
    <t>пом.7 (кв.21)</t>
  </si>
  <si>
    <t>пом.1 (кв.19,20)</t>
  </si>
  <si>
    <t>пом.4 (кв.1,2)</t>
  </si>
  <si>
    <t>пом.5 (кв.33,34,35)</t>
  </si>
  <si>
    <t>пом.2 (кв.32)</t>
  </si>
  <si>
    <t>пом.3 (кв22,31)</t>
  </si>
  <si>
    <t>пом.1 (кв.1)</t>
  </si>
  <si>
    <t>пом.5 (кв.11)</t>
  </si>
  <si>
    <t>Христовая В</t>
  </si>
  <si>
    <t>пом.6 (кв.12,21)</t>
  </si>
  <si>
    <t>пом.4(кв.2)</t>
  </si>
  <si>
    <t>пом.1 (кв23,24,26,27,28)</t>
  </si>
  <si>
    <t>пом.2 (кв.3,21,22)</t>
  </si>
  <si>
    <t>пом.3 (кв.2)</t>
  </si>
  <si>
    <t>пом.4 (кв.41,50)</t>
  </si>
  <si>
    <t>пом.5 (кв.17)</t>
  </si>
  <si>
    <t>пом.7 (кв.18)</t>
  </si>
  <si>
    <t>пом.8(кв.16)</t>
  </si>
  <si>
    <t>Яременко АД</t>
  </si>
  <si>
    <t>пом.1, пом.1 (кв.40)</t>
  </si>
  <si>
    <t>пом.6 (кв.2)</t>
  </si>
  <si>
    <t>пом.5 (кв.6)</t>
  </si>
  <si>
    <t>пом.6 (кв.4,5)</t>
  </si>
  <si>
    <t>пом.1 (кв.17)</t>
  </si>
  <si>
    <t>пом.2 (кв.2,3)</t>
  </si>
  <si>
    <t>пом.2 (кв.3,16,17,18)</t>
  </si>
  <si>
    <t>пом.1 аптека156</t>
  </si>
  <si>
    <t>пом.2 аптека156</t>
  </si>
  <si>
    <t>пом.1 (кв.2,5)</t>
  </si>
  <si>
    <t>пом.6 (кв.1)</t>
  </si>
  <si>
    <t>пом.3 (кв18,31,32)</t>
  </si>
  <si>
    <t>пом.4 (кв.47)</t>
  </si>
  <si>
    <t>пом.5 (кв16,17)</t>
  </si>
  <si>
    <t>пом.7 (кв.33,46)</t>
  </si>
  <si>
    <t>пом.10 (кв.48)</t>
  </si>
  <si>
    <t>пом.1 (кв.23,42)</t>
  </si>
  <si>
    <t>пом.4 (кв.2,3)</t>
  </si>
  <si>
    <t>пом.3 (кв.43)</t>
  </si>
  <si>
    <t>пом.2 (кв.1)</t>
  </si>
  <si>
    <t>пом.3 (кв.42)</t>
  </si>
  <si>
    <t>пом.4 (кв.1,2,3,4,21)</t>
  </si>
  <si>
    <t>пом.5 (кв.22,23)</t>
  </si>
  <si>
    <t>пом.3 подвал</t>
  </si>
  <si>
    <t>пом.1 (кв.60,61)</t>
  </si>
  <si>
    <t>пом.5 (кв.25)</t>
  </si>
  <si>
    <t>пом.12 (кв.1)</t>
  </si>
  <si>
    <t>МП ТФХ (сантехника)</t>
  </si>
  <si>
    <t>пом.1 (кв.14)</t>
  </si>
  <si>
    <t>Яременко А</t>
  </si>
  <si>
    <t>пом.4 (кв.6)</t>
  </si>
  <si>
    <t>пом.3 (кв.1)</t>
  </si>
  <si>
    <t>пом.2 (кв2,9)</t>
  </si>
  <si>
    <t>пом.15 (кв.30)</t>
  </si>
  <si>
    <t>пом.13 (кв.10)</t>
  </si>
  <si>
    <t>пом.12 (кв.3)</t>
  </si>
  <si>
    <t>пом.14 (кв.19,20)</t>
  </si>
  <si>
    <t>пом.1 (кв.28)</t>
  </si>
  <si>
    <t>пом.11 (кв.12)</t>
  </si>
  <si>
    <t>пом.1 (кв.10,20)</t>
  </si>
  <si>
    <t>пом.3(кв.29)</t>
  </si>
  <si>
    <t>пом.5 (кв.12)</t>
  </si>
  <si>
    <t>пом.13 (кв.28)</t>
  </si>
  <si>
    <t>пом.11 (кв.21)</t>
  </si>
  <si>
    <t>пом.3 (кв.24)</t>
  </si>
  <si>
    <t>пом.8 (кв.23)</t>
  </si>
  <si>
    <t>пом.9 (кв.72,73)</t>
  </si>
  <si>
    <t>пом.10 (кв.58)</t>
  </si>
  <si>
    <t>пом.11 (кв.11)</t>
  </si>
  <si>
    <t>Лифт</t>
  </si>
  <si>
    <t>Чапаева, 23</t>
  </si>
  <si>
    <t>Чапаева, 8</t>
  </si>
  <si>
    <t>Набережная, 14</t>
  </si>
  <si>
    <t>Ломоносова, 7</t>
  </si>
  <si>
    <t>Куйбышева, 28</t>
  </si>
  <si>
    <t>Куйбышева, 25</t>
  </si>
  <si>
    <t>Комсомольская, 5</t>
  </si>
  <si>
    <t>Комсомольская, 1</t>
  </si>
  <si>
    <t>15</t>
  </si>
  <si>
    <t>17</t>
  </si>
  <si>
    <t>18</t>
  </si>
  <si>
    <t>19</t>
  </si>
  <si>
    <t>20</t>
  </si>
  <si>
    <t>21</t>
  </si>
  <si>
    <r>
      <t>Итого м</t>
    </r>
    <r>
      <rPr>
        <b/>
        <vertAlign val="superscript"/>
        <sz val="10"/>
        <color indexed="8"/>
        <rFont val="Calibri"/>
        <family val="2"/>
        <charset val="204"/>
        <scheme val="minor"/>
      </rPr>
      <t>2</t>
    </r>
  </si>
  <si>
    <t>Малахова Марина Викторовна (смена фамилии с Резепкиной)</t>
  </si>
  <si>
    <t>Площадь нежилых, (м2) Выкуп</t>
  </si>
  <si>
    <t>Площадь нежилых, (м2) Аренда</t>
  </si>
  <si>
    <t>ОТДЕЛЬНОСТОЯЩИЕ</t>
  </si>
  <si>
    <t>Ленинградская, 36</t>
  </si>
  <si>
    <t>Суворова, 33/1</t>
  </si>
  <si>
    <t>Суворова, 84</t>
  </si>
  <si>
    <t>Комсомольская, 3а</t>
  </si>
  <si>
    <t>ВСЕГО нежилые встроенные, в т.ч. собственные нужды (проверочная)</t>
  </si>
  <si>
    <t>ВСЕГО</t>
  </si>
  <si>
    <t>Уральская, 36/4</t>
  </si>
  <si>
    <t>группа фасадов</t>
  </si>
  <si>
    <t>проверочная►</t>
  </si>
  <si>
    <t>Общая площадь</t>
  </si>
  <si>
    <t>Площадь нежилых помещений</t>
  </si>
  <si>
    <t>Общая нежилая площадь (ЕРКЦ) м2</t>
  </si>
  <si>
    <t>Площадь общего имущества (свободное+аренда), Sои (м2)</t>
  </si>
  <si>
    <t>ООО "Оптима"</t>
  </si>
  <si>
    <t>пом.3 (кв.27)</t>
  </si>
  <si>
    <t>пом.10 (кв.51,60,61)</t>
  </si>
  <si>
    <t>пом.1 (кв.19)</t>
  </si>
  <si>
    <t>пом.23 (кв.3)</t>
  </si>
  <si>
    <t>пом.9 (кв.94)</t>
  </si>
  <si>
    <t>пом.20 (кв.26)</t>
  </si>
  <si>
    <t>пом.1 (кв.1,2,3)</t>
  </si>
  <si>
    <t>пом.7 (кв.48)</t>
  </si>
  <si>
    <t>пом.10 (кв.39)</t>
  </si>
  <si>
    <t>пом.29 (кв.41)</t>
  </si>
  <si>
    <t>пом.22 (кв.53)</t>
  </si>
  <si>
    <t>пом.20 (кв.48)</t>
  </si>
  <si>
    <t>МП "Маггортранс"</t>
  </si>
  <si>
    <t>цоколь</t>
  </si>
  <si>
    <t>пом.1 (подвал)</t>
  </si>
  <si>
    <t>Площадь жилая</t>
  </si>
  <si>
    <t>ЕРКЦ "минус" ДО</t>
  </si>
  <si>
    <t>под.2 отопления нет (12,7)</t>
  </si>
  <si>
    <t>пом.8 (кв.3)</t>
  </si>
  <si>
    <t>пом.4 (кв.59,60)</t>
  </si>
  <si>
    <t>пом.1 (кв.35)</t>
  </si>
  <si>
    <t>пом.4 (кв.46)</t>
  </si>
  <si>
    <t>пом. 10, под.3 (16,7м2 свободно)</t>
  </si>
  <si>
    <t>цокольный</t>
  </si>
  <si>
    <t>УУТЭ</t>
  </si>
  <si>
    <t>пом.12 (кв.19,29,30)</t>
  </si>
  <si>
    <t>пом.11,12,13</t>
  </si>
  <si>
    <t>пом.20 (кв.34)</t>
  </si>
  <si>
    <t>подвал+под.2 (119,7-39)</t>
  </si>
  <si>
    <t>пом.10 (кв.21)</t>
  </si>
  <si>
    <t>пом.21 (кв.39)</t>
  </si>
  <si>
    <t>пом.2 (кв.32,33)</t>
  </si>
  <si>
    <t>пом.4 (1й этаж+антресоль)</t>
  </si>
  <si>
    <t>пом.11 (кв.77)</t>
  </si>
  <si>
    <t>пом.8 (кв.17)</t>
  </si>
  <si>
    <t>пом.12 (кв.8)</t>
  </si>
  <si>
    <t>пом.2 (с №3,4 и 1,2 часть)</t>
  </si>
  <si>
    <t>пом.2 (с №5-13 и 1,2 часть)</t>
  </si>
  <si>
    <t>пом.26</t>
  </si>
  <si>
    <t>РФ</t>
  </si>
  <si>
    <t>пом.1 (кв.13, л/к)</t>
  </si>
  <si>
    <t>пом.2, 2а</t>
  </si>
  <si>
    <t>пом.5 (ЖЭУ-14, электрики, строй.группа)</t>
  </si>
  <si>
    <t>пом.6 (контора)</t>
  </si>
  <si>
    <t>пом.7 (общ.туалет)</t>
  </si>
  <si>
    <t>пом.1,3,5</t>
  </si>
  <si>
    <t>Могилев</t>
  </si>
  <si>
    <t>пом.1 (перевели в жилое)</t>
  </si>
  <si>
    <t>пом. 3 (кв.61)</t>
  </si>
  <si>
    <t>пом. 4 (кв.48)</t>
  </si>
  <si>
    <t>пом.21 (кв.80)</t>
  </si>
  <si>
    <t>пом.20 (кв.76)</t>
  </si>
  <si>
    <t>пом.21 (кв.32)</t>
  </si>
  <si>
    <t>пом.43 (кв.43)</t>
  </si>
  <si>
    <t>Собственник помещения (информация не актуальна, уточняйте в ДО)</t>
  </si>
  <si>
    <t>№ помещения (информация не актуальна, уточняйте в ДО)</t>
  </si>
  <si>
    <t>Площадь общего имущества (свободное), Sои (м2) {21+29+31+36}</t>
  </si>
  <si>
    <t>пом.15 (кв.3)</t>
  </si>
  <si>
    <t>пом.7 (кв.50)</t>
  </si>
  <si>
    <t>пом.9 (кв.15)</t>
  </si>
  <si>
    <t>пом.20 (кв.29)</t>
  </si>
  <si>
    <t>Шорин Евгений Юрьевич</t>
  </si>
  <si>
    <t>ООО "Металлург-М"</t>
  </si>
  <si>
    <t>АНО ДПО "Корпоративный центр подготовки кадров "Персонал"</t>
  </si>
  <si>
    <t>Лаптов Сергей Владимирович</t>
  </si>
  <si>
    <t>пом. 1 (кв.19,20)</t>
  </si>
  <si>
    <t>Попов Сергей Николаевич</t>
  </si>
  <si>
    <t xml:space="preserve">пом. 1 пристрой </t>
  </si>
  <si>
    <t xml:space="preserve">пом. 5 (кафе) </t>
  </si>
  <si>
    <t>Михайлов Александр Семенович</t>
  </si>
  <si>
    <t>пом.3 (м-н Деметра)</t>
  </si>
  <si>
    <t>Капица Альфия Раяловна, Капица СВ</t>
  </si>
  <si>
    <t>пом. 7</t>
  </si>
  <si>
    <t>пом.17 (кв. 30)</t>
  </si>
  <si>
    <t>Калугин Владимир Анатольевич</t>
  </si>
  <si>
    <t>Симонова Елена Иосифовна</t>
  </si>
  <si>
    <t>пом. 5 (кв. 19)</t>
  </si>
  <si>
    <t>пом.20 (кв. 3)</t>
  </si>
  <si>
    <t>пом.1 (кв. 10)</t>
  </si>
  <si>
    <t>Климина Татьяна Валерьевна</t>
  </si>
  <si>
    <t>ООО "МГС"</t>
  </si>
  <si>
    <t>Гараж бокс2 (пом. 2)</t>
  </si>
  <si>
    <t>Маринин Сергей Владимирович</t>
  </si>
  <si>
    <t>Эл.механ.участок (пом.11)</t>
  </si>
  <si>
    <t>пом.4 (кв.11)</t>
  </si>
  <si>
    <t>Яценко Людмила Анатольевна</t>
  </si>
  <si>
    <t>пом.9 (кв.25)</t>
  </si>
  <si>
    <t>пом.1 (кв.40)</t>
  </si>
  <si>
    <t>Глебова Оксана Юрьевна</t>
  </si>
  <si>
    <t>пом.1 (кв.77)</t>
  </si>
  <si>
    <t>АО "ТК "Класс"</t>
  </si>
  <si>
    <t>ООО "МК Ресурс"</t>
  </si>
  <si>
    <t>пом.10 (кв.72)</t>
  </si>
  <si>
    <t>СНТ "Березовая роща"</t>
  </si>
  <si>
    <t>СНТ "Уралец"</t>
  </si>
  <si>
    <t>ООО "Отдых"</t>
  </si>
  <si>
    <t>пом.6 (кв.62)</t>
  </si>
  <si>
    <t>пом.20 (кв.43)</t>
  </si>
  <si>
    <t>пом.21 (кв.42,42а)</t>
  </si>
  <si>
    <t>пом.22 (кв.32)</t>
  </si>
  <si>
    <t>пом.5 (кв.63)</t>
  </si>
  <si>
    <t xml:space="preserve">пристрой </t>
  </si>
  <si>
    <t>Богданова Марина Николаевна</t>
  </si>
  <si>
    <t>Галкин Евгений Дмитриевич</t>
  </si>
  <si>
    <t>Котова Светлана Юрьевна</t>
  </si>
  <si>
    <t>Сорокин Иван Юрьевич</t>
  </si>
  <si>
    <t>подвал пом.2 (с № 4,5+МОП)</t>
  </si>
  <si>
    <t>подвал пом.2 (с № 2+МОП)</t>
  </si>
  <si>
    <t>Куницина Мария Николаевна</t>
  </si>
  <si>
    <t>пом.8 (с №1,4) МОП в 1/2</t>
  </si>
  <si>
    <t>пом.8 (с №2,3,5,6,7)+(с №1,4 МОП 1/2)</t>
  </si>
  <si>
    <t>Кузьмин Игорь Викторович</t>
  </si>
  <si>
    <t>Администрация города Магнитогорска (БФ "МЕТАЛЛУРГ")</t>
  </si>
  <si>
    <t>пом. 2 (кв.31)</t>
  </si>
  <si>
    <t>Вейс Алексей Викторович</t>
  </si>
  <si>
    <t>пом.3 (кв. 62) М-н "Эдельвейс"</t>
  </si>
  <si>
    <t>пом.1 (кв.22,23,24)</t>
  </si>
  <si>
    <t>Теплицкая Людмила Николаевна</t>
  </si>
  <si>
    <t>пом. 1 (кв.47) М-н Обувь</t>
  </si>
  <si>
    <t>пом. 11 (кв.33) М-н пром.</t>
  </si>
  <si>
    <t>Малков Антон Валерьевич</t>
  </si>
  <si>
    <t>пом.2 (подвал)</t>
  </si>
  <si>
    <t>Прокушева Вера Юрьевна</t>
  </si>
  <si>
    <t>пом.3 (кв.51), 7</t>
  </si>
  <si>
    <t>Левин Георгий Игоревич</t>
  </si>
  <si>
    <t>Администрация города Магнитогорска (аренда ООО "ЖРЭУ № 5)</t>
  </si>
  <si>
    <t>пом. 6</t>
  </si>
  <si>
    <t>пом.3 М-н "ХОЗЯЮШКА"</t>
  </si>
  <si>
    <t>пом.23 (кв.33)</t>
  </si>
  <si>
    <t>пом.4 (цоколь)</t>
  </si>
  <si>
    <t>пом.3 (кв. 43,44) М-н Стройматериалы</t>
  </si>
  <si>
    <t>Чан Розалия Рысьяновна, Чан Хыу-Чунг</t>
  </si>
  <si>
    <t>пом.22 (кв.81)</t>
  </si>
  <si>
    <t>Тимаков Сергей Владимирович</t>
  </si>
  <si>
    <t>пом.33 Сад тов-во " Березовая роща"</t>
  </si>
  <si>
    <t>СПК "Горняк"</t>
  </si>
  <si>
    <t>пом.31,30 (МОП в 1/2)</t>
  </si>
  <si>
    <t>пом.32,30 (МОП в 1/2)</t>
  </si>
  <si>
    <t>Администрация города Магнитогорска (Ленинский район)</t>
  </si>
  <si>
    <t>пом.31,30 (МОП в 1/2) Комитет ТОС</t>
  </si>
  <si>
    <t>пом.2 (с № 1)+пом.30 (МОП в 1/2)</t>
  </si>
  <si>
    <t>Соколов Александр Михайлович</t>
  </si>
  <si>
    <t>Вилкова Алла Владимировна</t>
  </si>
  <si>
    <t>пом.3 (кв.31)</t>
  </si>
  <si>
    <t>Начаров Николай Иванович</t>
  </si>
  <si>
    <t>пом.4 (кв.2,3,16) М-н "Цветы России"</t>
  </si>
  <si>
    <t>пом.6 М-н "Продукты" (подвал)(н.16,11)</t>
  </si>
  <si>
    <t>СОЮЗ САДОВОДОВ МГА</t>
  </si>
  <si>
    <t>пом.3 (подвал)</t>
  </si>
  <si>
    <t>ФГУП   "Почта России" (филиал)</t>
  </si>
  <si>
    <t xml:space="preserve">пом.6 ОПС №4 </t>
  </si>
  <si>
    <t>пом.10 Офис "Ипотечный фонд недвижимости"</t>
  </si>
  <si>
    <t>пом.4 М-н "Вальс цветов"</t>
  </si>
  <si>
    <t>пом.1 (кв.23)</t>
  </si>
  <si>
    <t>Дуган Галия Наильевна</t>
  </si>
  <si>
    <t>Сабаш Мария Юрьевна</t>
  </si>
  <si>
    <t>Шеховцова Екатерина Васильевна</t>
  </si>
  <si>
    <t>МКУК "Магнитогорский историко-краеведческий музей"</t>
  </si>
  <si>
    <t>Теплых Наталья Николаевна</t>
  </si>
  <si>
    <t xml:space="preserve">пом. 1 (цоколь) М-н "Мир красок" </t>
  </si>
  <si>
    <t>Краснова Лариса Владимировна</t>
  </si>
  <si>
    <t>Кувшинова Ангелина Геннадьевна ИП</t>
  </si>
  <si>
    <t xml:space="preserve">пом. 5 </t>
  </si>
  <si>
    <t>пом.1 (с № 4,11 и 2,5 частично) цоколь</t>
  </si>
  <si>
    <t>Руппель Наталья Александровна</t>
  </si>
  <si>
    <t>ООО "Фармленд-УралЦентр"</t>
  </si>
  <si>
    <t>Администрация города Магнитогорска (МБУ ФОК "Умка" города Магнитогорска)</t>
  </si>
  <si>
    <t>Мазаев Алексей Владимирович</t>
  </si>
  <si>
    <t>пом.22</t>
  </si>
  <si>
    <t>Администрация города Магнитогорска (МП "Маггортранс")</t>
  </si>
  <si>
    <t>Администрация города Магнитогорска (Администрация Ленинского района)</t>
  </si>
  <si>
    <t>Администрация города Магнитогорска (аренда - Аляпкин Денис Викторович)</t>
  </si>
  <si>
    <t>пом. 1 Кафе "Урал"(из д.1410 с 01.04.2009)</t>
  </si>
  <si>
    <t>Ракитин Александр Николаевич</t>
  </si>
  <si>
    <t>Аитов Александр Алексеевич</t>
  </si>
  <si>
    <t>Исаев Константин Петрович</t>
  </si>
  <si>
    <t>Бахтин Игорь Вячеславович</t>
  </si>
  <si>
    <t>ИП Литвиненко Семен Эдуардович</t>
  </si>
  <si>
    <t>Авраменко Юлия Петровна</t>
  </si>
  <si>
    <t>Легенько Валентина Владимировна</t>
  </si>
  <si>
    <t>Кондрух Михаил Вячеславович</t>
  </si>
  <si>
    <t>Ондулин</t>
  </si>
  <si>
    <t>Носова Людмила Ивановна</t>
  </si>
  <si>
    <t>пом. 1 (пристрой)</t>
  </si>
  <si>
    <t>Администрация города Магнитогорска (МУ "Родильный дом №1")</t>
  </si>
  <si>
    <t>Кравченко Екатерина Юрьевна</t>
  </si>
  <si>
    <t>Маслов Леонид Анатольевич</t>
  </si>
  <si>
    <t>пом. 9 (кв. 19) М-н</t>
  </si>
  <si>
    <t>пом. 7 (кв.34) М-н "Домашний уют"</t>
  </si>
  <si>
    <t>пом. 13 (кв. 68) М-н</t>
  </si>
  <si>
    <t>Сомов Алексей Юрьевич</t>
  </si>
  <si>
    <t>пом. 1а (подвал) (н.1,22)</t>
  </si>
  <si>
    <t>Администрация города Магнитогорска (МГООЗЖ "Зоосити")</t>
  </si>
  <si>
    <t>пом.27 (кв.21,22) Кафе</t>
  </si>
  <si>
    <t>Ильина-Шрейдер Ксения Петровна</t>
  </si>
  <si>
    <t>пом.2 М-н (из 742)</t>
  </si>
  <si>
    <t>пом.22 (подвал)</t>
  </si>
  <si>
    <t>пом.13 (кв.4)</t>
  </si>
  <si>
    <t>пом.7 (подвал)</t>
  </si>
  <si>
    <t>Кутнова Марина Алексеевна</t>
  </si>
  <si>
    <t>Пыталев Иван Алексеевич</t>
  </si>
  <si>
    <t>Улановская Наталья Григорьевна</t>
  </si>
  <si>
    <t>пом.2 (кв. 10)</t>
  </si>
  <si>
    <t>пом.1 (кв. 3)</t>
  </si>
  <si>
    <t>Бречкова Валерия Дмитриевна</t>
  </si>
  <si>
    <t>Аникин Николай Борисович</t>
  </si>
  <si>
    <t>пом. 6, 7 (общ.туалет)</t>
  </si>
  <si>
    <t>пом. 10, 11 (общ.туалет)</t>
  </si>
  <si>
    <t>ООО "РДМ-Принт"</t>
  </si>
  <si>
    <t>пом.1 (в т.ч. пристрой)</t>
  </si>
  <si>
    <t xml:space="preserve">пом.3 (кв. 1) Офис </t>
  </si>
  <si>
    <t>Юсупов Азат Асгатович</t>
  </si>
  <si>
    <t>пом. 32 (подвал)</t>
  </si>
  <si>
    <t>Нижегородов Александр Дмитриевич</t>
  </si>
  <si>
    <t>пом.20 (кв. 19, 20)</t>
  </si>
  <si>
    <t>пом.2 (кв. 18)</t>
  </si>
  <si>
    <t>Потапова Елизавета Николаевна</t>
  </si>
  <si>
    <t>Шабалина Марина Валерьевна</t>
  </si>
  <si>
    <t>пом.6 (часть с №24-35)</t>
  </si>
  <si>
    <t>АО "ТК Класс"</t>
  </si>
  <si>
    <t>Шаталюк Александр Иванович</t>
  </si>
  <si>
    <t>пом.1 (пристрой, м-н Магнит)</t>
  </si>
  <si>
    <t>Мешков Иван Викторович</t>
  </si>
  <si>
    <t>пом. 1 (подвал)</t>
  </si>
  <si>
    <t>ЦУМ (пом.6)(встр. часть с № 22,23)</t>
  </si>
  <si>
    <t>ЦУМ (пом.3) встр. часть+пристрой</t>
  </si>
  <si>
    <t>ЦУМ (пом.4) встр. часть+пристрой</t>
  </si>
  <si>
    <t>ЦУМ (пом.5) встр. часть+пристрой</t>
  </si>
  <si>
    <t>Петров Кирилл Владимирович</t>
  </si>
  <si>
    <t>пом.8 (подвал)</t>
  </si>
  <si>
    <t>Разараева Луиза Азатовна</t>
  </si>
  <si>
    <t>Мусаев Хаял Мехти-оглы</t>
  </si>
  <si>
    <t>ООО "ПЕРСПЕКТИВА"</t>
  </si>
  <si>
    <t>Волкова Татьяна Владимировна</t>
  </si>
  <si>
    <t>пом.2 (кв.13) М-н "GQ"</t>
  </si>
  <si>
    <t>пом.3 (кв.14)</t>
  </si>
  <si>
    <t>Репникова Елена Леонидовна</t>
  </si>
  <si>
    <t>Ведерникова Светлана Владимировна</t>
  </si>
  <si>
    <t>Администрация города Магнитогорска (МП Трест "Теплофикация")</t>
  </si>
  <si>
    <t>Коверникова Екатерина Васильевна</t>
  </si>
  <si>
    <t>пом. 6 подвал</t>
  </si>
  <si>
    <t>Моисеенко Михаил Владимирович</t>
  </si>
  <si>
    <t>Костюченко Антон Вячеславович</t>
  </si>
  <si>
    <t>пом.2 (кв. 26,27,28)</t>
  </si>
  <si>
    <t>Киселев Кирилл Александрович</t>
  </si>
  <si>
    <t>пом. 1 М-н "Бригадир" (доля 1/2)</t>
  </si>
  <si>
    <t>пом.1 М-н "Бригадир" (доля 1/2)</t>
  </si>
  <si>
    <t>под. 3</t>
  </si>
  <si>
    <t>ООО "ДЖОФЕЛ Южный Урал"</t>
  </si>
  <si>
    <t>Кузовлев Анатолий Васильевич</t>
  </si>
  <si>
    <t xml:space="preserve">пом. 6 </t>
  </si>
  <si>
    <t>пом. 1 подвал</t>
  </si>
  <si>
    <t>пом.2а</t>
  </si>
  <si>
    <t>Точилкина Валентина Никоновна</t>
  </si>
  <si>
    <t>Саяпин Игорь Владимирович</t>
  </si>
  <si>
    <t>пом.10 (кв. 141) Офис</t>
  </si>
  <si>
    <t>Терехина Олеся Михайловна, Шайдуллина ЕМ</t>
  </si>
  <si>
    <t>Батрасова Ольга Михайловна</t>
  </si>
  <si>
    <t>Бойлерные, тепловые камеры (МП трест Теплофикация), м2</t>
  </si>
  <si>
    <r>
      <t>Общая площадьSд=Sжил+Sнеж+Sобщ.им+Sспец+Sтрансф.+Sбойлерн, м</t>
    </r>
    <r>
      <rPr>
        <vertAlign val="superscript"/>
        <sz val="8"/>
        <rFont val="Calibri"/>
        <family val="2"/>
        <charset val="204"/>
        <scheme val="minor"/>
      </rPr>
      <t xml:space="preserve">2 </t>
    </r>
    <r>
      <rPr>
        <vertAlign val="superscript"/>
        <sz val="7"/>
        <rFont val="Calibri"/>
        <family val="2"/>
        <charset val="204"/>
        <scheme val="minor"/>
      </rPr>
      <t>{ВСЕГО=13+14+19+24+37}</t>
    </r>
  </si>
  <si>
    <t xml:space="preserve">Сводная характеристика жилфонда ООО УК "Логист" по состоянию на </t>
  </si>
  <si>
    <t>Итого по ООО УК "Логист"</t>
  </si>
  <si>
    <t>Чернышев Дмитрий Владимирович</t>
  </si>
  <si>
    <t xml:space="preserve">пом.3,7,8 </t>
  </si>
  <si>
    <t>пом.11 (кв.3)</t>
  </si>
  <si>
    <t>Селякова Татьяна Петровна</t>
  </si>
  <si>
    <t>Губаревич Инна Николаевна</t>
  </si>
  <si>
    <t xml:space="preserve">Администрация города Магнитогорска </t>
  </si>
  <si>
    <t>Тихонова Наталья Витальевна</t>
  </si>
  <si>
    <t>Черебякин Денис Васильевич</t>
  </si>
  <si>
    <t>пом.1 (кв. 2,3)</t>
  </si>
  <si>
    <t>Данилова Татьяна Викторовна</t>
  </si>
  <si>
    <t>Гареева Люция Гарифовна</t>
  </si>
  <si>
    <t>АНО "ЦКМСЧ"</t>
  </si>
  <si>
    <t>Еремеев Сергей Алексеевич</t>
  </si>
  <si>
    <t>под.1 (пл. 9,3 м2)</t>
  </si>
  <si>
    <t>Договора с РСО                Г, Т, Х, Э</t>
  </si>
  <si>
    <t>г, т, х, э</t>
  </si>
  <si>
    <t>пом. 3,4,5 (бывш. общ.туалет)</t>
  </si>
  <si>
    <t>Галныкин Вадим Владимирович, Мерзляков Е.В.</t>
  </si>
  <si>
    <t>Димитриев Валерий Александрович</t>
  </si>
  <si>
    <t>Филиппов Дмитрий Николаевич</t>
  </si>
  <si>
    <t>пом.1 цоколь (С № 2,5-1/3доля как МОП)</t>
  </si>
  <si>
    <t>пом. 8 (кв. 31)</t>
  </si>
  <si>
    <t>Зенков Павел Александрович</t>
  </si>
  <si>
    <t>пом.1 (кв. 32)</t>
  </si>
  <si>
    <t>пом.21 (кв.74)</t>
  </si>
  <si>
    <t>Сак Борис Леонидович</t>
  </si>
  <si>
    <t>Администрация города Магнитогорска   (Администрация  Ленинского района)</t>
  </si>
  <si>
    <t>пом.20 М-н (нет ГВС, акт 18.06.2009)</t>
  </si>
  <si>
    <t>пом.22 (кв.39)+под.4(аренда) М-н "Мир дверей и окон"</t>
  </si>
  <si>
    <t>Корда Анна Олеговна</t>
  </si>
  <si>
    <t>пом.15 Офис</t>
  </si>
  <si>
    <t>Степень благоустройства</t>
  </si>
  <si>
    <t xml:space="preserve"> +</t>
  </si>
  <si>
    <r>
      <t>МКД с центр-м ХВС и ГВС, ВО, оборудованные унитазами, раковинами, мойками, ванными</t>
    </r>
    <r>
      <rPr>
        <b/>
        <sz val="7"/>
        <rFont val="Calibri"/>
        <family val="2"/>
        <charset val="204"/>
        <scheme val="minor"/>
      </rPr>
      <t xml:space="preserve"> L=1,5-1,55м </t>
    </r>
    <r>
      <rPr>
        <sz val="7"/>
        <rFont val="Calibri"/>
        <family val="2"/>
        <charset val="204"/>
        <scheme val="minor"/>
      </rPr>
      <t>с душем</t>
    </r>
  </si>
  <si>
    <r>
      <t>МКД с центр-м ХВС и ГВС, ВО, оборудованные унитазами, раковинами, мойками, ванными</t>
    </r>
    <r>
      <rPr>
        <b/>
        <sz val="7"/>
        <rFont val="Calibri"/>
        <family val="2"/>
        <charset val="204"/>
        <scheme val="minor"/>
      </rPr>
      <t xml:space="preserve"> L=1,65-1,7м</t>
    </r>
    <r>
      <rPr>
        <sz val="7"/>
        <rFont val="Calibri"/>
        <family val="2"/>
        <charset val="204"/>
        <scheme val="minor"/>
      </rPr>
      <t xml:space="preserve"> с душем</t>
    </r>
  </si>
  <si>
    <r>
      <t xml:space="preserve">МКД с центр-м ХВС и ГВС, ВО, оборудованные унитазами, раковинами, мойками, </t>
    </r>
    <r>
      <rPr>
        <sz val="7"/>
        <rFont val="Calibri"/>
        <family val="2"/>
        <charset val="204"/>
        <scheme val="minor"/>
      </rPr>
      <t>душем</t>
    </r>
  </si>
  <si>
    <t>Титаренко Елена Евгеньевна</t>
  </si>
  <si>
    <t>Груднева Светлана Сергеевна</t>
  </si>
  <si>
    <t>пом.20 (кв. 2)</t>
  </si>
  <si>
    <t>пом.8 (с №8,9,10) подв. 34,5</t>
  </si>
  <si>
    <t>Иванова Ирина Сагидулловна ИП</t>
  </si>
  <si>
    <t>Сарынина Ирина Евгеньевна, Адамова С.А.</t>
  </si>
  <si>
    <t xml:space="preserve">пом.4 (кв.52) М-н "PIONEER LONDON" </t>
  </si>
  <si>
    <t>Тарасова Елена Геннадьевна</t>
  </si>
  <si>
    <t>Антипова Альфия Рафкатовна</t>
  </si>
  <si>
    <t>пом.17 (кв.82) Турагентство</t>
  </si>
  <si>
    <t>Шумин Денис Сергеевич, Макарова Н.В.</t>
  </si>
  <si>
    <t>Зимин Олег Николаевич</t>
  </si>
  <si>
    <t>Каплина Ольга Александровна</t>
  </si>
  <si>
    <t>пом.21 (кв. 17)</t>
  </si>
  <si>
    <t>пом. 4 (кв.51)</t>
  </si>
  <si>
    <t>пом.10 (кв. 2)</t>
  </si>
  <si>
    <t>пом.7 (кв. 46,47)</t>
  </si>
  <si>
    <t>Исаев Александр Владимирович</t>
  </si>
  <si>
    <t>пом.8 (кв. 12)</t>
  </si>
  <si>
    <t>пом.11 (кв. 2)</t>
  </si>
  <si>
    <t>Ширяева Евгения Алексеевна</t>
  </si>
  <si>
    <t>Побережный Михаил Владимирович, Побережный СВ</t>
  </si>
  <si>
    <t>Абакаров Аюб Шихкеримович</t>
  </si>
  <si>
    <r>
      <rPr>
        <strike/>
        <sz val="10"/>
        <rFont val="Calibri"/>
        <family val="2"/>
        <charset val="204"/>
        <scheme val="minor"/>
      </rPr>
      <t>пом.18</t>
    </r>
    <r>
      <rPr>
        <sz val="10"/>
        <rFont val="Calibri"/>
        <family val="2"/>
        <charset val="204"/>
        <scheme val="minor"/>
      </rPr>
      <t xml:space="preserve"> (кв.133) перевод в жилое</t>
    </r>
  </si>
  <si>
    <t>пом.10 (нет ГВС,ждем акт)</t>
  </si>
  <si>
    <t>Игнатов Денис Владимирович, Колюбаев АВ</t>
  </si>
  <si>
    <t>пом. Офис</t>
  </si>
  <si>
    <t>ООО "СТРОЙГАРАНТ"</t>
  </si>
  <si>
    <t>пом.20 М-н "Российские стальные двери" цоколь</t>
  </si>
  <si>
    <t>подвал, п/подвал</t>
  </si>
  <si>
    <t>Фадеев Михаил Павлович</t>
  </si>
  <si>
    <t>пом.9 (кв. 1,2,3,16,17,18)</t>
  </si>
  <si>
    <t>под.1 (пл. 13,5 м2)</t>
  </si>
  <si>
    <t>пом.8 (кв. 52)</t>
  </si>
  <si>
    <t>ООО "ОСНОВА"</t>
  </si>
  <si>
    <t>пом.3,4 (общ.туалет)</t>
  </si>
  <si>
    <t>Морозова Надежда Александровна</t>
  </si>
  <si>
    <t>пом.6 (кв. 1) м-н "Промтовары"</t>
  </si>
  <si>
    <t>под.1 (пл.16,0 м2)</t>
  </si>
  <si>
    <t>под.2 (пл. 12,8м2)</t>
  </si>
  <si>
    <t>Лапан Юрий Михайлович</t>
  </si>
  <si>
    <t>Головина Нина Николаевна, Вилкова Г.Б.</t>
  </si>
  <si>
    <t>пом. 9 М-н "Злато"</t>
  </si>
  <si>
    <t>Кашлев Кирилл Олегович</t>
  </si>
  <si>
    <t>подвал (аренда)</t>
  </si>
  <si>
    <t>ПАО "САК "Энергогарант"</t>
  </si>
  <si>
    <t>под.1 (аренда л/кл 8,7 м2)</t>
  </si>
  <si>
    <t xml:space="preserve">пом.2 </t>
  </si>
  <si>
    <t>Порсев Михаил Викторович</t>
  </si>
  <si>
    <t>пом.1 +кв.12</t>
  </si>
  <si>
    <t>пом.16 (кв. 26)</t>
  </si>
  <si>
    <t>пом.6 (кв. 60, 61) М-н "Ткани"</t>
  </si>
  <si>
    <t>Алабужин Антон Евгеньевич</t>
  </si>
  <si>
    <t>пом. 2 Офис</t>
  </si>
  <si>
    <t>Лушник Виктор Анатольевич</t>
  </si>
  <si>
    <t xml:space="preserve">пом.14 (кв. 142,143) Студия красоты </t>
  </si>
  <si>
    <t>Мирзоян Валерик Ростомович</t>
  </si>
  <si>
    <t>пом.20 (кв. 23,24) Кооператив "Магнит"</t>
  </si>
  <si>
    <t>пом.1 (кв.16,17,18) М-н Окна-Двери</t>
  </si>
  <si>
    <t>пом. 10 (кв. 26)</t>
  </si>
  <si>
    <t>Гиниятов Рушан Рифович</t>
  </si>
  <si>
    <t>Администрация города Магнитогорска (ООО ЕРКЦ)</t>
  </si>
  <si>
    <t>пом.15 (кв. 35)</t>
  </si>
  <si>
    <t>Гуленко Александр Михайлович</t>
  </si>
  <si>
    <t>пом.4 (кв. 55)</t>
  </si>
  <si>
    <t>Абросимова Татьяна Васильевна</t>
  </si>
  <si>
    <t>Гусев Геннадий Васильевич</t>
  </si>
  <si>
    <t>Мухачев Евгений Борисович</t>
  </si>
  <si>
    <t>под.2 (аренда 11,1м2)</t>
  </si>
  <si>
    <t>Сафонова Елена Владимировна</t>
  </si>
  <si>
    <t>пом.3 к. 1 (бойлерная)</t>
  </si>
  <si>
    <t>пом.2 к. 1 (бойлерная)</t>
  </si>
  <si>
    <t>пом.2 к. 3 (бойлерная)</t>
  </si>
  <si>
    <t>пом.1(бойлерная)</t>
  </si>
  <si>
    <t>пом.3 к.1 (бойлерная)</t>
  </si>
  <si>
    <t>пом.1 к.15 (бойлерная)</t>
  </si>
  <si>
    <t>пом.2 к.1 (бойлерная)</t>
  </si>
  <si>
    <t>пом.2 к.2 (бойлерная)</t>
  </si>
  <si>
    <t>пом.1 (бойлерная)</t>
  </si>
  <si>
    <t>пом.3 к.1,2 (бойлерная)</t>
  </si>
  <si>
    <t>пом.20 (бойлерная)</t>
  </si>
  <si>
    <t>пом.12 (бойлерная)</t>
  </si>
  <si>
    <t>пом.5 (бойлерная)</t>
  </si>
  <si>
    <t>пом.12(бойлерная)</t>
  </si>
  <si>
    <t>Администрация города Магнитогорска (Казачье общество "Станица Магнитная")</t>
  </si>
  <si>
    <t>пом.4 к.3 (бойлерная)</t>
  </si>
  <si>
    <t>пом.15(бойлерная)</t>
  </si>
  <si>
    <t>пом.2 к.1(бойлерная)</t>
  </si>
  <si>
    <t>пом.2 к.6(бойлерная)</t>
  </si>
  <si>
    <t>пом.18 (бойлерная)</t>
  </si>
  <si>
    <t>Фонд "Металлург"</t>
  </si>
  <si>
    <t>пом.1,2,6,7 (тепловая камера)</t>
  </si>
  <si>
    <t>пом.6 (бойлерная)</t>
  </si>
  <si>
    <t>пом.11(бойлерная)</t>
  </si>
  <si>
    <t>"Баскин Роббинс" аренда подвала пл. 54,8м2</t>
  </si>
  <si>
    <t>пом.4(бойлерная)</t>
  </si>
  <si>
    <t>пом.3 к. 1,2 (бойлерная)</t>
  </si>
  <si>
    <t>пом.6 к. 1,3 (бойлерная)</t>
  </si>
  <si>
    <t>пом.24 (бойлерная)</t>
  </si>
  <si>
    <t xml:space="preserve">пом.20 М-н промтоваров </t>
  </si>
  <si>
    <t>пом.4 (бойлерная)</t>
  </si>
  <si>
    <t>пом.1 к.1,2 (бойлерная)</t>
  </si>
  <si>
    <t>пом.1 к.1-3 (бойлерная)</t>
  </si>
  <si>
    <t>пом.6 к. 3,4 (бойлерная)</t>
  </si>
  <si>
    <t>пом.4 к.1,2 (бойлерная)</t>
  </si>
  <si>
    <t xml:space="preserve">пом.9 Магазин "Автозапчасти" </t>
  </si>
  <si>
    <t>под.16 (аренда 12,5)</t>
  </si>
  <si>
    <t>пом.20 (кв 1-4)</t>
  </si>
  <si>
    <t>пом.9 (бойлерная)</t>
  </si>
  <si>
    <t>пом.1 к.1 (бойлерная)</t>
  </si>
  <si>
    <t xml:space="preserve">пом.1 Офис </t>
  </si>
  <si>
    <t>пом.3 к.5 (бойлерная)</t>
  </si>
  <si>
    <t>Администрация города Магнитогорская (МП "Маггортранс")</t>
  </si>
  <si>
    <t xml:space="preserve">пом.1 Магазин "Народный" </t>
  </si>
  <si>
    <t>пом.1 (кв.73)</t>
  </si>
  <si>
    <t>пом.13 "Ломбард", "Торгсервис"</t>
  </si>
  <si>
    <t xml:space="preserve">пом.13(подвал), под.1 Офис </t>
  </si>
  <si>
    <t>пом.11 (бойлерная)</t>
  </si>
  <si>
    <t>пом.б/н (бойлерная)</t>
  </si>
  <si>
    <t xml:space="preserve">пом.3 Магазин </t>
  </si>
  <si>
    <t>пом.10 (бойлерная)</t>
  </si>
  <si>
    <t>пом.2 к.1,2 (бойлерная)</t>
  </si>
  <si>
    <t>пом.3 (бойлерная)</t>
  </si>
  <si>
    <t>пом.2 к.5,6 (бойлерная)</t>
  </si>
  <si>
    <t>пом.11 к.1 (бойлерная)</t>
  </si>
  <si>
    <t>пом.4 к.11 (бойлерная)</t>
  </si>
  <si>
    <t>пом.8 (бойлерная)</t>
  </si>
  <si>
    <t>пом.1 к.1,1а (бойлерная)</t>
  </si>
  <si>
    <t>пом.2 к.1-3 (бойлерная)</t>
  </si>
  <si>
    <t>пом.3 Участок вводов и ЦТП Лен. р-на (цоколь)</t>
  </si>
  <si>
    <t>пом.11 Электромеханический участок (цоколь)</t>
  </si>
  <si>
    <t xml:space="preserve">Администрация города Магнитогорска (МП трест "Теплофикация") </t>
  </si>
  <si>
    <t>пом.1,4 Участок № 6 службы эксплуатации бойлерных и ЦТП</t>
  </si>
  <si>
    <t>МП "МАГГОРТРАНС"</t>
  </si>
  <si>
    <t>Котов Константин Александрович</t>
  </si>
  <si>
    <t>Ковреженков Евгений Сергеевич</t>
  </si>
  <si>
    <t>Морозова Евгения Геннадьевна ИП</t>
  </si>
  <si>
    <t>Кормакова Елена Геннадьевна, Симонова Е.В.</t>
  </si>
  <si>
    <t>пом.5 (кв.47,48)</t>
  </si>
  <si>
    <t>Чернов Дмитрий Аркадьевич</t>
  </si>
  <si>
    <t>Чернышева Яна Валерьевна</t>
  </si>
  <si>
    <t>пом.3 офис</t>
  </si>
  <si>
    <t>Трофимов Михаил Викторович</t>
  </si>
  <si>
    <t>ЗАО "СИТНО-Бизнестранс"</t>
  </si>
  <si>
    <t>ООО "Гарант"</t>
  </si>
  <si>
    <t>Андиашвили Мераб</t>
  </si>
  <si>
    <t>пом. 2 (подвал)</t>
  </si>
  <si>
    <t>пом.2,3,4,5</t>
  </si>
  <si>
    <t>пом.11,12,13,14</t>
  </si>
  <si>
    <t>пом.3 (кв.38) цоколь</t>
  </si>
  <si>
    <t>пом.4 (кв.39) цоколь</t>
  </si>
  <si>
    <t>пом.2 (кв.4,21,22) цоколь</t>
  </si>
  <si>
    <t>пом.8 (кв.38) цоколь</t>
  </si>
  <si>
    <t>пом.7 (кв.1) цоколь</t>
  </si>
  <si>
    <t>пом.23 (кв.2) цоколь</t>
  </si>
  <si>
    <t>пом.22 (кв.17) Парикмахерская" Татьяна"цоколь</t>
  </si>
  <si>
    <t>Кафе "Дублин" (пом.6) подвал</t>
  </si>
  <si>
    <t>пом.1,3 ФИРМА НЕВСКИЙ</t>
  </si>
  <si>
    <t>Матвеев Илья Владимирович, Матвеева ТП</t>
  </si>
  <si>
    <t>под.1 (аренда л/кл 11,0м2)</t>
  </si>
  <si>
    <t>ООО "АНТАРЕС" Суховерхова Жанна Викторовна</t>
  </si>
  <si>
    <t>пом.10  (кв.11), пом.5 (кв.10)</t>
  </si>
  <si>
    <t>пом.1 подвал</t>
  </si>
  <si>
    <r>
      <t>под.3 (аренда 8,8м</t>
    </r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>)</t>
    </r>
  </si>
  <si>
    <t>под.4 пом. № 21 (аренда л/кл. 12,4м2)</t>
  </si>
  <si>
    <t>пом.1 (кв.17,18,19,29)</t>
  </si>
  <si>
    <t>Трафимова Ляна Ивановна</t>
  </si>
  <si>
    <t>пом. 20 (кв.91)</t>
  </si>
  <si>
    <t>Бабушкина Ирина Ивановна</t>
  </si>
  <si>
    <t>Шальнев Анатолий Борисович</t>
  </si>
  <si>
    <t>пом.6 (кв. 32) 1/2</t>
  </si>
  <si>
    <t>Прокопенко Татьяна Леонтьевна, Попов С.С., Штырляева Д.С.</t>
  </si>
  <si>
    <t>Прокопенко Сергей Валерьевич</t>
  </si>
  <si>
    <t>Шальнева Ирина Викторовна</t>
  </si>
  <si>
    <t xml:space="preserve">пом.1 ВТЭК </t>
  </si>
  <si>
    <t xml:space="preserve">пом.3 </t>
  </si>
  <si>
    <t>пом.1(№8-13,39-69)</t>
  </si>
  <si>
    <t>пом.1 (№1-7,1-34,35-38)</t>
  </si>
  <si>
    <t>АО "ВОЕНТОРГ-ЦЕНТР"</t>
  </si>
  <si>
    <t>пом.1 (с №4,5,7,8,10,11 в 1/3 доле как МОП)</t>
  </si>
  <si>
    <t>пом.12 (кв.2)</t>
  </si>
  <si>
    <t>Веряскина Анна Сергеевна</t>
  </si>
  <si>
    <t>пом.1 (цоколь) М-н "Мастер"(н.0,43)</t>
  </si>
  <si>
    <t>Гильмияров Альберт Рафикович</t>
  </si>
  <si>
    <t>ООО "АРКОМ"</t>
  </si>
  <si>
    <t>Савицких Олег Вадимович</t>
  </si>
  <si>
    <t>Зырянов Игорь Николаевич</t>
  </si>
  <si>
    <t>пом.14(кв.13)</t>
  </si>
  <si>
    <t>Захаров Алексей Александрович</t>
  </si>
  <si>
    <t>пом.4 (кв.1) М-н "ХОЗТОВАРЫ"</t>
  </si>
  <si>
    <t>Канбекова Илина Ильдусовна</t>
  </si>
  <si>
    <t>Щербо Валентина Яковлевна</t>
  </si>
  <si>
    <t>пом.15 (кв.113) Ломбард</t>
  </si>
  <si>
    <t>пом.5 (кв.37) М-н "Пять оборотов"</t>
  </si>
  <si>
    <t>Швырева Дарья Николаевна</t>
  </si>
  <si>
    <t>Шейкх Икбал Мохд</t>
  </si>
  <si>
    <t>Панина Наталья Алексеевна</t>
  </si>
  <si>
    <t>Саматов Александр Владиславович</t>
  </si>
  <si>
    <t>Казачкова Елена Яковлевна</t>
  </si>
  <si>
    <t>пом. 1 (кв. 2,3,22)</t>
  </si>
  <si>
    <t>ГАУЗ "ЦОМиД г. Магнитогорск"</t>
  </si>
  <si>
    <t>Ермилов Сергей Александрович</t>
  </si>
  <si>
    <t>Чурашов Виктор Леонидович</t>
  </si>
  <si>
    <t>пом.1 нет ГВС, акт 19.06.09</t>
  </si>
  <si>
    <t>пом. 4 Участковый пункт полиции</t>
  </si>
  <si>
    <t>пом.2 Участковый пункт полиции</t>
  </si>
  <si>
    <t>пом.4а(кв.49,48часть)</t>
  </si>
  <si>
    <t>пом.4б(кв.47,48часть)</t>
  </si>
  <si>
    <t>ПАО ММК</t>
  </si>
  <si>
    <t>пом.6 Архив</t>
  </si>
  <si>
    <t>ПАО "ММК"</t>
  </si>
  <si>
    <t>под.3 отопления нет S=12,4м2</t>
  </si>
  <si>
    <t>Дьяконов Сергей Петрович</t>
  </si>
  <si>
    <t>пом.3а</t>
  </si>
  <si>
    <t>пом.18 (часть)</t>
  </si>
  <si>
    <t>пом.3 (кв. 117,118) кафе</t>
  </si>
  <si>
    <t>пом.6 (кв.3) кафе</t>
  </si>
  <si>
    <t>Джамалдинов Шухратжон Шаробидинович</t>
  </si>
  <si>
    <t>Радукин Павел Викторович</t>
  </si>
  <si>
    <t>Исмеев Ринат Исрафилович</t>
  </si>
  <si>
    <t>Дубровский Алексей Андреевич, Коротовских А.А.</t>
  </si>
  <si>
    <t>ООО "ДРТ ГРУПП"</t>
  </si>
  <si>
    <t>Гаврусева Екатерина Сергеевна</t>
  </si>
  <si>
    <t>пом.6 (кв.35)</t>
  </si>
  <si>
    <t>Калмыкова Евгения Владимировна, Проничев ПВ</t>
  </si>
  <si>
    <t>пом.20 (кв. 83, 92) Притяжение</t>
  </si>
  <si>
    <t>Карпов Константин Юрьевич</t>
  </si>
  <si>
    <t>пом.6 (кв.75)</t>
  </si>
  <si>
    <t>Яковлева Татьяна Леонидовна</t>
  </si>
  <si>
    <t>пом.3 (доля 38/100)</t>
  </si>
  <si>
    <t>Тарасов Александр Владимирович</t>
  </si>
  <si>
    <t xml:space="preserve">РФ </t>
  </si>
  <si>
    <t>под. (аренда 10,9м2)</t>
  </si>
  <si>
    <t>ОАО "Сбербанк"</t>
  </si>
  <si>
    <t>пом.5 Кофейня</t>
  </si>
  <si>
    <t>пом.6 (кв.33,34) Офис</t>
  </si>
  <si>
    <t>пом. Салон красоты "Диадема"(н.2,74)</t>
  </si>
  <si>
    <t>пом.7 (кв.3)</t>
  </si>
  <si>
    <t xml:space="preserve">пом.6 Закусочная "Погребок" </t>
  </si>
  <si>
    <t>пом.7 доп.офис "Магнитогорский"Челяб. филиала ОАО "Промсвязьбанк"</t>
  </si>
  <si>
    <t>под.4 (аренда л/кл 14 м2)</t>
  </si>
  <si>
    <t>Шпар-фов Владимир Викторович ИП</t>
  </si>
  <si>
    <t>Шпар-фова Светлана Аркадьевна</t>
  </si>
  <si>
    <t>пом.1 (спецпомещение)</t>
  </si>
  <si>
    <t>Шпар фов Владимир Викторович ИП</t>
  </si>
  <si>
    <t>пом.2 ком.8 спецпомещение</t>
  </si>
  <si>
    <t>пом.2 спецпомещение (ГВС нет, акт от 23.08.2011)</t>
  </si>
  <si>
    <t>пом.5 спецпомещение</t>
  </si>
  <si>
    <t>Чусовитин Игорь Александрович</t>
  </si>
  <si>
    <t>пом.4 (кв.15)</t>
  </si>
  <si>
    <t>Камаев Роман Борисович</t>
  </si>
  <si>
    <t>Храмов Максим Николаевич</t>
  </si>
  <si>
    <t>пом.10 (кв.2, подвал)</t>
  </si>
  <si>
    <t xml:space="preserve">пом.9 (кв.116) Офис </t>
  </si>
  <si>
    <t>Кожемякина Евгения Александровна</t>
  </si>
  <si>
    <t>Голева Любовь Анатольевна</t>
  </si>
  <si>
    <t>пом.11(кв.21,25)</t>
  </si>
  <si>
    <t>Лысенкова Людмила Борисовна</t>
  </si>
  <si>
    <t>Садыков Фарид Мавлеевич</t>
  </si>
  <si>
    <t>МДОУ "Д/с № 51" г. Магнитогорска</t>
  </si>
  <si>
    <t>пом.6 (кв.106) М-н "Фея Комода"</t>
  </si>
  <si>
    <t>Лопатина Юлия Владимировна</t>
  </si>
  <si>
    <t>Исмагилова Гульнара Нигмадьяновна ИП</t>
  </si>
  <si>
    <t>пом.1 (кв.18) М-н пром.товаров</t>
  </si>
  <si>
    <t>пом.13 (кв.47,48) М-н "Мебель"</t>
  </si>
  <si>
    <t>Лоза Сергей Васильевич</t>
  </si>
  <si>
    <t>пом.20 (кв.83) Туристическая компания</t>
  </si>
  <si>
    <t>Местная религиозная организация "Буддийский центр алмазного пути традиции карма кагью г. Магнитогорск"</t>
  </si>
  <si>
    <t>пом.10 (кв.17) цоколь</t>
  </si>
  <si>
    <t>Сафронова Наталья Леонидовна</t>
  </si>
  <si>
    <t>пом.1 (с № 1, с № 2,5, частично как МОП) цоколь</t>
  </si>
  <si>
    <t>Верховов Антон Юрьевич, Верховова Е.А., Верховова А.А.</t>
  </si>
  <si>
    <t>пом.6 (кв.36,49) М-н "Отрада"</t>
  </si>
  <si>
    <t>Рысенко Марина Александровна</t>
  </si>
  <si>
    <t>Романовский Арсений Олегович</t>
  </si>
  <si>
    <t>пом.11 (кв.31) М-н "Рамки-Инстаграмки"</t>
  </si>
  <si>
    <t>пом.2 (кв.39)</t>
  </si>
  <si>
    <t>Хазираткулов Руслан Алишерович</t>
  </si>
  <si>
    <t>пом.7 (кв.85,86) М-н "Рыбак"</t>
  </si>
  <si>
    <t>пом.4 (кв.132) М-н</t>
  </si>
  <si>
    <t>Бояхчан Маро Аркадиевна</t>
  </si>
  <si>
    <t>пом.1 Медсанчасть</t>
  </si>
  <si>
    <t xml:space="preserve">пом.22 (кв.61) М-н "Одежда" </t>
  </si>
  <si>
    <t>Климов Виталий Викторович</t>
  </si>
  <si>
    <t>пом.14 (кв.102)</t>
  </si>
  <si>
    <t xml:space="preserve">пом.2 (кв.14) </t>
  </si>
  <si>
    <t>1Р-447С</t>
  </si>
  <si>
    <t>пом. 3 (кв. 16,17) (нет ГВС)</t>
  </si>
  <si>
    <t>ООО "ФАРМЛЕНД-Урал Центр"</t>
  </si>
  <si>
    <t>ООО "АДОНИС"</t>
  </si>
  <si>
    <t>пом.1 Аптека</t>
  </si>
  <si>
    <t>Шевкун Екатерина Дмитриевна</t>
  </si>
  <si>
    <t>пом.5 (кв.2,3,4)</t>
  </si>
  <si>
    <t>Васильева Ольга Алексеевна</t>
  </si>
  <si>
    <t>пом.10 (кв.22) М-н "Автозвук"</t>
  </si>
  <si>
    <t>Сагателян Шушаник Арутюновна</t>
  </si>
  <si>
    <t>трансформаторная подстанция</t>
  </si>
  <si>
    <t>пом.2(из д.1704 с 01.04.2009)</t>
  </si>
  <si>
    <t xml:space="preserve">пом.6 М-н "Пиво на разлив" </t>
  </si>
  <si>
    <t>пом. 2 (1,2 этаж)</t>
  </si>
  <si>
    <t>пом.1 (1 этаж)</t>
  </si>
  <si>
    <t>Орехова Мария Юльевна ИП</t>
  </si>
  <si>
    <t>пом.16 (кв.46)</t>
  </si>
  <si>
    <t>Ладесов Дмитрий Андреевич</t>
  </si>
  <si>
    <t>пом.12 (кв.53)</t>
  </si>
  <si>
    <t>Леонов Алексей Константинович</t>
  </si>
  <si>
    <t>Березина Елена Юрьевна</t>
  </si>
  <si>
    <t>пом.21 (кв.128)</t>
  </si>
  <si>
    <t>Мительман Семен Аркадьевич</t>
  </si>
  <si>
    <t>пом.1 М-н Катод</t>
  </si>
  <si>
    <t>пом.1а Вайлдберрис</t>
  </si>
  <si>
    <t>пом.3 (кв. 54,55,56,69,70) цоколь</t>
  </si>
  <si>
    <t>Шевченко Александр Николаевич</t>
  </si>
  <si>
    <t>пом.3 (с № 20,21,25-28)</t>
  </si>
  <si>
    <t>Акимов Константин Валерьевич</t>
  </si>
  <si>
    <t>Тингаева Татьяна Михайловна</t>
  </si>
  <si>
    <t>пом.12 (кв.16,17) М-н "ТЕТ-а-ТЕТ"</t>
  </si>
  <si>
    <t>Левина Ольга Алексеевна, Левин ВЕ</t>
  </si>
  <si>
    <t>пом. 15 (кв. 23) Салон-ателье "Золотая нить"</t>
  </si>
  <si>
    <t>ООО "АГРОФИРМА АРИАНТ"</t>
  </si>
  <si>
    <t xml:space="preserve">пом.12 (кв. 85,86) М-н "Ариант" </t>
  </si>
  <si>
    <t>Политавкина Ольга Валерьевна</t>
  </si>
  <si>
    <t>пом.11 (кв.127)</t>
  </si>
  <si>
    <t>пом.2 М-н</t>
  </si>
  <si>
    <t>Площадь подвала и п/подвала по паспорту, м2 {ВСЕГО=21+22+23}, в том числе:</t>
  </si>
  <si>
    <t>Площадь лестничных клеток и тамбуров по паспорту, м2 {ВСЕГО=29+30+31}, в том числе:</t>
  </si>
  <si>
    <t>Площадь чердаков по паспорту, м2 {ВСЕГО=33+34+35}, в том числе:</t>
  </si>
  <si>
    <t>Площадь электрощитовых (трансформаторных) выше отм. 0,00 по паспорту, м2 {ВСЕГО=39+40+41}, в том числе:</t>
  </si>
  <si>
    <t>пом.2 (кв. 41,42,23) Офис кв. 41, 42 в цоколе, кв. 23 на 1 этаже</t>
  </si>
  <si>
    <t>пом.7 (кв.51-106)в т.ч. пл. 7,8 выкуп. коридор общ. пользования, пл. 33,4 выкуп вестибюль</t>
  </si>
  <si>
    <t>Вавульский Виктор Никоваевич</t>
  </si>
  <si>
    <t>1-ый НПФ фонд (аннулировать)</t>
  </si>
  <si>
    <t>Шибаев Кирилл Станиславович</t>
  </si>
  <si>
    <t>Клочкова Екатерина Олеговна</t>
  </si>
  <si>
    <t>пом.8 (кв.51)</t>
  </si>
  <si>
    <t>Шудрина Валерия Павловна</t>
  </si>
  <si>
    <t xml:space="preserve">пом.25 </t>
  </si>
  <si>
    <t>ООО "КОМПЛЕКСНОЕ ПРОЕКТИРОВАНИЕ"</t>
  </si>
  <si>
    <t xml:space="preserve">пом. 14 (кв.17)  "Архивариус" </t>
  </si>
  <si>
    <t>Куницина Екатерина Вадимовна</t>
  </si>
  <si>
    <t>Мирский Артем Станиславович</t>
  </si>
  <si>
    <t>пом.10 (под.2 выкуп)</t>
  </si>
  <si>
    <t>Бурдяк Наталья Анатольевна</t>
  </si>
  <si>
    <t>пом.10 (кв.2,3) М-н "Пират" (из д.1621)</t>
  </si>
  <si>
    <t>пом.19 (кв.135) М-н промтоваров</t>
  </si>
  <si>
    <t>ООО "ГАС+"</t>
  </si>
  <si>
    <t>пом.5 (кв. 115,116) Офис</t>
  </si>
  <si>
    <t>пом.6 (кв.22) М-н Сковородка</t>
  </si>
  <si>
    <t>Кузнецов Алексей Анатольевич</t>
  </si>
  <si>
    <t>Нежилое в собственности (в т.ч. собственность ГО ЧС)</t>
  </si>
  <si>
    <t>Собственность РФ (нежилое в аренде)</t>
  </si>
  <si>
    <t>Спец.пом. ЗС ГО ЧС, м2 {ВСЕГО=25+26+27}, в том числе:</t>
  </si>
  <si>
    <t>Янишевская Мария Владимировна</t>
  </si>
  <si>
    <t>Журавлев Василий Николаевич</t>
  </si>
  <si>
    <t>Игнатов Михаил Вячеславович</t>
  </si>
  <si>
    <t>Бузунова Ирина Владимировна</t>
  </si>
  <si>
    <t>Маркова Анна Владимировна</t>
  </si>
  <si>
    <t>пом.23 (кв.1)  М-н "Ткани"</t>
  </si>
  <si>
    <t>Санников Константин Васильевич</t>
  </si>
  <si>
    <t>пом. 30 Аптека "Астрафарм"</t>
  </si>
  <si>
    <t>ООО"КАЛИНКА"</t>
  </si>
  <si>
    <t>Додрев Фуркат Тоирович</t>
  </si>
  <si>
    <t>Портнягина Марина Александровна</t>
  </si>
  <si>
    <t>пом.6 (кв.112) М-н Альвена</t>
  </si>
  <si>
    <t>Назаров Павел Анатольевич</t>
  </si>
  <si>
    <t>Копнова Наталья Анатольевна</t>
  </si>
  <si>
    <t>Коннова Лариса Вячеславовна</t>
  </si>
  <si>
    <t>ООО "ЭНЕРГОСТРОЙ-М"</t>
  </si>
  <si>
    <t>Оруджева Валентина Борисовна</t>
  </si>
  <si>
    <t>пом. 2 Магазин "Л ,ЭТУАЛЬ"</t>
  </si>
  <si>
    <t>ООО УК "ДД КАЛИТА"</t>
  </si>
  <si>
    <t>Острекина Ольга Сергеевна</t>
  </si>
  <si>
    <t xml:space="preserve">пом.27 (кв.67) М-н "Пионер" </t>
  </si>
  <si>
    <t xml:space="preserve">пом.23 (кв.51) Офис </t>
  </si>
  <si>
    <t>пом.1 (кв.63)</t>
  </si>
  <si>
    <t>Конева Эльвира Сергеевна</t>
  </si>
  <si>
    <t>Менькова Светлана Фарраховна</t>
  </si>
  <si>
    <t>пом. 3 (бывший Д/к  Эврика)</t>
  </si>
  <si>
    <t>пом.2 Кафе "Бирхаус"</t>
  </si>
  <si>
    <t>пом. М-н "Чайная лодка"</t>
  </si>
  <si>
    <t>ООО "АПОГЕЙ-КЛУБ"</t>
  </si>
  <si>
    <t>пом.3 М-н "Альтернативный свет"</t>
  </si>
  <si>
    <t>Гирич Кирилл Эдуардович</t>
  </si>
  <si>
    <t>пом.20 (кв.32) Офис</t>
  </si>
  <si>
    <t>ООО "МПСК"</t>
  </si>
  <si>
    <t>Саволайнина Екатерина Анатольевна</t>
  </si>
  <si>
    <t>под.2 (аренда л/кл 12,1м2)</t>
  </si>
  <si>
    <t>Шахмурадова Ольга Васильевна ИП</t>
  </si>
  <si>
    <t>Шашкова Екатерина Борисовна ИП</t>
  </si>
  <si>
    <t>Попов Владислав Анатольевич ИП</t>
  </si>
  <si>
    <t>Ишмурадов Андрей Радионович</t>
  </si>
  <si>
    <t>пом.9 (кв.38,35 часть)</t>
  </si>
  <si>
    <t>пом.8 (кв.34,35часть,36)</t>
  </si>
  <si>
    <t>ООО "ВОДОЛЕЙ"</t>
  </si>
  <si>
    <t>Кошкарев Алексей Леонидович ИП</t>
  </si>
  <si>
    <t>Жимовский Ян Дмитриевич</t>
  </si>
  <si>
    <t>Администрация города Магнитогорска (аренда - ЧОО ООО "Федерация КУДО России")</t>
  </si>
  <si>
    <t>Бичурина Эльвира Наильевна</t>
  </si>
  <si>
    <t xml:space="preserve"> *</t>
  </si>
  <si>
    <t xml:space="preserve"> = ООО УК "Логист"</t>
  </si>
  <si>
    <t>Мельник Ирина Сергеевна ИП</t>
  </si>
  <si>
    <t>Афанасьева Наталья Леонидовна</t>
  </si>
  <si>
    <t>пом. 1 (кв.22) М-н "Метизный дом"</t>
  </si>
  <si>
    <t>Дежнева Анастасия Владимировна ИП</t>
  </si>
  <si>
    <t>Лавриненко Дмитрий Валерьевич</t>
  </si>
  <si>
    <t>пом.20 (кв.15) Юридическое партнерство</t>
  </si>
  <si>
    <t>пом.1 Кафе "Генацвале" (подвал)</t>
  </si>
  <si>
    <t>пом.25</t>
  </si>
  <si>
    <t>пом. 3 М-н "Анастасия" (перенос со Строителей, 58)</t>
  </si>
  <si>
    <t>Аитова Виктория Андреевна</t>
  </si>
  <si>
    <t>Кол-во квартир (по техпаспорту)</t>
  </si>
  <si>
    <t>1 комнатн.</t>
  </si>
  <si>
    <t>2 комнатн.</t>
  </si>
  <si>
    <t>3 комнатн.</t>
  </si>
  <si>
    <t>4 комнатн.</t>
  </si>
  <si>
    <t>5 комнатн.</t>
  </si>
  <si>
    <t>6 коинатн.</t>
  </si>
  <si>
    <t>Газ</t>
  </si>
  <si>
    <t>Краны, шт.</t>
  </si>
  <si>
    <t>Диаметр, мм</t>
  </si>
  <si>
    <t>50,32,15</t>
  </si>
  <si>
    <t>Вводной газопровод</t>
  </si>
  <si>
    <t>Внутренний газопровод</t>
  </si>
  <si>
    <t>Протяжен-ность, м/п</t>
  </si>
  <si>
    <t>40,32,15</t>
  </si>
  <si>
    <t>50,40,32,15</t>
  </si>
  <si>
    <t>пом.4,5,6,7 бывшее кафе "Сказка"</t>
  </si>
  <si>
    <t>пом. б/н Мастерская КИПиА (1 этаж) л/кл.</t>
  </si>
  <si>
    <t xml:space="preserve">пом.11 (кв.61) Офис </t>
  </si>
  <si>
    <t xml:space="preserve">пом. 10 (23,36) М-н </t>
  </si>
  <si>
    <t>Чистюлина Елена Владимировна</t>
  </si>
  <si>
    <t>40,32,20</t>
  </si>
  <si>
    <t>32,25,15</t>
  </si>
  <si>
    <t>50,32,25,15</t>
  </si>
  <si>
    <t>пом. Подвал (аренда 67 м2)</t>
  </si>
  <si>
    <t>Половинко Валерий Иванович</t>
  </si>
  <si>
    <t>Ларюшкина Наталья Александровна</t>
  </si>
  <si>
    <t>Ларюшкина Наталья Александровна ИП</t>
  </si>
  <si>
    <t>Милов Юрий Евгеньевич ИП</t>
  </si>
  <si>
    <t>Харинская Надежда Михайловна ИП</t>
  </si>
  <si>
    <t>Людвичевич Андрей Петрович ИП</t>
  </si>
  <si>
    <t>Мошкина Елена Борисовна</t>
  </si>
  <si>
    <t>под.2 (аренда л/кл 14,4м2)</t>
  </si>
  <si>
    <t xml:space="preserve">пом.25 (кв.206) М-н "Сезон" </t>
  </si>
  <si>
    <t>пом.1 (кв.84) Парикмахерская "Мечта"</t>
  </si>
  <si>
    <t>Касьянов Андрей Владимирович</t>
  </si>
  <si>
    <t>пом.3 (подвал) пустующее</t>
  </si>
  <si>
    <r>
      <t xml:space="preserve">Кол-во квартир объединено </t>
    </r>
    <r>
      <rPr>
        <sz val="8"/>
        <color rgb="FFFF0000"/>
        <rFont val="Calibri"/>
        <family val="2"/>
        <charset val="204"/>
        <scheme val="minor"/>
      </rPr>
      <t>"?"</t>
    </r>
  </si>
  <si>
    <t>пом.5 (кв.58,59)</t>
  </si>
  <si>
    <t>под.2 (аренда л/кл пл.9м2)</t>
  </si>
  <si>
    <t>пом.1 (кв.22)</t>
  </si>
  <si>
    <t>пом. 4 (кв.23,24)</t>
  </si>
  <si>
    <t>пом.10 (кв.42)</t>
  </si>
  <si>
    <t>пом.3 (кв.10)</t>
  </si>
  <si>
    <t>пом.15 (кв.18)</t>
  </si>
  <si>
    <t>под.2 аренда л/кл 8,6м2</t>
  </si>
  <si>
    <t>под.4 аренда л/кл 7,7м2</t>
  </si>
  <si>
    <t>под.3+подвал аренда л/кл 10,9м2+11,1м2</t>
  </si>
  <si>
    <t>пом.20 (кв.3,18)</t>
  </si>
  <si>
    <t>КАБ, диспетчер</t>
  </si>
  <si>
    <t>пом.21(кв.19,20)</t>
  </si>
  <si>
    <t>пом.1 (кв.18,19,29-31)</t>
  </si>
  <si>
    <t>пом.4 подвал</t>
  </si>
  <si>
    <t>пом.21(кв.33) пл.84,5 не закрыт лицевой счет на квартиру</t>
  </si>
  <si>
    <t>Шпак Елена Альбертовна</t>
  </si>
  <si>
    <t>пом.3 (кв.19,20)</t>
  </si>
  <si>
    <t>д</t>
  </si>
  <si>
    <t>Стоянкина Лидия Петровна</t>
  </si>
  <si>
    <t>пом.10 (кв.1)</t>
  </si>
  <si>
    <t>пом.1,4,7</t>
  </si>
  <si>
    <t>пом.12 (кв.33) (нет ГВС, акт 17.06.2009)</t>
  </si>
  <si>
    <t>под.3 аренда л/кл 13,3м2</t>
  </si>
  <si>
    <t>пом.1 Библиотека</t>
  </si>
  <si>
    <t>Малашкина Марина Евгеньевна ИП</t>
  </si>
  <si>
    <t>Тяжельников Алексей Юрьевич ИП</t>
  </si>
  <si>
    <t>Запускалова Елена Анатольевна ИП</t>
  </si>
  <si>
    <t>пом.10 (кв.34)</t>
  </si>
  <si>
    <t>пом.21 (кв.67)</t>
  </si>
  <si>
    <t>Толмачева Олеся Вячеславовна</t>
  </si>
  <si>
    <t>пом.4 (кв.3,6,16)</t>
  </si>
  <si>
    <t>пом.2 (кв.48) Нотариус</t>
  </si>
  <si>
    <t>Бархатова Анна Васильевна</t>
  </si>
  <si>
    <t>пом.6 (кв.32,33)</t>
  </si>
  <si>
    <t>Маркова Анастасия Алексеевна</t>
  </si>
  <si>
    <t>Черноусенко Максим Владиславович ИП</t>
  </si>
  <si>
    <t>Харитонов Андрей Геннадьевич</t>
  </si>
  <si>
    <t>пом.2 (кв. 23,24)</t>
  </si>
  <si>
    <t>пом.4 (кв.4)</t>
  </si>
  <si>
    <t>пом.5 (кв.20,21,22,23)</t>
  </si>
  <si>
    <t>пом.2 (кв.16,17)</t>
  </si>
  <si>
    <t>пом.4 (кв.32,33)</t>
  </si>
  <si>
    <t>Гусманова Ирина Витальевна ИП</t>
  </si>
  <si>
    <t>пом.25 (кв.3)</t>
  </si>
  <si>
    <t>Вишня Наталья Михайловна ИП</t>
  </si>
  <si>
    <t>Толмачева Татьяна Ивановна</t>
  </si>
  <si>
    <t>пом.5 (кв.47)</t>
  </si>
  <si>
    <t>Смирнова Евгения Валерьевна ИП</t>
  </si>
  <si>
    <t>пом.3 (кв.47)</t>
  </si>
  <si>
    <t>пом.3 (кв.17,20) (2 этаж) Стоматология</t>
  </si>
  <si>
    <t>пом.2 (кв.18,19) (2 этаж) Стоматология</t>
  </si>
  <si>
    <t>пом.1 (кв.31,32) "Баскин Роббинс"</t>
  </si>
  <si>
    <t>Боброва Ирина Борисовна ИП</t>
  </si>
  <si>
    <t>Тимин Андрей Викторович ИП</t>
  </si>
  <si>
    <t>Цветкова Варвара Николаевна ИП</t>
  </si>
  <si>
    <t>пом.2 (кв.12)</t>
  </si>
  <si>
    <t>пом.4 (кв.2,11)</t>
  </si>
  <si>
    <t>Хабирова Альбина Забировна ИП</t>
  </si>
  <si>
    <t>пом.19 (кв.55)</t>
  </si>
  <si>
    <t>Кондратенко Валентина Григорьевна</t>
  </si>
  <si>
    <t>Лабецкая Лиана Валерьевна ИП</t>
  </si>
  <si>
    <t>пом.1 (кв.120)</t>
  </si>
  <si>
    <t>Шелякин Олег Валерьевич</t>
  </si>
  <si>
    <t>пом.4 (кв. 74)</t>
  </si>
  <si>
    <t>пом.18 (кв.105)</t>
  </si>
  <si>
    <t>Батрутдинова Мария Георгиевна</t>
  </si>
  <si>
    <t>пом.15 (кв.54)</t>
  </si>
  <si>
    <t>пом.12 (кв.90)</t>
  </si>
  <si>
    <t>пом.5 (кв.73)</t>
  </si>
  <si>
    <t>Закирова Земфира Заяновна, Закиров МГ</t>
  </si>
  <si>
    <t>пом.13 (кв.103)</t>
  </si>
  <si>
    <t>Абросимов Юрий Иванович</t>
  </si>
  <si>
    <t>пом.14 (кв.75)</t>
  </si>
  <si>
    <t>Жандармова Хатима Минхазетдиновна ИП</t>
  </si>
  <si>
    <t>пом.6 (кв.35,36)</t>
  </si>
  <si>
    <t>пом.3 (кв.34)</t>
  </si>
  <si>
    <t>пом.20,21 мансарда</t>
  </si>
  <si>
    <t>МО ВТОО "Союз художников России"</t>
  </si>
  <si>
    <t>пом. (кв.1) Музей  Б.Ручьева</t>
  </si>
  <si>
    <t>Калугин Владимир Анатольевич ИП</t>
  </si>
  <si>
    <t>пом.9 (кв.118,119)</t>
  </si>
  <si>
    <t>пом.3 (кв.89)</t>
  </si>
  <si>
    <t>пом.8 (кв.104)</t>
  </si>
  <si>
    <t>Козлов Александр Николаевич (арендатор ООО "Стоматекс")</t>
  </si>
  <si>
    <t>пом.10 Стоматология</t>
  </si>
  <si>
    <t>пом.22 подвал Стоматология</t>
  </si>
  <si>
    <t>пом.15 (кв.11)</t>
  </si>
  <si>
    <t>пом.21 (кв.43,56,57)</t>
  </si>
  <si>
    <t>Крайнов Владимир Александрович</t>
  </si>
  <si>
    <t>пом.13 (кв.3)</t>
  </si>
  <si>
    <t>Сидоренко Ольга Викторовна ИП</t>
  </si>
  <si>
    <t>пом.12 (кв.22,36) Кедровая бочка</t>
  </si>
  <si>
    <t>пом.14 (кв.4)</t>
  </si>
  <si>
    <t>Грищенко Виталий Юрьевич, Дренив Игорь Стефанович</t>
  </si>
  <si>
    <t>под.5 аренда л/кл 15,3м2</t>
  </si>
  <si>
    <t>под.3 аренда л/кл 20,3м2</t>
  </si>
  <si>
    <t>пом.1 (кв.38)</t>
  </si>
  <si>
    <t>под.4 аренда л/кл 12,3м2</t>
  </si>
  <si>
    <t>пом. 7 (кв.53)</t>
  </si>
  <si>
    <t>Малыхин Владимир Борисович</t>
  </si>
  <si>
    <t>под.3 аренда л/кл 15,3м2</t>
  </si>
  <si>
    <t>пом.9 (кв.13)</t>
  </si>
  <si>
    <t>пом.10 (кв.29,46)</t>
  </si>
  <si>
    <t>под.1 аренда л/кл 14м2 Агентство недв-ти(н.0,62)</t>
  </si>
  <si>
    <t>под.2 аренда л/кл 13,3м2</t>
  </si>
  <si>
    <t>Михалевская Олеся Владимировна</t>
  </si>
  <si>
    <t>пом.1 (кв.62)</t>
  </si>
  <si>
    <t xml:space="preserve">пом.10 (кв.2) М-н "Антиквариат" </t>
  </si>
  <si>
    <t>Марков Сергей Леонидович</t>
  </si>
  <si>
    <t>под.1 аренда л/кл 8м2 М-н</t>
  </si>
  <si>
    <t>пом.1 (кв.1) М-н "Невский"</t>
  </si>
  <si>
    <t>Румянцева Елена Сергеевна</t>
  </si>
  <si>
    <t>пом.11 (кв.17) М-н женской одежды</t>
  </si>
  <si>
    <t>Улановская Наталья Григорьевна ИП</t>
  </si>
  <si>
    <t>пом.13 (кв.46) М-н "Оскар"</t>
  </si>
  <si>
    <t>пом.12 (кв.18) М-н</t>
  </si>
  <si>
    <t>Петров Артем Николаевич ИП</t>
  </si>
  <si>
    <t>под.4 аренда л/кл 13,7м2</t>
  </si>
  <si>
    <t>Кащенко Анастасия Сергеевна ИП</t>
  </si>
  <si>
    <t>под.3 аренда л/кл 13,7м2 М-н Прага</t>
  </si>
  <si>
    <t>пом.1 (кв.1,2,3) М-н "Скандинавия"</t>
  </si>
  <si>
    <t xml:space="preserve">пом.9 (кв.20,21) М-н </t>
  </si>
  <si>
    <t>пом.4 (кв.42) М-н "Надель"</t>
  </si>
  <si>
    <t>пом.5 (кв.22,23) (н.0,21)(из д.1522 с 01.08.2009)</t>
  </si>
  <si>
    <t>Иванов Сергей Витальевич</t>
  </si>
  <si>
    <t>пом.7 (кв.43) М-н "Ткани"</t>
  </si>
  <si>
    <t xml:space="preserve">пом.8 (кв.41) М-н "SONI" </t>
  </si>
  <si>
    <t>Ермолаев Сергей Владимирович ИП</t>
  </si>
  <si>
    <t>пом.10 (кв.66) Газета "Недвижимость"</t>
  </si>
  <si>
    <t>пом.2 (кв.81,82) Офис</t>
  </si>
  <si>
    <t>Егорова Наталья Ивановна, Егоров НП</t>
  </si>
  <si>
    <t>пом.14 подвал</t>
  </si>
  <si>
    <t>пом.1 (кв.51) М-н "Салон штор"</t>
  </si>
  <si>
    <t>Кули-Заде Любовь Анатольевна ИП</t>
  </si>
  <si>
    <t>пом.4 (кв.18) Медицинский центр "Инвитро" (н.2,60)</t>
  </si>
  <si>
    <t>пом.5 (кв.35)</t>
  </si>
  <si>
    <t>Сагитов Альберт Ринатович ИП</t>
  </si>
  <si>
    <t>пом.8 (кв.83) М-н</t>
  </si>
  <si>
    <t>Шепелева Татьяна Михайловна</t>
  </si>
  <si>
    <t>пом.11 (кв.50) М-н промтоваров (из д.1416 с 01.09.2009)(н.0,61)</t>
  </si>
  <si>
    <t>Кропотов Евгений Вениаминович ИП</t>
  </si>
  <si>
    <t>пом.12 (кв.52) М-н "Тюль"</t>
  </si>
  <si>
    <t>пом. 3 (кв.67) М-н 01.03.2009 г.</t>
  </si>
  <si>
    <t>под.3 аренда л/кл 12м2 (нет ГВС,акт 09.06.2009)</t>
  </si>
  <si>
    <t>пом. 20 (кв.65) М-н "МТС" (н.0,91)</t>
  </si>
  <si>
    <t>Куличкина Ольга Александровна</t>
  </si>
  <si>
    <t>пом. Подвал</t>
  </si>
  <si>
    <t>Титаренко Ольга Васильевна ИП</t>
  </si>
  <si>
    <t>пом.1 (кв.1) М-н "Золотое руно"</t>
  </si>
  <si>
    <t>пом.20 (кв.2) М-н "Прикид"</t>
  </si>
  <si>
    <t>пом.5 (кв.12) М-н "Белый медведь"</t>
  </si>
  <si>
    <t>Пастухова Наталья Ивановна ИП</t>
  </si>
  <si>
    <t>Кошкин Александр Михайлович ИП</t>
  </si>
  <si>
    <t>пом.9 (+кв.22) Аптека</t>
  </si>
  <si>
    <t>Корнилова Оксана Евгеньевна ИП</t>
  </si>
  <si>
    <t>пом.6 (кв.21) М-н "Альбатрос"</t>
  </si>
  <si>
    <t>пом.7 (кв.31) М-н "Социальный"</t>
  </si>
  <si>
    <t xml:space="preserve">пом.5 (кв.18) </t>
  </si>
  <si>
    <t>Муравьева Наталья Михайловна</t>
  </si>
  <si>
    <t>пом.3 (кв.1) Салон "Аврора"</t>
  </si>
  <si>
    <t>пом.4 (кв.32) М-н "ВЕРОНА"</t>
  </si>
  <si>
    <t>Кирса Олег Викторович ИП</t>
  </si>
  <si>
    <t>пом.6 (кв.31) М-н "Одежда"</t>
  </si>
  <si>
    <t>пом.7 (кв.48) М-н "Золотое руно"</t>
  </si>
  <si>
    <t>пом. 10 (кв.2) М-н</t>
  </si>
  <si>
    <t>пом.9 (кв.46) М-н "BAZAAR"(н.0,3)</t>
  </si>
  <si>
    <t xml:space="preserve">пом.1 (кв.1) Офис </t>
  </si>
  <si>
    <t>Князева Виктория Михайловна ИП</t>
  </si>
  <si>
    <t>пом.2 (кв.48) М-н "Бизнес букет"</t>
  </si>
  <si>
    <t>пом.3 (кв.32,33,46,47) М-н "Автомиг"</t>
  </si>
  <si>
    <t>Попова Наталья Сергеевна</t>
  </si>
  <si>
    <t>пом.7 (кв.37,38)</t>
  </si>
  <si>
    <t>пом.3 (кв.1,2) кафе</t>
  </si>
  <si>
    <t>Чабан Галина Васильевна</t>
  </si>
  <si>
    <t>пом.1 (кв.20) Наркологический центр "Инсайт"</t>
  </si>
  <si>
    <t>пом.20 (кв.18) М-н "Овощной"</t>
  </si>
  <si>
    <t>пом.2 (кв.20) офис</t>
  </si>
  <si>
    <t>Зимин Олег Николаевич ИП</t>
  </si>
  <si>
    <t>Цвагбайм Александр Шикович</t>
  </si>
  <si>
    <t>пом.2 (кв.51) пл.47м2 Не открыт лицевой счет</t>
  </si>
  <si>
    <t>пом.1 (кв.36) Юридическое агентство "Победит"</t>
  </si>
  <si>
    <t>Сеничев Виктор Сергеевич</t>
  </si>
  <si>
    <t>пом.4,18,19,20,21 Ленинский межрайонный следственный отдел</t>
  </si>
  <si>
    <t>СУ СК России по Челябинской области</t>
  </si>
  <si>
    <t>пом.1 (кв.1) Офис "ОТТО"</t>
  </si>
  <si>
    <t>Врубель Татьяна Семеновна ИП</t>
  </si>
  <si>
    <t>пом.4 (кв.38а) Химчистка"Диана"(н.0,43)(приемный пункт)</t>
  </si>
  <si>
    <t>пом.2,3 М-н "Гарнизонный" пом. 2,3 (1 этаж, цоколь)</t>
  </si>
  <si>
    <t>пом.1 (+кв.4)</t>
  </si>
  <si>
    <t>пом.2,3 Аптека №51</t>
  </si>
  <si>
    <t>под.1 аренда л/кл 11,9м2</t>
  </si>
  <si>
    <t>пом.22 (кв.50)</t>
  </si>
  <si>
    <t>Хоменко Михаил Александрович</t>
  </si>
  <si>
    <t>Ткаченков Владимир Александрович ИП</t>
  </si>
  <si>
    <t>Булташев Валерий Фаритович</t>
  </si>
  <si>
    <t>пом.10 (кв.2) Салон охранной системы</t>
  </si>
  <si>
    <t>пом.10 (кв.3) пл. 30,7м2 Не закрыт лицевой счет</t>
  </si>
  <si>
    <t>пом.21 (кв.4) Магазин "Медтехника"</t>
  </si>
  <si>
    <t>пом.1 Парикмахерская "Ежик"</t>
  </si>
  <si>
    <t>Тарасов Александр Николаевич</t>
  </si>
  <si>
    <t>пом.4 М-н продуктовый</t>
  </si>
  <si>
    <t>пом.6 (кв.47)</t>
  </si>
  <si>
    <t>пом.1 Центр соц обслуживания</t>
  </si>
  <si>
    <t>пом.3 Магазин "ИнтерАВТО"</t>
  </si>
  <si>
    <t>Шашева Людмила Геннадьевна, Шальнева Ирина Викторовна</t>
  </si>
  <si>
    <t>пом.2 Офис (цоколь)</t>
  </si>
  <si>
    <t>пом.14 (кв.67,68) Кулинария "Три поросенка"</t>
  </si>
  <si>
    <t>пом.11 (кв.1,2) ООО "СОФТИНКОМ-КОНСУЛЬТАНТ"</t>
  </si>
  <si>
    <t>Долженков Александр Владимирович</t>
  </si>
  <si>
    <t>под.1 аренда л/кл 10м2</t>
  </si>
  <si>
    <t>пом.3 Тату салон (цоколь)</t>
  </si>
  <si>
    <t xml:space="preserve">пом.15 (кв.66) Магазин "Престиж" </t>
  </si>
  <si>
    <t>Арсланова Эльвира Рашитовна</t>
  </si>
  <si>
    <t>пом.16 Федерация КУДО (цоколь)</t>
  </si>
  <si>
    <t>пом.13 (кв.87) Сориса</t>
  </si>
  <si>
    <t>пом. 4 (кв.21)</t>
  </si>
  <si>
    <t>пом.7,8 Офис</t>
  </si>
  <si>
    <t>Резникова Эльвира Владимировна</t>
  </si>
  <si>
    <t>Мельничук Вадим Александрович ИП</t>
  </si>
  <si>
    <t>пом.1 М-н "Мебель"</t>
  </si>
  <si>
    <t>пом. 4 (кв.2)+цоколь Аптека</t>
  </si>
  <si>
    <t>Кнутова Наталья Анатольевна ИП</t>
  </si>
  <si>
    <t>пом.2 Д/к Аквамарин</t>
  </si>
  <si>
    <t>Хмель Евгений Борисович, Лейсле ГГ</t>
  </si>
  <si>
    <t>пом.3 (кв.14,27)"Синтерра-Урал"(н.0,42)</t>
  </si>
  <si>
    <t>пом.1 Магазин ''Эста"</t>
  </si>
  <si>
    <t>пом.6 (кв.21) Помещение 06.04.07 г.</t>
  </si>
  <si>
    <t>пом.25 (кв.31)</t>
  </si>
  <si>
    <t>пом.5 М-н "Аркада"</t>
  </si>
  <si>
    <t>пом. подвал (бытовки)</t>
  </si>
  <si>
    <t xml:space="preserve">пом. подвал </t>
  </si>
  <si>
    <t>пом.15 Швейная мастерская</t>
  </si>
  <si>
    <t>ООО "Торговый Дом "ТАТАРСТАН-МАГНИТКА" аренда у Администрации г. Магнитогорска</t>
  </si>
  <si>
    <t>Омигова Наталья Владимировна</t>
  </si>
  <si>
    <t>пом.21 (кв.33) Промтоварный магазин</t>
  </si>
  <si>
    <t>пом.4 (+кв.116) Ресторан</t>
  </si>
  <si>
    <t>Каструлин Сергей Александрович ИП</t>
  </si>
  <si>
    <t>Администрация города Магнитогорска (аренда ООО Ника)</t>
  </si>
  <si>
    <t>пом.2 М-н "Вечерний"</t>
  </si>
  <si>
    <t>Арсланов Степан Тахирович,Малыхина,Птицына,Туркова</t>
  </si>
  <si>
    <t>пом.4 (кв.2) Пошивочная</t>
  </si>
  <si>
    <t xml:space="preserve">пом.6 (кв.62) М-н </t>
  </si>
  <si>
    <t>пом.11,17 М-н</t>
  </si>
  <si>
    <t>под.3 аренда л/кл 17,1м2</t>
  </si>
  <si>
    <t>пом.8,14, кв.117 Ресторан "Учкудук"</t>
  </si>
  <si>
    <t>под.7 аренда л/кл. 12,5м2</t>
  </si>
  <si>
    <t>Богатырева Лариса Борисовна ИП</t>
  </si>
  <si>
    <t>под.1 аренда л/кл пл.13,6 м2</t>
  </si>
  <si>
    <t>пом.1 Аптека № 131 (цоколь, подвал)</t>
  </si>
  <si>
    <t>пом.11 (кв.72) М-н цоколь</t>
  </si>
  <si>
    <t>пом.2 (кв.71) М-н "БРИЗ" цоколь</t>
  </si>
  <si>
    <t>Бурцев Анатолий Владимирович ИП</t>
  </si>
  <si>
    <t>Вознесенский Алексей Анатольевич ИП</t>
  </si>
  <si>
    <t>пом.1 М-н "Татьяна"</t>
  </si>
  <si>
    <t>Болотский Николай Евгеньевич ИП</t>
  </si>
  <si>
    <t xml:space="preserve">пом.10 (кв.148) Парикмахерская </t>
  </si>
  <si>
    <t>пом.20 (кв.88) Прод. м-н</t>
  </si>
  <si>
    <t>пом.12 (кв. 147) Центр независимых экспертиз "МИЭП"</t>
  </si>
  <si>
    <t>пом.24 (кв.167) Кофейня "Coffe club"</t>
  </si>
  <si>
    <t>Змияк Анна Александровна ИП</t>
  </si>
  <si>
    <t>пом.5 (кв.87) "Уралстрой"</t>
  </si>
  <si>
    <t>пом.19 (кв.21) М-н "PALERMO"</t>
  </si>
  <si>
    <t>Максимова Ирина Валерьевна</t>
  </si>
  <si>
    <t>пом.15 (кв.107) М-н "Одежда"</t>
  </si>
  <si>
    <t>Пашина Людмила Павловна ИП</t>
  </si>
  <si>
    <t>пом.9 (кв.207) М-н "Продукты"</t>
  </si>
  <si>
    <t>Кишоян Серго Владимирович ИП</t>
  </si>
  <si>
    <t>Рассказов Евгений Вадимович</t>
  </si>
  <si>
    <t>под.10 аренда л/кл 7,8м2</t>
  </si>
  <si>
    <t>Администрация города Магнитогорска (аренда - Кислухин Артем Геннадьевич)</t>
  </si>
  <si>
    <t>Крупнов Владимир Александрович</t>
  </si>
  <si>
    <t>пом.22 (кв.186) Ломбард</t>
  </si>
  <si>
    <t>под.5 аренда 16,2м2</t>
  </si>
  <si>
    <t>пом.2 Банк</t>
  </si>
  <si>
    <t>пом.4 (кв.116) Турагентство "ЮНИС-М"</t>
  </si>
  <si>
    <t xml:space="preserve">пом.12 (кв.1,2) Магазин "Окна, двери, ковка" </t>
  </si>
  <si>
    <t>ООО "Вексель"</t>
  </si>
  <si>
    <t>пом.14 Офис</t>
  </si>
  <si>
    <t xml:space="preserve">пом.2 (пом.91-94) М-н "Стильная Одежда" </t>
  </si>
  <si>
    <t>пом.20 (кв.23) Офис</t>
  </si>
  <si>
    <t>Компания "ММК Трейдинг АГ"</t>
  </si>
  <si>
    <t>пом. 1 (кв.51-56,71) Офис</t>
  </si>
  <si>
    <t>пом.3 (кв.73) ("Bios")</t>
  </si>
  <si>
    <t>ООО "ФАРМЛЕНД-УРАЛ ЦЕНТР"</t>
  </si>
  <si>
    <t>пом.8 (кв.14) М-н "Медтехника"</t>
  </si>
  <si>
    <t>ООО "МедИнформСервис"</t>
  </si>
  <si>
    <t>Кашин Вадим Геннадьевич</t>
  </si>
  <si>
    <t>пом.6 (кв.32) М-н "Флагман" (из д.2104)</t>
  </si>
  <si>
    <t>пом.8 (кв.18) М-н "Флагман" (из д. 2104)</t>
  </si>
  <si>
    <t>пом.5 (кв.74) М-н "Сантехресурс"</t>
  </si>
  <si>
    <t>пом.10 (кв.54,73)</t>
  </si>
  <si>
    <t>под.4 аренда л/кл 12,1 м2</t>
  </si>
  <si>
    <t>пом.11 (кв.17) М-н</t>
  </si>
  <si>
    <t>пом.2 (кв.62)</t>
  </si>
  <si>
    <t>Пиоро Владислав Константинович</t>
  </si>
  <si>
    <t>Шумина Вера Сергеевна</t>
  </si>
  <si>
    <t xml:space="preserve">пом.3 (кв.91) М-н </t>
  </si>
  <si>
    <t>Бурдяк Юрий Игоревич, Головацкий ВН</t>
  </si>
  <si>
    <t>пом.4 (кв.18) М-н</t>
  </si>
  <si>
    <t>пом. 7 (кв.46)</t>
  </si>
  <si>
    <t xml:space="preserve">пом.9 (кв.90) Офис </t>
  </si>
  <si>
    <t>пом.13 (кв.1,2) Офис</t>
  </si>
  <si>
    <t>Никольская Алла Евгеньевна ИП</t>
  </si>
  <si>
    <t>под.5 аренда л/кл 8,3м2</t>
  </si>
  <si>
    <t>подвал аренда 180м2</t>
  </si>
  <si>
    <t>пом.12 (кв.82) М-н "Антиквариат"</t>
  </si>
  <si>
    <t>Чан Хыу-Чунг, Зобачев Сергей Владимирович</t>
  </si>
  <si>
    <t>пом.15 (кв.101)</t>
  </si>
  <si>
    <t>пом.16 (кв.3) М-н Встраиваемая техника</t>
  </si>
  <si>
    <t>Ильин  Александр Викторович ИП</t>
  </si>
  <si>
    <t>пом.20 (кв.23,42) М-н "Титан"(н.0,30)</t>
  </si>
  <si>
    <t>Петрова Мария Васильевна</t>
  </si>
  <si>
    <t>пом.2 (кв.16) пл.56,4м2 (не закрыт лицевой счет)</t>
  </si>
  <si>
    <t>пом.11 (кв.1) М-н "Конфетти"</t>
  </si>
  <si>
    <t>Гаврилова Татьяна Азатовна ИП</t>
  </si>
  <si>
    <t>пом.3 (кв.3,22) Офис</t>
  </si>
  <si>
    <t>пом.2 (кв.81) Офис (н.0,31)</t>
  </si>
  <si>
    <t>Степаненко Ирина Алексеевна ИП</t>
  </si>
  <si>
    <t xml:space="preserve">пом.11 (кв.63) М-н "Грация" </t>
  </si>
  <si>
    <t>пом.16 (кв.62) Офис</t>
  </si>
  <si>
    <t xml:space="preserve">пом.15 (кв.102,103) Офис"Черный квадрат" </t>
  </si>
  <si>
    <t>Шамсувалеев Ринат Эльфатович ИП</t>
  </si>
  <si>
    <t>пом.12 (кв.122)</t>
  </si>
  <si>
    <t>пом.2 (кв.83) М-н</t>
  </si>
  <si>
    <t>Толстова Галина Валерьевна</t>
  </si>
  <si>
    <t>пом.6 (кв.66,67) Нотариус</t>
  </si>
  <si>
    <t>пом.11 (кв.81,82) М-н "Евроокно"</t>
  </si>
  <si>
    <t>пом.20 (кв.52) Офис (н.0,63)</t>
  </si>
  <si>
    <t>Абышов Элман Абыш оглы ИП</t>
  </si>
  <si>
    <t>под.4 "Капитан Флинт" аренда л/кл 13м2 (н.0,30)</t>
  </si>
  <si>
    <t>Тарасова Анна Валерьевна</t>
  </si>
  <si>
    <t>Шмелева Татьяна Владимировна</t>
  </si>
  <si>
    <t>Локтионов Антон Геннадьевич</t>
  </si>
  <si>
    <t>пом.5 подвал С/у №3, бытовка дворников</t>
  </si>
  <si>
    <t>пом.3 (кв.3) Кафе"Бухта"(н.6,68)</t>
  </si>
  <si>
    <t>под. 2 аренда л/кл пл. 11,2м2</t>
  </si>
  <si>
    <t>Лукьянова Елена Ивановна</t>
  </si>
  <si>
    <t xml:space="preserve">пом.5 Офис </t>
  </si>
  <si>
    <t>под.3 л/кл аренда 13,1м2</t>
  </si>
  <si>
    <t>под.2 аренда л/кл 11,9 м2 (нет ГВС,акт от  03.07.2009г.)</t>
  </si>
  <si>
    <t>пом.1 (с №2,3)+(с № 4,5,7,8,10,11-1/3)</t>
  </si>
  <si>
    <t>пом.1 (с № 12,13) подвал Солярий</t>
  </si>
  <si>
    <t>пом.1 (с №4,5,7,8,10-11-1/3 доля МОП)</t>
  </si>
  <si>
    <t>пом.21 (кв.18) М-н "Миледи"</t>
  </si>
  <si>
    <t>Сафина  Дина Габдрауфовна ИП</t>
  </si>
  <si>
    <t>Шнайдер Павел Геннадьевич, Сконников СМ</t>
  </si>
  <si>
    <t>пом.9 (кв. 37) М-н промтоваров цоколь</t>
  </si>
  <si>
    <t>Иваев Рафаэль Ильдарович ИП</t>
  </si>
  <si>
    <t>Миняйло Наталья Викторовна ИП</t>
  </si>
  <si>
    <t>Бобровский Андрей Александрович</t>
  </si>
  <si>
    <t>пом.9 (кв.80) цоколь</t>
  </si>
  <si>
    <t>пом.8 (кв.81) цоколь М-н "Трюффель"</t>
  </si>
  <si>
    <t>спецпомещения II, III (часть)</t>
  </si>
  <si>
    <t>спецпомещения IX, III (часть)</t>
  </si>
  <si>
    <t>пом.6 офис "ФинансРезерв" цоколь</t>
  </si>
  <si>
    <t>пом.15 (кв.3) БНЭО</t>
  </si>
  <si>
    <t>пом. 20 (кв.15) БНЭО</t>
  </si>
  <si>
    <t>Солдатова Инна Борисовна</t>
  </si>
  <si>
    <t xml:space="preserve">ООО "Урал" </t>
  </si>
  <si>
    <t>пом.1 М-н № 8 "Урал"</t>
  </si>
  <si>
    <t>пом.5 (кв.86) М-н "Асса"(продукты)</t>
  </si>
  <si>
    <t>Шаульская Марина Александровна ИП</t>
  </si>
  <si>
    <t>пом.8 (кв.105) Парикмахерская</t>
  </si>
  <si>
    <t>пом.11 Отделение банка "КУБ"</t>
  </si>
  <si>
    <t>пом.19 (кв.72) Туристическое агентство"Континент Тревел"</t>
  </si>
  <si>
    <t>Головацкая Ольга Николаевна</t>
  </si>
  <si>
    <t>пом.1 М-н</t>
  </si>
  <si>
    <t>под.2 аренда л/кл 9,9м2</t>
  </si>
  <si>
    <t>под.3 Ремонт обуви (аренда л/кл 11,4м2)</t>
  </si>
  <si>
    <t>Гоманюк Сергей Анатольевич ИП</t>
  </si>
  <si>
    <t>ООО "ЭлитСтройНедвижимость"</t>
  </si>
  <si>
    <t>пом.11 (кв.58) М-н "Дени"</t>
  </si>
  <si>
    <t>пом.10 (кв.17) "Согаз"</t>
  </si>
  <si>
    <t>Ляшкевич Максим Анатольевич</t>
  </si>
  <si>
    <t xml:space="preserve">Новиков Олег Васильевич, Новикова ОВ </t>
  </si>
  <si>
    <t>Емельянов Вадим Валентинович</t>
  </si>
  <si>
    <t>Кришан Анатолий Леонидович</t>
  </si>
  <si>
    <t>пом.20 (кв.20,19часть) М-н "Фарфор"</t>
  </si>
  <si>
    <t>пом.21 (кв.3,4) Салон красоты "Вуаля"(н.4,56)</t>
  </si>
  <si>
    <t>пом.23 (кв.33,19часть)</t>
  </si>
  <si>
    <t xml:space="preserve">пом.20 М-н "Магнит" </t>
  </si>
  <si>
    <t>пом.3 Кулинария "Лакомка"</t>
  </si>
  <si>
    <t>Макарчук Александр Николаевич</t>
  </si>
  <si>
    <t>Иванова Ирина Викторовна</t>
  </si>
  <si>
    <t>пом.3 (кв.31,34)</t>
  </si>
  <si>
    <t>Шилова Юлия Сергеевна</t>
  </si>
  <si>
    <t>пом.5 (кв.3,16,17)</t>
  </si>
  <si>
    <t>пом.6 (кв.18)</t>
  </si>
  <si>
    <t>Киселева Галина Сергеевна ИП</t>
  </si>
  <si>
    <t>пом.3 (кв.22,31)</t>
  </si>
  <si>
    <t>Потапова Евгения Петровна ИП</t>
  </si>
  <si>
    <t>пом.4 (кв.21)</t>
  </si>
  <si>
    <t>пом.5 (кв.1,2)</t>
  </si>
  <si>
    <t>Емельянова Екатерина Геннадьевна</t>
  </si>
  <si>
    <t>Костенко Ольга Александровна ИП</t>
  </si>
  <si>
    <t>пом.4 (кв.16,17)</t>
  </si>
  <si>
    <t>пом.3 (кв.18,31)</t>
  </si>
  <si>
    <t>ООО "ВИТАМИНКА"</t>
  </si>
  <si>
    <t>пом.1 (кв.78) Аптечный пункт</t>
  </si>
  <si>
    <t>Янков Геннадий Николаевич ИП</t>
  </si>
  <si>
    <t>Бурдяк Наталья Анатольевна ИП</t>
  </si>
  <si>
    <t>Стрельбицкая Екатерина Витальевна</t>
  </si>
  <si>
    <t>Баклыков Юрий Константинович</t>
  </si>
  <si>
    <t>пом.3,5 (кв.41,50)</t>
  </si>
  <si>
    <t>пом.1 (кв.48) Магазин"Флеш"(н.0,52)</t>
  </si>
  <si>
    <t>пом.10 (кв.31) М-н</t>
  </si>
  <si>
    <t>пом.11 (кв.47) "Умный дом"</t>
  </si>
  <si>
    <t>Новоселова Марина Дмитриевна ИП</t>
  </si>
  <si>
    <t>под.4+подвал</t>
  </si>
  <si>
    <t>пом.13 (кв.2,3) "Вкусные кухни" Выставочный зал</t>
  </si>
  <si>
    <t>пом.12 (кв.18) М-н "Пеплос"</t>
  </si>
  <si>
    <t>Захарчук Валерий Георгиевич ИП</t>
  </si>
  <si>
    <t>Самарханов Дмитрий Уралович</t>
  </si>
  <si>
    <t>пом.13 (кв.1,2) Парикмахерская</t>
  </si>
  <si>
    <t>Усачева Наталья Ивановна</t>
  </si>
  <si>
    <t>Служеникин Игорь Анатольевич</t>
  </si>
  <si>
    <t>пом.4 (кв.18)</t>
  </si>
  <si>
    <t>пом.8 (кв.17), пом.5 (кв.16)</t>
  </si>
  <si>
    <t>пом.5 (кв.2,3)</t>
  </si>
  <si>
    <t>пом.9 (кв.47) (нет ГВС)</t>
  </si>
  <si>
    <t>Лабо Ирина Эдуардовна</t>
  </si>
  <si>
    <t>пом.3,4 (общ. туалет)</t>
  </si>
  <si>
    <t>Павлова Татьяна Михайловна</t>
  </si>
  <si>
    <t>пом.7 (кв.19)</t>
  </si>
  <si>
    <t>пом.11 (кв.52)</t>
  </si>
  <si>
    <t>пом.6 подвал</t>
  </si>
  <si>
    <t>Круглякова Галина Григорьевна</t>
  </si>
  <si>
    <t>Ильина Кристина Валерьевна</t>
  </si>
  <si>
    <t>Келлер Татьяна Александровна ИП</t>
  </si>
  <si>
    <t>МКУК  "Централизованная детская библиотечная система"</t>
  </si>
  <si>
    <t xml:space="preserve">пом.3 Библиотека </t>
  </si>
  <si>
    <t>Поляков Вадим Анатольевич</t>
  </si>
  <si>
    <t xml:space="preserve">пом.20 </t>
  </si>
  <si>
    <t>под.3 аренда л/кл 12,4м2</t>
  </si>
  <si>
    <t>пом.11 (кв.48) "Арс-Бюро"</t>
  </si>
  <si>
    <t xml:space="preserve">пом.20 (кв.47) "Арс-Бюро" </t>
  </si>
  <si>
    <t xml:space="preserve">под.5 "Арс-Бюро" аренда л/кл 11,1м2 </t>
  </si>
  <si>
    <t>пом.3 (с №1-19,22-24)</t>
  </si>
  <si>
    <t>пом.14 (кв.3,16,17) м-н Тепло</t>
  </si>
  <si>
    <t>Мухамадеева Ирина Михайловна, Мухамадеев Р.М.</t>
  </si>
  <si>
    <t>пом.11 (кв.4)</t>
  </si>
  <si>
    <t>Москвиченко Наталья Алексеевна</t>
  </si>
  <si>
    <t>Волынец Игорь Владиславович</t>
  </si>
  <si>
    <t>Синицких Андрей Андреевич</t>
  </si>
  <si>
    <t>Мерзлова Анна Владимировна</t>
  </si>
  <si>
    <t>пом.1 (с №16)</t>
  </si>
  <si>
    <t>пом.1 (с №1)</t>
  </si>
  <si>
    <t>Чапов Борис Сергеевич</t>
  </si>
  <si>
    <t>пом.4  (кв.37,38)</t>
  </si>
  <si>
    <t>пом.5 (кв.26) Демонстрационный зал</t>
  </si>
  <si>
    <t>Лукина Наталья Витальевна</t>
  </si>
  <si>
    <t>пом.20 (кв.12)</t>
  </si>
  <si>
    <t>Тулупова Юлия Викторовна</t>
  </si>
  <si>
    <t>Михайлова Наталья Геннадьевна ИП</t>
  </si>
  <si>
    <t>Сергиенко Ксения Васильевна ИП</t>
  </si>
  <si>
    <t>Холоша Максим Сергеевич</t>
  </si>
  <si>
    <t>ООО "ПРОМВЫСОТА"</t>
  </si>
  <si>
    <t>Чипышева Ольга Евгеньевна</t>
  </si>
  <si>
    <t>Уржумцева Лилия Шагитовна ИП</t>
  </si>
  <si>
    <t xml:space="preserve">пом.10 (кв.31) М-н </t>
  </si>
  <si>
    <t>Гордилковская Наталья Валентиновна</t>
  </si>
  <si>
    <t>Морева Людмила Константиновна</t>
  </si>
  <si>
    <t>пом.12 (кв.45) Оптика</t>
  </si>
  <si>
    <t>пом.13 (кв.47)</t>
  </si>
  <si>
    <t>пом.14 (кв.46)</t>
  </si>
  <si>
    <t>Цыплакова Александра Валерьевна ИП</t>
  </si>
  <si>
    <t>Моренко Ольга Анатольевна</t>
  </si>
  <si>
    <t>пом.4 (кв.76)</t>
  </si>
  <si>
    <t>пом.5 (кв.3,16,2часть)</t>
  </si>
  <si>
    <t>пом.5а (кв.1,2часть)</t>
  </si>
  <si>
    <t>Шингареев Римарь Шарифович ИП</t>
  </si>
  <si>
    <t>пом.8 (кв.32)</t>
  </si>
  <si>
    <t>Сулейманова Нарине Тимуровна</t>
  </si>
  <si>
    <t>Полторецкая Елена Николаевна</t>
  </si>
  <si>
    <t>под.3 аренда л/кл 12,3м2</t>
  </si>
  <si>
    <t>под.3 аренда л/кл 15,6м2</t>
  </si>
  <si>
    <t>МУЗ "Родильный дом №3"</t>
  </si>
  <si>
    <t>пом.3 (кв.49)</t>
  </si>
  <si>
    <t>Остапченко Владимир Петрович</t>
  </si>
  <si>
    <t>пом.13 (кв.23 часть1/2) цоколь</t>
  </si>
  <si>
    <t>пом.13 (кв.23 часть 1/2) цоколь</t>
  </si>
  <si>
    <t>Баймухометова Наиля Кадировна</t>
  </si>
  <si>
    <t>Пиралиев Намиг Шакир оглы</t>
  </si>
  <si>
    <t>Чекурова Оксана Сергеевна</t>
  </si>
  <si>
    <t>Каримова Надежда Владимировна ИП</t>
  </si>
  <si>
    <t>пом.5 (кв.2,15) Офис</t>
  </si>
  <si>
    <t xml:space="preserve">пом.4 (кв.57) </t>
  </si>
  <si>
    <t>пом.2 (л/кл+кв.2) Нотариус</t>
  </si>
  <si>
    <t>Хорошилова Фарида Шайхулловна</t>
  </si>
  <si>
    <t xml:space="preserve">пом.22 (кв.3) М-н </t>
  </si>
  <si>
    <t>ООО "АНГАРА"</t>
  </si>
  <si>
    <t>под.1 аренда л/кл пл.13,8м2</t>
  </si>
  <si>
    <t>под.2 аренда л/кл пл.8,1м2</t>
  </si>
  <si>
    <t>под.4 аренда л/кл 11,2м2</t>
  </si>
  <si>
    <t>1-439а</t>
  </si>
  <si>
    <t>1-439а-42</t>
  </si>
  <si>
    <t>Блочный</t>
  </si>
  <si>
    <t>пом.2 спецпом. (нет ГВС)</t>
  </si>
  <si>
    <t>Безбородов Алексей Борисович ИП</t>
  </si>
  <si>
    <t>РО УЦ Новоапостольской церкви в России</t>
  </si>
  <si>
    <t>Титаренко Алексей Алексеевич</t>
  </si>
  <si>
    <t>Атеев Григорий Алексеевич</t>
  </si>
  <si>
    <t>ОИ МКД (по решению суда)</t>
  </si>
  <si>
    <t>пом.1 (бойлерная) S=102,2м2</t>
  </si>
  <si>
    <t>Мусоропри-емные камеры/мусоропровод (+), м2</t>
  </si>
  <si>
    <t>Махмадиев Толибджон Раджабалиевич ИП</t>
  </si>
  <si>
    <t>МУ "СШОР "ДИНАМО" г. Магнитогорска</t>
  </si>
  <si>
    <t>Грушко Дмитрий Юрьевич</t>
  </si>
  <si>
    <t>Московченко Наталья Алексеевна</t>
  </si>
  <si>
    <t>Пушкарев Дмитрий Сергеевич</t>
  </si>
  <si>
    <t xml:space="preserve">пом.2 подвал </t>
  </si>
  <si>
    <t>Слободенюк Александр Сергеевич ИП</t>
  </si>
  <si>
    <t>ОАО "Магнитогорский хлебокомбинат"</t>
  </si>
  <si>
    <t>Петров Иван Валерьевич</t>
  </si>
  <si>
    <t>Гольцов Сергей Викторович ИП</t>
  </si>
  <si>
    <t>пом.2 (кв.1) М-н "Кухни"</t>
  </si>
  <si>
    <t>ООО "СЕЛЬТОРГ"</t>
  </si>
  <si>
    <t>Добрынин Александр Николаевич</t>
  </si>
  <si>
    <t>ООО "НПО "ТЕХНОСТАЛЬ"</t>
  </si>
  <si>
    <t>ООО "НЕДВИЖИНВЕСТ"</t>
  </si>
  <si>
    <t>Чернышов Дмитрий Владимирович</t>
  </si>
  <si>
    <t>Мифтахов Роман Зуфарович ИП</t>
  </si>
  <si>
    <t>пом.3 (бывш. общ.туалет)</t>
  </si>
  <si>
    <t>пом.6 (бывш. общ.туалет)</t>
  </si>
  <si>
    <t>Каримова Маргарита Халимовна</t>
  </si>
  <si>
    <t>Джамалдинов Илхомжон Шарабидинович ИП</t>
  </si>
  <si>
    <t>Козлов Михаил Сергеевич</t>
  </si>
  <si>
    <t>Вышинский Василий Валерьевич, Куцак Д.В., Вышинский В.В.</t>
  </si>
  <si>
    <t>АО "ГОРЭЛЕКТРОСЕТЬ"</t>
  </si>
  <si>
    <t>пом.4 Трансформаторная подстанция</t>
  </si>
  <si>
    <t>пом. подвал</t>
  </si>
  <si>
    <t>Трифонов Николай Иванович ИП</t>
  </si>
  <si>
    <t>Трансформаторная подстанция</t>
  </si>
  <si>
    <t>пом. 4 Трансформаторная подстанция</t>
  </si>
  <si>
    <t>пом. 5 Трансформаторная подстанция</t>
  </si>
  <si>
    <t>пом.20 (кв.70)</t>
  </si>
  <si>
    <t>Сагдеев Вячеслав Михайлович</t>
  </si>
  <si>
    <t>пом. 45</t>
  </si>
  <si>
    <t>Свентицкий Александр Викторович</t>
  </si>
  <si>
    <t>пом. 40</t>
  </si>
  <si>
    <t>пом.11 Гараж. бокс №2</t>
  </si>
  <si>
    <t>Белова Татьяна Евгеньевна</t>
  </si>
  <si>
    <t>Фурьяка Георгий Владимирович</t>
  </si>
  <si>
    <t>Бурдюкова Александра Равильевна</t>
  </si>
  <si>
    <t>Мкртчян Лусик Мартиросовна</t>
  </si>
  <si>
    <t>Ильин Константин Александрович ИП</t>
  </si>
  <si>
    <t>ООО "МСБ-ЭСТЕЙТ"</t>
  </si>
  <si>
    <t>ООО "АЛЬЯНС"</t>
  </si>
  <si>
    <t xml:space="preserve">пом.21 (кв.121) М-н </t>
  </si>
  <si>
    <t>Ханафина Луиза Рамильевна</t>
  </si>
  <si>
    <t xml:space="preserve">пом.9 (кв.18) М-н </t>
  </si>
  <si>
    <t>ТС</t>
  </si>
  <si>
    <t>Кол-во стояков (примерное)</t>
  </si>
  <si>
    <t>Дьячков Игорь Александрович ИП</t>
  </si>
  <si>
    <t>ООО "СКАЙЛОК"</t>
  </si>
  <si>
    <t>пом.1 (кв.1) Аптека "Медуница"</t>
  </si>
  <si>
    <t>пом.2 (кв.2) Ломбардъ</t>
  </si>
  <si>
    <t>Иванов Герман Евгеньевич, Ефимова ЕА</t>
  </si>
  <si>
    <t>пом. 6 (кв. 48)М-н "Красно-белое"</t>
  </si>
  <si>
    <t>пом.3 (кв.18) М-н</t>
  </si>
  <si>
    <t>пом. 4 (кв.17)М-н "Саквояж"</t>
  </si>
  <si>
    <t>Асадов Фазил Елчу оглы</t>
  </si>
  <si>
    <t>Першина Галина Николаевна</t>
  </si>
  <si>
    <t>пом.7 (кв.32)</t>
  </si>
  <si>
    <t>ООО "МОРСКОЕ ДНО"</t>
  </si>
  <si>
    <t>пом.20 (+кв.13)</t>
  </si>
  <si>
    <t>Гайнцев Михаил Александрович</t>
  </si>
  <si>
    <t>пом.3 (раньше - ПНД № 1)</t>
  </si>
  <si>
    <t>пом.4 (кв.61)</t>
  </si>
  <si>
    <t>Лавров Матвей Валерьевич ИП</t>
  </si>
  <si>
    <t>Джамолдинов Илхомжон Шарабидинович ИП</t>
  </si>
  <si>
    <t>Репринцева Ксения Васильевна</t>
  </si>
  <si>
    <t>пом.9 (кв.62,63,76,77)</t>
  </si>
  <si>
    <t>Плюхин Константин Вадимович ИП</t>
  </si>
  <si>
    <t>МКУК "ЦДБС" г. Магнитогорска</t>
  </si>
  <si>
    <t>Детская библиотека  №2</t>
  </si>
  <si>
    <t>ООО "ТРИАНТ"</t>
  </si>
  <si>
    <t>пом.1 (кв.26)</t>
  </si>
  <si>
    <t>пом.20 (кв.14,15)</t>
  </si>
  <si>
    <t>пом.2 (кв.27)</t>
  </si>
  <si>
    <t>под.3 аренда л/кл 14,8м2</t>
  </si>
  <si>
    <t>под.2 аренда л/кл 13,8м2</t>
  </si>
  <si>
    <t>пом.10 (кв.26) Офис цоколь</t>
  </si>
  <si>
    <t xml:space="preserve">пом. (кв.2) Офис </t>
  </si>
  <si>
    <t>КАПИТАЛЬНЫЙ РЕМОНТ</t>
  </si>
  <si>
    <t>Кол-во этажей (в т.ч. подвальный,цокольный)</t>
  </si>
  <si>
    <t xml:space="preserve"> 9.1</t>
  </si>
  <si>
    <t xml:space="preserve">Кол-во этажей (подвальный, цокольный) </t>
  </si>
  <si>
    <t xml:space="preserve"> 9.2</t>
  </si>
  <si>
    <t xml:space="preserve"> 4,5,6</t>
  </si>
  <si>
    <t>Семенова Татьяна Анатольевна</t>
  </si>
  <si>
    <t>Наумов Евгений Павлович ИП</t>
  </si>
  <si>
    <t>Хицкова Елена Викторовна ИП</t>
  </si>
  <si>
    <t>Зайцев Андрей Александрович ИП</t>
  </si>
  <si>
    <t>под.1 (аренда л/кл 12,5 м2)</t>
  </si>
  <si>
    <t>под.3 (аренда л_кл 9,3 м2)</t>
  </si>
  <si>
    <t>под.2,4 (аренда л_кл 23,2 м2)</t>
  </si>
  <si>
    <t>Карпова Лариса Владимировна</t>
  </si>
  <si>
    <t>пом. 4 (подвал) участок сантех. № 2</t>
  </si>
  <si>
    <t>Администрация города Магнитогорска (аренда ООО "ВДС")</t>
  </si>
  <si>
    <t>Чернов Игорь Николаевич</t>
  </si>
  <si>
    <t>Акшенцева Галина Александровна, Акшенцев ИС</t>
  </si>
  <si>
    <t>Скирда Сергей Леонидович</t>
  </si>
  <si>
    <t>подвал (аренда 38,3м2)</t>
  </si>
  <si>
    <t>пом. 30</t>
  </si>
  <si>
    <t>пом.33 офис (подвал)</t>
  </si>
  <si>
    <t>Администрация города Магнитогорска (аренда - Панина Наталья Алексеевна)</t>
  </si>
  <si>
    <t>пом.32 (в 1/2 доле) подвал</t>
  </si>
  <si>
    <t>пом.31 (в 1/4 доле как МОП) подвал</t>
  </si>
  <si>
    <t>пом.31 (часть как МОП) подвал</t>
  </si>
  <si>
    <t>Администрация города Магнитогорска (аренда- Самарина Дарья Ивановна)</t>
  </si>
  <si>
    <t>Администрация города Магнитогорска (аренда - Самарина Дарья Ивановна)</t>
  </si>
  <si>
    <t>пом.31 (часть как МОП) подвал ТОС</t>
  </si>
  <si>
    <t>пом.21 (1 этаж) Охран. Системы</t>
  </si>
  <si>
    <t>пом.21а (подвал) пустующее</t>
  </si>
  <si>
    <t>Белышев Юрий Викторович, Белышев ВЮ</t>
  </si>
  <si>
    <t>Чернобаева Елена Николаевна</t>
  </si>
  <si>
    <t>пом. 1 (3 эт. ) Офис</t>
  </si>
  <si>
    <t>Аргимбаев Алмаз рафкатович, Аргимбаева ЗС</t>
  </si>
  <si>
    <t>Кузнецова Людмила Владимировна</t>
  </si>
  <si>
    <t>Полимерное покрытие армированное</t>
  </si>
  <si>
    <t>Шифер/бикрост</t>
  </si>
  <si>
    <t>Блочные/Смешанные</t>
  </si>
  <si>
    <t>Зоткина Елена Ивановна</t>
  </si>
  <si>
    <t>Шагова Ульяна Юрьевна</t>
  </si>
  <si>
    <t>Тегай Елена Борисовна</t>
  </si>
  <si>
    <r>
      <t>пом.1  пл.</t>
    </r>
    <r>
      <rPr>
        <strike/>
        <sz val="10"/>
        <rFont val="Calibri"/>
        <family val="2"/>
        <charset val="204"/>
        <scheme val="minor"/>
      </rPr>
      <t xml:space="preserve">92,3 </t>
    </r>
    <r>
      <rPr>
        <sz val="10"/>
        <rFont val="Calibri"/>
        <family val="2"/>
        <charset val="204"/>
        <scheme val="minor"/>
      </rPr>
      <t>87,5 подвал</t>
    </r>
  </si>
  <si>
    <t>Кищук Александр Валерьевич, Пьянков ВВ</t>
  </si>
  <si>
    <t>Саволайнин Алексей Александрович</t>
  </si>
  <si>
    <t>под.5  аренда л/кл 7,5м2</t>
  </si>
  <si>
    <t>Юсин Сергей Николаевич</t>
  </si>
  <si>
    <t>Болховских Таисия Григорьевна, Бибко ИГ</t>
  </si>
  <si>
    <t>пом. Подвал (аренда 74,1м2)</t>
  </si>
  <si>
    <t>пом. Подвал (аренда 46м2)</t>
  </si>
  <si>
    <t>Фролова Марина Викторовна</t>
  </si>
  <si>
    <t>Тифанюк Юлия Сергеевна</t>
  </si>
  <si>
    <t>Кондрашов Ян Олегович</t>
  </si>
  <si>
    <t>под.2 (аренда л/кл 5,3 м2)</t>
  </si>
  <si>
    <t>пом.3 (кв.53,54+подвал)</t>
  </si>
  <si>
    <t>Боброва Евгения Сергеевна</t>
  </si>
  <si>
    <t>Администрация города Магнитогорска (аренда - МГОО ВЕТЕРАНОВ АФГАНИСТАНА И ЧЕЧНИ)</t>
  </si>
  <si>
    <t>Миракян Гриша Мартунович</t>
  </si>
  <si>
    <t>Гладских Татьяна Юрьевна</t>
  </si>
  <si>
    <t>ООО "АСТАРТА"</t>
  </si>
  <si>
    <t>Объект культурного наследия</t>
  </si>
  <si>
    <t xml:space="preserve"> -</t>
  </si>
  <si>
    <t>Гизатулина Зувайра Габдулбаровна, Оголихин ГС</t>
  </si>
  <si>
    <t>Кротова Людмила Ивановна ИП</t>
  </si>
  <si>
    <t>спецпом.4</t>
  </si>
  <si>
    <t xml:space="preserve">спецпом.6 </t>
  </si>
  <si>
    <t>спецпом.</t>
  </si>
  <si>
    <t>спецпом.10</t>
  </si>
  <si>
    <t>спецпом.6</t>
  </si>
  <si>
    <t>спецпом.7</t>
  </si>
  <si>
    <t>спецпом.6 (с № 18,19,23-27,34,35)</t>
  </si>
  <si>
    <t>пом.16 (кв.42,43,44,54)</t>
  </si>
  <si>
    <t>ООО "ПР-МАГ"</t>
  </si>
  <si>
    <t xml:space="preserve">пом.11 (кв.222) М-н "PERFECT" </t>
  </si>
  <si>
    <t>Корзников Евгений Юрьевич, Корзникова НЕ</t>
  </si>
  <si>
    <t xml:space="preserve">Вдовина Светлана Игоревна </t>
  </si>
  <si>
    <t>пом.11 (кв.223) (н.0,61)М-н "Домашняя сказка"</t>
  </si>
  <si>
    <t>пом.17 (кв.18) "Архивариус"</t>
  </si>
  <si>
    <t>Зубков Анатолий Евгеньевич</t>
  </si>
  <si>
    <t>пом.12 (кв.233,234)</t>
  </si>
  <si>
    <t>пом.13 (кв.235)</t>
  </si>
  <si>
    <t>пом.15 (кв.236)</t>
  </si>
  <si>
    <t>Кулакова Елена Степановна</t>
  </si>
  <si>
    <t>Михайлова Анастасия Валерьевна, Козлов АЮ</t>
  </si>
  <si>
    <t>пом.2 (кв.2) Офис 1/2 доля</t>
  </si>
  <si>
    <t>Манукян Рипсиме Левоновна</t>
  </si>
  <si>
    <t>спецпом. 3 (полуподвал)</t>
  </si>
  <si>
    <t>Куминов Андрей Александрович</t>
  </si>
  <si>
    <t>пом. 1 бывший м-н "ЕЛОЧКА" (цоколь)</t>
  </si>
  <si>
    <t>пом. 1а бывший м-н "ЕЛОЧКА" (цоколь, подвал)</t>
  </si>
  <si>
    <t>Савченко Глеб Юрьевич ИП</t>
  </si>
  <si>
    <t>Сыпало Екатерина Ивановна</t>
  </si>
  <si>
    <t>Синегина Светлана Ивановна ИП</t>
  </si>
  <si>
    <t>Торлина Ирина Юрьевна ИП</t>
  </si>
  <si>
    <t>Синегина Илона Андреевна</t>
  </si>
  <si>
    <t>ООО "ОПТОФФ"</t>
  </si>
  <si>
    <t>Абдрахимов Забир Лутфрахманович</t>
  </si>
  <si>
    <t>Климина Анна Владимировна, Климин СВ</t>
  </si>
  <si>
    <t>пом. 2 (кв. 14) М-н</t>
  </si>
  <si>
    <t>Ивановский Александр Викторович</t>
  </si>
  <si>
    <t>ООО "ФАВОРИТ" Долженко НВ</t>
  </si>
  <si>
    <t>Долженко Наталья Викторовна ИП</t>
  </si>
  <si>
    <t>пом.5 (кв.3)</t>
  </si>
  <si>
    <t>пом.5а (кв.4)</t>
  </si>
  <si>
    <t>Кузнецов Константин Алексеевич</t>
  </si>
  <si>
    <t>Намазов Интизам Иман Оглы (арендатор)</t>
  </si>
  <si>
    <t>Овчинников Сергей Викторович</t>
  </si>
  <si>
    <t>спецпом.1</t>
  </si>
  <si>
    <t>ООО "ПРОГРЕСС-М"</t>
  </si>
  <si>
    <t>Костамуратова Мария Тюлюгеновна</t>
  </si>
  <si>
    <t>Чернявская Анна Леонидовна</t>
  </si>
  <si>
    <t>Калинин Кирилл Евгеньевич</t>
  </si>
  <si>
    <t>Кобзева Татьяна Сергеевна</t>
  </si>
  <si>
    <t>Янченко Леонид Викторович</t>
  </si>
  <si>
    <t>Рогачева Наталья Юрьевна</t>
  </si>
  <si>
    <t>Яковлев Павел Васильевич</t>
  </si>
  <si>
    <t>пом.8 бывший Сбер</t>
  </si>
  <si>
    <t>Запускалов Максим Павлович, Чаплинцев ПА</t>
  </si>
  <si>
    <t>Семенец Юлия Анатольевна</t>
  </si>
  <si>
    <t>Кузьмина Ирина Геннадьевна</t>
  </si>
  <si>
    <t>Ленешмидт Кристиан Евгеньевич</t>
  </si>
  <si>
    <t>Бабенко Ирина Романовна</t>
  </si>
  <si>
    <t>Жемчужина Алена Матвеевна</t>
  </si>
  <si>
    <t>пом.3 (кв.27,40) - переведены в жилые</t>
  </si>
  <si>
    <t>пом.11 (кв. 15,16) Офис</t>
  </si>
  <si>
    <t>Коган Анастасия Дмитриевна</t>
  </si>
  <si>
    <t>Скиднова Анна Сергеевна</t>
  </si>
  <si>
    <t>Рыжкова Валерия Владимировна, Степанова И.В.</t>
  </si>
  <si>
    <t>Шашков Олег Анатольевич</t>
  </si>
  <si>
    <t>Загитов Василь Рамазанович</t>
  </si>
  <si>
    <t>Сорокина Татьяна Михайловна</t>
  </si>
  <si>
    <t>Белан Дмитрий Станиславович</t>
  </si>
  <si>
    <t>Забродин Владимир Сергеевич</t>
  </si>
  <si>
    <t>ООО "ВЛАДи", Галин МА</t>
  </si>
  <si>
    <t>пом.1 (+кв.1,2)</t>
  </si>
  <si>
    <t>пом.11а (кв.3,4) М-н "Пролетарий"</t>
  </si>
  <si>
    <t>Худанов Игорь Валерьевич, Худанова АВ</t>
  </si>
  <si>
    <t>пом.11б (кв.1,2) М-н "Пролетарий"</t>
  </si>
  <si>
    <t>Самедова Ирина Витальевна</t>
  </si>
  <si>
    <t>пом.10 (доля 1/2) Маст-я по ремонту обуви(подвал)</t>
  </si>
  <si>
    <t>Тихонов Даниил Дмитриевич</t>
  </si>
  <si>
    <t>спецпом.2</t>
  </si>
  <si>
    <t>спецпом.3</t>
  </si>
  <si>
    <t>спецпом.8</t>
  </si>
  <si>
    <t>спецпом.5а</t>
  </si>
  <si>
    <t>спецпом.5</t>
  </si>
  <si>
    <t>спецпом.1,3</t>
  </si>
  <si>
    <t>спецпом.под.2</t>
  </si>
  <si>
    <t xml:space="preserve">спецпом.под.1,2,3 </t>
  </si>
  <si>
    <t>под.3 аренда л/кл 12,7м2</t>
  </si>
  <si>
    <t>Администрация города Магнитогорска (аренда - Бабарыкин АН)</t>
  </si>
  <si>
    <t xml:space="preserve">спецпом.8 </t>
  </si>
  <si>
    <t>спецпом.под.3,4</t>
  </si>
  <si>
    <t>пом. пустующее</t>
  </si>
  <si>
    <r>
      <t xml:space="preserve">Собственность РФ (свободное) </t>
    </r>
    <r>
      <rPr>
        <sz val="8"/>
        <color rgb="FFFF0000"/>
        <rFont val="Calibri"/>
        <family val="2"/>
        <charset val="204"/>
        <scheme val="minor"/>
      </rPr>
      <t>Разница/погрешность</t>
    </r>
  </si>
  <si>
    <t>Диваев Марат Арифович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</si>
</sst>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0.0"/>
    <numFmt numFmtId="168" formatCode="_-* #,##0.0_р_._-;\-* #,##0.0_р_._-;_-* &quot;-&quot;??_р_._-;_-@_-"/>
    <numFmt numFmtId="169" formatCode="#,##0.00_ ;\-#,##0.00\ "/>
  </numFmts>
  <fonts count="7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vertAlign val="superscript"/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trike/>
      <sz val="10"/>
      <color indexed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b/>
      <sz val="8"/>
      <color theme="9" tint="-0.249977111117893"/>
      <name val="Calibri"/>
      <family val="2"/>
      <charset val="204"/>
      <scheme val="minor"/>
    </font>
    <font>
      <b/>
      <sz val="9"/>
      <color theme="7" tint="-0.249977111117893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9"/>
      <color theme="0" tint="-0.499984740745262"/>
      <name val="Calibri"/>
      <family val="2"/>
      <charset val="204"/>
      <scheme val="minor"/>
    </font>
    <font>
      <sz val="9"/>
      <color theme="1" tint="0.34998626667073579"/>
      <name val="Calibri"/>
      <family val="2"/>
      <charset val="204"/>
      <scheme val="minor"/>
    </font>
    <font>
      <i/>
      <sz val="9"/>
      <color theme="1" tint="0.34998626667073579"/>
      <name val="Calibri"/>
      <family val="2"/>
      <charset val="204"/>
      <scheme val="minor"/>
    </font>
    <font>
      <b/>
      <sz val="8"/>
      <color theme="1" tint="0.499984740745262"/>
      <name val="Calibri"/>
      <family val="2"/>
      <charset val="204"/>
      <scheme val="minor"/>
    </font>
    <font>
      <i/>
      <sz val="8"/>
      <color theme="1" tint="0.499984740745262"/>
      <name val="Calibri"/>
      <family val="2"/>
      <charset val="204"/>
      <scheme val="minor"/>
    </font>
    <font>
      <strike/>
      <sz val="10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b/>
      <sz val="10"/>
      <color rgb="FF0061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i/>
      <sz val="8"/>
      <color indexed="8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i/>
      <sz val="8"/>
      <color rgb="FFFF0000"/>
      <name val="Calibri"/>
      <family val="2"/>
      <charset val="204"/>
      <scheme val="minor"/>
    </font>
    <font>
      <b/>
      <sz val="8.25"/>
      <color indexed="8"/>
      <name val="Tahoma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color rgb="FF006100"/>
      <name val="Calibri"/>
      <family val="2"/>
      <charset val="204"/>
      <scheme val="minor"/>
    </font>
    <font>
      <sz val="7"/>
      <name val="Arial Cyr"/>
      <charset val="204"/>
    </font>
    <font>
      <sz val="8"/>
      <color rgb="FF0070C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7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vertAlign val="superscript"/>
      <sz val="8"/>
      <name val="Calibri"/>
      <family val="2"/>
      <charset val="204"/>
      <scheme val="minor"/>
    </font>
    <font>
      <vertAlign val="superscript"/>
      <sz val="7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b/>
      <sz val="9"/>
      <color theme="3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E9A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CE6F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12" borderId="0" applyNumberFormat="0" applyBorder="0" applyAlignment="0" applyProtection="0"/>
    <xf numFmtId="0" fontId="18" fillId="13" borderId="17" applyNumberFormat="0" applyAlignment="0" applyProtection="0"/>
    <xf numFmtId="0" fontId="16" fillId="14" borderId="18" applyNumberFormat="0" applyFont="0" applyAlignment="0" applyProtection="0"/>
    <xf numFmtId="0" fontId="19" fillId="15" borderId="0" applyNumberFormat="0" applyBorder="0" applyAlignment="0" applyProtection="0"/>
  </cellStyleXfs>
  <cellXfs count="455">
    <xf numFmtId="0" fontId="0" fillId="0" borderId="0" xfId="0"/>
    <xf numFmtId="0" fontId="3" fillId="0" borderId="1" xfId="1" applyFont="1" applyFill="1" applyBorder="1" applyAlignment="1">
      <alignment vertical="center" wrapText="1"/>
    </xf>
    <xf numFmtId="1" fontId="2" fillId="0" borderId="1" xfId="2" applyNumberFormat="1" applyBorder="1" applyAlignment="1">
      <alignment horizontal="center"/>
    </xf>
    <xf numFmtId="0" fontId="2" fillId="0" borderId="0" xfId="2"/>
    <xf numFmtId="1" fontId="2" fillId="0" borderId="1" xfId="2" applyNumberFormat="1" applyBorder="1"/>
    <xf numFmtId="1" fontId="2" fillId="0" borderId="0" xfId="2" applyNumberFormat="1" applyAlignment="1">
      <alignment horizontal="center"/>
    </xf>
    <xf numFmtId="1" fontId="2" fillId="0" borderId="0" xfId="2" applyNumberFormat="1"/>
    <xf numFmtId="2" fontId="2" fillId="0" borderId="0" xfId="2" applyNumberFormat="1"/>
    <xf numFmtId="0" fontId="12" fillId="0" borderId="0" xfId="1" applyFont="1" applyFill="1"/>
    <xf numFmtId="0" fontId="15" fillId="0" borderId="0" xfId="1" applyFont="1" applyFill="1" applyBorder="1" applyAlignment="1">
      <alignment horizontal="right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49" fontId="7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4" fontId="7" fillId="0" borderId="0" xfId="0" applyNumberFormat="1" applyFont="1" applyFill="1" applyBorder="1" applyAlignment="1">
      <alignment vertical="top"/>
    </xf>
    <xf numFmtId="4" fontId="7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14" fontId="23" fillId="0" borderId="0" xfId="0" applyNumberFormat="1" applyFont="1" applyFill="1" applyAlignment="1">
      <alignment vertical="top"/>
    </xf>
    <xf numFmtId="0" fontId="12" fillId="0" borderId="1" xfId="1" applyFont="1" applyFill="1" applyBorder="1" applyAlignment="1">
      <alignment vertical="center" wrapText="1"/>
    </xf>
    <xf numFmtId="0" fontId="24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9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2" fillId="0" borderId="0" xfId="1" applyFont="1" applyFill="1" applyBorder="1"/>
    <xf numFmtId="0" fontId="12" fillId="0" borderId="0" xfId="1" applyFont="1" applyFill="1" applyBorder="1" applyAlignment="1">
      <alignment horizontal="center"/>
    </xf>
    <xf numFmtId="0" fontId="12" fillId="0" borderId="0" xfId="1" applyNumberFormat="1" applyFont="1" applyFill="1" applyBorder="1"/>
    <xf numFmtId="49" fontId="12" fillId="0" borderId="0" xfId="1" applyNumberFormat="1" applyFont="1" applyFill="1" applyBorder="1"/>
    <xf numFmtId="49" fontId="31" fillId="0" borderId="0" xfId="1" applyNumberFormat="1" applyFont="1" applyFill="1" applyBorder="1"/>
    <xf numFmtId="49" fontId="9" fillId="0" borderId="0" xfId="1" applyNumberFormat="1" applyFont="1" applyFill="1" applyBorder="1" applyAlignment="1">
      <alignment vertical="center" textRotation="90" wrapText="1"/>
    </xf>
    <xf numFmtId="0" fontId="26" fillId="0" borderId="0" xfId="1" applyFont="1" applyFill="1" applyBorder="1" applyAlignment="1">
      <alignment horizontal="center"/>
    </xf>
    <xf numFmtId="14" fontId="12" fillId="0" borderId="0" xfId="1" applyNumberFormat="1" applyFont="1" applyFill="1" applyBorder="1"/>
    <xf numFmtId="0" fontId="12" fillId="8" borderId="0" xfId="1" applyFont="1" applyFill="1" applyBorder="1"/>
    <xf numFmtId="0" fontId="26" fillId="0" borderId="0" xfId="1" applyFont="1" applyFill="1" applyBorder="1"/>
    <xf numFmtId="0" fontId="9" fillId="0" borderId="2" xfId="1" applyFont="1" applyFill="1" applyBorder="1" applyAlignment="1">
      <alignment vertical="center"/>
    </xf>
    <xf numFmtId="0" fontId="12" fillId="0" borderId="2" xfId="1" applyFont="1" applyFill="1" applyBorder="1"/>
    <xf numFmtId="0" fontId="12" fillId="0" borderId="2" xfId="1" applyFont="1" applyFill="1" applyBorder="1" applyAlignment="1">
      <alignment horizontal="center"/>
    </xf>
    <xf numFmtId="0" fontId="12" fillId="0" borderId="2" xfId="1" applyNumberFormat="1" applyFont="1" applyFill="1" applyBorder="1"/>
    <xf numFmtId="49" fontId="12" fillId="0" borderId="2" xfId="1" applyNumberFormat="1" applyFont="1" applyFill="1" applyBorder="1"/>
    <xf numFmtId="49" fontId="31" fillId="0" borderId="2" xfId="1" applyNumberFormat="1" applyFont="1" applyFill="1" applyBorder="1"/>
    <xf numFmtId="49" fontId="9" fillId="0" borderId="2" xfId="1" applyNumberFormat="1" applyFont="1" applyFill="1" applyBorder="1" applyAlignment="1">
      <alignment vertical="center" textRotation="90" wrapText="1"/>
    </xf>
    <xf numFmtId="0" fontId="12" fillId="8" borderId="2" xfId="1" applyFont="1" applyFill="1" applyBorder="1"/>
    <xf numFmtId="0" fontId="26" fillId="0" borderId="2" xfId="1" applyFont="1" applyFill="1" applyBorder="1"/>
    <xf numFmtId="0" fontId="33" fillId="4" borderId="1" xfId="1" applyFont="1" applyFill="1" applyBorder="1" applyAlignment="1">
      <alignment horizontal="center" vertical="center" wrapText="1"/>
    </xf>
    <xf numFmtId="0" fontId="39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6" fillId="0" borderId="0" xfId="1" applyFont="1" applyFill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1" fontId="10" fillId="6" borderId="1" xfId="1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/>
    </xf>
    <xf numFmtId="4" fontId="26" fillId="3" borderId="1" xfId="1" applyNumberFormat="1" applyFont="1" applyFill="1" applyBorder="1" applyAlignment="1">
      <alignment horizontal="center" vertical="center"/>
    </xf>
    <xf numFmtId="4" fontId="12" fillId="4" borderId="1" xfId="1" applyNumberFormat="1" applyFont="1" applyFill="1" applyBorder="1" applyAlignment="1">
      <alignment horizontal="center" vertical="center"/>
    </xf>
    <xf numFmtId="2" fontId="12" fillId="4" borderId="1" xfId="1" applyNumberFormat="1" applyFont="1" applyFill="1" applyBorder="1" applyAlignment="1">
      <alignment horizontal="center" vertical="center"/>
    </xf>
    <xf numFmtId="4" fontId="26" fillId="2" borderId="1" xfId="1" applyNumberFormat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/>
    <xf numFmtId="14" fontId="12" fillId="0" borderId="5" xfId="1" applyNumberFormat="1" applyFont="1" applyFill="1" applyBorder="1"/>
    <xf numFmtId="0" fontId="12" fillId="0" borderId="8" xfId="1" applyFont="1" applyFill="1" applyBorder="1" applyAlignment="1">
      <alignment horizontal="right"/>
    </xf>
    <xf numFmtId="0" fontId="12" fillId="0" borderId="1" xfId="0" applyNumberFormat="1" applyFont="1" applyFill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/>
    <xf numFmtId="0" fontId="9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" xfId="1" applyFont="1" applyFill="1" applyBorder="1"/>
    <xf numFmtId="0" fontId="9" fillId="0" borderId="5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12" fillId="0" borderId="10" xfId="1" applyFont="1" applyFill="1" applyBorder="1" applyAlignment="1">
      <alignment vertical="center" wrapText="1"/>
    </xf>
    <xf numFmtId="0" fontId="12" fillId="0" borderId="10" xfId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/>
    </xf>
    <xf numFmtId="166" fontId="31" fillId="0" borderId="10" xfId="3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0" fontId="12" fillId="0" borderId="10" xfId="3" applyNumberFormat="1" applyFont="1" applyFill="1" applyBorder="1" applyAlignment="1">
      <alignment horizontal="center" vertical="center"/>
    </xf>
    <xf numFmtId="4" fontId="26" fillId="0" borderId="10" xfId="1" applyNumberFormat="1" applyFont="1" applyFill="1" applyBorder="1" applyAlignment="1">
      <alignment horizontal="center" vertical="center"/>
    </xf>
    <xf numFmtId="4" fontId="12" fillId="0" borderId="10" xfId="1" applyNumberFormat="1" applyFont="1" applyFill="1" applyBorder="1" applyAlignment="1">
      <alignment horizontal="center" vertical="center"/>
    </xf>
    <xf numFmtId="2" fontId="12" fillId="0" borderId="10" xfId="1" applyNumberFormat="1" applyFont="1" applyFill="1" applyBorder="1" applyAlignment="1">
      <alignment horizontal="center" vertical="center"/>
    </xf>
    <xf numFmtId="165" fontId="12" fillId="0" borderId="10" xfId="3" applyNumberFormat="1" applyFont="1" applyFill="1" applyBorder="1" applyAlignment="1">
      <alignment horizontal="center" vertical="center"/>
    </xf>
    <xf numFmtId="0" fontId="12" fillId="0" borderId="10" xfId="1" applyFont="1" applyFill="1" applyBorder="1"/>
    <xf numFmtId="14" fontId="12" fillId="0" borderId="10" xfId="1" applyNumberFormat="1" applyFont="1" applyFill="1" applyBorder="1"/>
    <xf numFmtId="0" fontId="12" fillId="0" borderId="4" xfId="1" applyFont="1" applyFill="1" applyBorder="1" applyAlignment="1">
      <alignment horizontal="right"/>
    </xf>
    <xf numFmtId="0" fontId="9" fillId="0" borderId="7" xfId="1" applyFont="1" applyFill="1" applyBorder="1" applyAlignment="1">
      <alignment vertical="center"/>
    </xf>
    <xf numFmtId="0" fontId="33" fillId="0" borderId="8" xfId="1" applyFont="1" applyFill="1" applyBorder="1" applyAlignment="1"/>
    <xf numFmtId="0" fontId="33" fillId="0" borderId="8" xfId="1" applyFont="1" applyFill="1" applyBorder="1"/>
    <xf numFmtId="1" fontId="10" fillId="0" borderId="8" xfId="3" applyNumberFormat="1" applyFont="1" applyFill="1" applyBorder="1" applyAlignment="1">
      <alignment horizontal="center" vertical="center"/>
    </xf>
    <xf numFmtId="0" fontId="33" fillId="0" borderId="8" xfId="1" applyNumberFormat="1" applyFont="1" applyFill="1" applyBorder="1"/>
    <xf numFmtId="49" fontId="33" fillId="0" borderId="8" xfId="1" applyNumberFormat="1" applyFont="1" applyFill="1" applyBorder="1"/>
    <xf numFmtId="167" fontId="10" fillId="0" borderId="8" xfId="3" applyNumberFormat="1" applyFont="1" applyFill="1" applyBorder="1" applyAlignment="1">
      <alignment horizontal="center" vertical="center"/>
    </xf>
    <xf numFmtId="166" fontId="31" fillId="6" borderId="8" xfId="3" applyNumberFormat="1" applyFont="1" applyFill="1" applyBorder="1" applyAlignment="1">
      <alignment horizontal="center" vertical="center"/>
    </xf>
    <xf numFmtId="4" fontId="33" fillId="3" borderId="8" xfId="1" applyNumberFormat="1" applyFont="1" applyFill="1" applyBorder="1" applyAlignment="1">
      <alignment horizontal="center" vertical="center"/>
    </xf>
    <xf numFmtId="4" fontId="33" fillId="5" borderId="8" xfId="1" applyNumberFormat="1" applyFont="1" applyFill="1" applyBorder="1" applyAlignment="1">
      <alignment horizontal="center" vertical="center"/>
    </xf>
    <xf numFmtId="4" fontId="33" fillId="4" borderId="8" xfId="1" applyNumberFormat="1" applyFont="1" applyFill="1" applyBorder="1" applyAlignment="1">
      <alignment horizontal="center" vertical="center"/>
    </xf>
    <xf numFmtId="4" fontId="33" fillId="2" borderId="8" xfId="1" applyNumberFormat="1" applyFont="1" applyFill="1" applyBorder="1" applyAlignment="1">
      <alignment horizontal="center" vertical="center"/>
    </xf>
    <xf numFmtId="165" fontId="39" fillId="9" borderId="8" xfId="3" applyFont="1" applyFill="1" applyBorder="1" applyAlignment="1">
      <alignment horizontal="center" vertical="center"/>
    </xf>
    <xf numFmtId="165" fontId="39" fillId="11" borderId="8" xfId="3" applyFont="1" applyFill="1" applyBorder="1" applyAlignment="1">
      <alignment horizontal="center" vertical="center"/>
    </xf>
    <xf numFmtId="0" fontId="10" fillId="0" borderId="0" xfId="1" applyFont="1" applyFill="1"/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40" fillId="0" borderId="0" xfId="1" applyFont="1" applyFill="1" applyBorder="1"/>
    <xf numFmtId="0" fontId="10" fillId="0" borderId="0" xfId="1" applyFont="1" applyFill="1" applyAlignment="1">
      <alignment horizontal="center"/>
    </xf>
    <xf numFmtId="0" fontId="10" fillId="0" borderId="0" xfId="1" applyNumberFormat="1" applyFont="1" applyFill="1"/>
    <xf numFmtId="49" fontId="10" fillId="0" borderId="0" xfId="1" applyNumberFormat="1" applyFont="1" applyFill="1"/>
    <xf numFmtId="49" fontId="31" fillId="0" borderId="0" xfId="1" applyNumberFormat="1" applyFont="1" applyFill="1"/>
    <xf numFmtId="0" fontId="39" fillId="0" borderId="0" xfId="1" applyFont="1" applyFill="1" applyAlignment="1">
      <alignment horizontal="center"/>
    </xf>
    <xf numFmtId="0" fontId="10" fillId="8" borderId="0" xfId="1" applyFont="1" applyFill="1"/>
    <xf numFmtId="0" fontId="39" fillId="0" borderId="0" xfId="1" applyFont="1" applyFill="1"/>
    <xf numFmtId="165" fontId="10" fillId="0" borderId="0" xfId="1" applyNumberFormat="1" applyFont="1" applyFill="1"/>
    <xf numFmtId="0" fontId="41" fillId="0" borderId="14" xfId="1" applyFont="1" applyFill="1" applyBorder="1" applyAlignment="1"/>
    <xf numFmtId="0" fontId="41" fillId="0" borderId="13" xfId="1" applyFont="1" applyFill="1" applyBorder="1" applyAlignment="1">
      <alignment horizontal="right"/>
    </xf>
    <xf numFmtId="0" fontId="41" fillId="0" borderId="12" xfId="1" applyFont="1" applyFill="1" applyBorder="1" applyAlignment="1">
      <alignment horizontal="left"/>
    </xf>
    <xf numFmtId="0" fontId="42" fillId="0" borderId="12" xfId="1" applyFont="1" applyFill="1" applyBorder="1" applyAlignment="1">
      <alignment horizontal="center"/>
    </xf>
    <xf numFmtId="0" fontId="41" fillId="0" borderId="14" xfId="1" applyNumberFormat="1" applyFont="1" applyFill="1" applyBorder="1" applyAlignment="1"/>
    <xf numFmtId="166" fontId="41" fillId="0" borderId="12" xfId="3" applyNumberFormat="1" applyFont="1" applyFill="1" applyBorder="1" applyAlignment="1">
      <alignment horizontal="right"/>
    </xf>
    <xf numFmtId="166" fontId="31" fillId="0" borderId="12" xfId="3" applyNumberFormat="1" applyFont="1" applyFill="1" applyBorder="1" applyAlignment="1">
      <alignment horizontal="right"/>
    </xf>
    <xf numFmtId="165" fontId="41" fillId="0" borderId="12" xfId="3" applyFont="1" applyFill="1" applyBorder="1" applyAlignment="1">
      <alignment horizontal="right"/>
    </xf>
    <xf numFmtId="0" fontId="43" fillId="0" borderId="0" xfId="1" applyFont="1" applyFill="1"/>
    <xf numFmtId="0" fontId="41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left"/>
    </xf>
    <xf numFmtId="0" fontId="44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31" fillId="0" borderId="0" xfId="1" applyNumberFormat="1" applyFont="1" applyFill="1" applyBorder="1" applyAlignment="1">
      <alignment horizontal="center"/>
    </xf>
    <xf numFmtId="165" fontId="15" fillId="0" borderId="0" xfId="3" applyFont="1" applyFill="1" applyBorder="1" applyAlignment="1">
      <alignment horizontal="left"/>
    </xf>
    <xf numFmtId="165" fontId="15" fillId="8" borderId="0" xfId="3" applyFont="1" applyFill="1" applyBorder="1" applyAlignment="1">
      <alignment horizontal="left"/>
    </xf>
    <xf numFmtId="0" fontId="15" fillId="0" borderId="0" xfId="1" applyFont="1" applyFill="1"/>
    <xf numFmtId="0" fontId="44" fillId="0" borderId="0" xfId="1" applyFont="1" applyFill="1"/>
    <xf numFmtId="4" fontId="15" fillId="0" borderId="0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0" fontId="12" fillId="0" borderId="0" xfId="1" applyNumberFormat="1" applyFont="1" applyFill="1"/>
    <xf numFmtId="49" fontId="12" fillId="0" borderId="0" xfId="1" applyNumberFormat="1" applyFont="1" applyFill="1"/>
    <xf numFmtId="0" fontId="26" fillId="0" borderId="0" xfId="1" applyFont="1" applyFill="1" applyAlignment="1">
      <alignment horizontal="center"/>
    </xf>
    <xf numFmtId="0" fontId="12" fillId="8" borderId="0" xfId="1" applyFont="1" applyFill="1"/>
    <xf numFmtId="0" fontId="26" fillId="0" borderId="0" xfId="1" applyFont="1" applyFill="1"/>
    <xf numFmtId="0" fontId="14" fillId="6" borderId="1" xfId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4" fontId="8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4" fontId="12" fillId="0" borderId="0" xfId="0" applyNumberFormat="1" applyFont="1" applyFill="1" applyBorder="1" applyAlignment="1">
      <alignment vertical="top"/>
    </xf>
    <xf numFmtId="0" fontId="23" fillId="0" borderId="2" xfId="0" applyFont="1" applyFill="1" applyBorder="1" applyAlignment="1">
      <alignment vertical="top"/>
    </xf>
    <xf numFmtId="0" fontId="23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Alignment="1">
      <alignment vertical="top"/>
    </xf>
    <xf numFmtId="4" fontId="26" fillId="0" borderId="0" xfId="0" applyNumberFormat="1" applyFont="1" applyFill="1" applyBorder="1" applyAlignment="1">
      <alignment vertical="top"/>
    </xf>
    <xf numFmtId="0" fontId="21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4" fontId="30" fillId="0" borderId="0" xfId="0" applyNumberFormat="1" applyFont="1" applyFill="1" applyBorder="1" applyAlignment="1">
      <alignment vertical="top"/>
    </xf>
    <xf numFmtId="4" fontId="23" fillId="0" borderId="0" xfId="0" applyNumberFormat="1" applyFont="1" applyFill="1" applyAlignment="1">
      <alignment vertical="top"/>
    </xf>
    <xf numFmtId="4" fontId="26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5" fillId="0" borderId="0" xfId="0" applyFont="1" applyFill="1"/>
    <xf numFmtId="0" fontId="5" fillId="0" borderId="20" xfId="0" applyFont="1" applyFill="1" applyBorder="1"/>
    <xf numFmtId="0" fontId="0" fillId="0" borderId="20" xfId="0" applyFill="1" applyBorder="1"/>
    <xf numFmtId="0" fontId="8" fillId="0" borderId="20" xfId="0" applyFont="1" applyFill="1" applyBorder="1" applyAlignment="1">
      <alignment vertical="top"/>
    </xf>
    <xf numFmtId="0" fontId="0" fillId="0" borderId="21" xfId="0" applyFill="1" applyBorder="1"/>
    <xf numFmtId="0" fontId="12" fillId="0" borderId="12" xfId="0" applyFont="1" applyFill="1" applyBorder="1" applyAlignment="1">
      <alignment vertical="top"/>
    </xf>
    <xf numFmtId="0" fontId="26" fillId="0" borderId="12" xfId="0" applyFont="1" applyFill="1" applyBorder="1" applyAlignment="1">
      <alignment vertical="top"/>
    </xf>
    <xf numFmtId="4" fontId="12" fillId="0" borderId="12" xfId="0" applyNumberFormat="1" applyFont="1" applyFill="1" applyBorder="1" applyAlignment="1">
      <alignment vertical="top"/>
    </xf>
    <xf numFmtId="4" fontId="26" fillId="0" borderId="12" xfId="0" applyNumberFormat="1" applyFont="1" applyFill="1" applyBorder="1" applyAlignment="1">
      <alignment vertical="top"/>
    </xf>
    <xf numFmtId="0" fontId="12" fillId="0" borderId="23" xfId="0" applyFont="1" applyFill="1" applyBorder="1" applyAlignment="1">
      <alignment vertical="top"/>
    </xf>
    <xf numFmtId="4" fontId="12" fillId="0" borderId="23" xfId="0" applyNumberFormat="1" applyFont="1" applyFill="1" applyBorder="1" applyAlignment="1">
      <alignment vertical="top"/>
    </xf>
    <xf numFmtId="0" fontId="12" fillId="0" borderId="25" xfId="0" applyFont="1" applyFill="1" applyBorder="1" applyAlignment="1">
      <alignment vertical="top"/>
    </xf>
    <xf numFmtId="0" fontId="26" fillId="0" borderId="25" xfId="0" applyFont="1" applyFill="1" applyBorder="1" applyAlignment="1">
      <alignment vertical="top"/>
    </xf>
    <xf numFmtId="4" fontId="12" fillId="0" borderId="25" xfId="0" applyNumberFormat="1" applyFont="1" applyFill="1" applyBorder="1" applyAlignment="1">
      <alignment vertical="top"/>
    </xf>
    <xf numFmtId="4" fontId="26" fillId="0" borderId="25" xfId="0" applyNumberFormat="1" applyFont="1" applyFill="1" applyBorder="1" applyAlignment="1">
      <alignment vertical="top"/>
    </xf>
    <xf numFmtId="4" fontId="12" fillId="0" borderId="26" xfId="0" applyNumberFormat="1" applyFont="1" applyFill="1" applyBorder="1" applyAlignment="1">
      <alignment vertical="top"/>
    </xf>
    <xf numFmtId="0" fontId="7" fillId="0" borderId="19" xfId="0" applyFont="1" applyFill="1" applyBorder="1" applyAlignment="1">
      <alignment vertical="top"/>
    </xf>
    <xf numFmtId="0" fontId="26" fillId="0" borderId="20" xfId="1" applyFont="1" applyFill="1" applyBorder="1" applyAlignment="1">
      <alignment vertical="center" wrapText="1"/>
    </xf>
    <xf numFmtId="4" fontId="26" fillId="0" borderId="20" xfId="0" applyNumberFormat="1" applyFont="1" applyFill="1" applyBorder="1" applyAlignment="1">
      <alignment horizontal="center" vertical="top" wrapText="1"/>
    </xf>
    <xf numFmtId="4" fontId="26" fillId="0" borderId="20" xfId="0" applyNumberFormat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vertical="center" wrapText="1"/>
    </xf>
    <xf numFmtId="49" fontId="12" fillId="0" borderId="12" xfId="0" applyNumberFormat="1" applyFont="1" applyFill="1" applyBorder="1"/>
    <xf numFmtId="0" fontId="12" fillId="0" borderId="12" xfId="0" applyNumberFormat="1" applyFont="1" applyFill="1" applyBorder="1" applyAlignment="1">
      <alignment horizontal="left"/>
    </xf>
    <xf numFmtId="0" fontId="26" fillId="0" borderId="12" xfId="1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top"/>
    </xf>
    <xf numFmtId="0" fontId="12" fillId="0" borderId="19" xfId="0" applyFont="1" applyFill="1" applyBorder="1" applyAlignment="1">
      <alignment vertical="top"/>
    </xf>
    <xf numFmtId="2" fontId="26" fillId="0" borderId="20" xfId="0" applyNumberFormat="1" applyFont="1" applyFill="1" applyBorder="1" applyAlignment="1">
      <alignment vertical="top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textRotation="90" wrapText="1"/>
    </xf>
    <xf numFmtId="0" fontId="26" fillId="0" borderId="20" xfId="0" applyFont="1" applyFill="1" applyBorder="1" applyAlignment="1">
      <alignment vertical="top"/>
    </xf>
    <xf numFmtId="0" fontId="12" fillId="0" borderId="21" xfId="0" applyFont="1" applyFill="1" applyBorder="1" applyAlignment="1">
      <alignment vertical="top" wrapText="1"/>
    </xf>
    <xf numFmtId="4" fontId="12" fillId="0" borderId="12" xfId="0" applyNumberFormat="1" applyFont="1" applyFill="1" applyBorder="1" applyAlignment="1">
      <alignment horizontal="right" vertical="top"/>
    </xf>
    <xf numFmtId="2" fontId="26" fillId="0" borderId="12" xfId="0" applyNumberFormat="1" applyFont="1" applyFill="1" applyBorder="1" applyAlignment="1">
      <alignment vertical="top"/>
    </xf>
    <xf numFmtId="0" fontId="26" fillId="0" borderId="23" xfId="0" applyFont="1" applyFill="1" applyBorder="1" applyAlignment="1">
      <alignment vertical="top"/>
    </xf>
    <xf numFmtId="0" fontId="6" fillId="0" borderId="12" xfId="0" applyFont="1" applyFill="1" applyBorder="1"/>
    <xf numFmtId="0" fontId="11" fillId="0" borderId="12" xfId="0" applyFont="1" applyFill="1" applyBorder="1"/>
    <xf numFmtId="0" fontId="6" fillId="0" borderId="23" xfId="0" applyFont="1" applyFill="1" applyBorder="1"/>
    <xf numFmtId="2" fontId="12" fillId="0" borderId="12" xfId="0" applyNumberFormat="1" applyFont="1" applyFill="1" applyBorder="1" applyAlignment="1">
      <alignment vertical="top"/>
    </xf>
    <xf numFmtId="49" fontId="12" fillId="0" borderId="23" xfId="0" applyNumberFormat="1" applyFont="1" applyFill="1" applyBorder="1" applyAlignment="1">
      <alignment vertical="top" wrapText="1"/>
    </xf>
    <xf numFmtId="0" fontId="45" fillId="0" borderId="23" xfId="0" applyFont="1" applyFill="1" applyBorder="1" applyAlignment="1">
      <alignment vertical="top"/>
    </xf>
    <xf numFmtId="0" fontId="12" fillId="0" borderId="24" xfId="0" applyFont="1" applyFill="1" applyBorder="1" applyAlignment="1">
      <alignment vertical="top"/>
    </xf>
    <xf numFmtId="0" fontId="23" fillId="0" borderId="1" xfId="0" applyFont="1" applyFill="1" applyBorder="1" applyAlignment="1">
      <alignment vertical="center" wrapText="1"/>
    </xf>
    <xf numFmtId="4" fontId="8" fillId="0" borderId="20" xfId="0" applyNumberFormat="1" applyFont="1" applyFill="1" applyBorder="1"/>
    <xf numFmtId="0" fontId="49" fillId="13" borderId="17" xfId="6" applyFont="1" applyAlignment="1">
      <alignment horizontal="center" vertical="top"/>
    </xf>
    <xf numFmtId="2" fontId="8" fillId="0" borderId="1" xfId="0" applyNumberFormat="1" applyFont="1" applyFill="1" applyBorder="1" applyAlignment="1">
      <alignment vertical="top"/>
    </xf>
    <xf numFmtId="4" fontId="8" fillId="14" borderId="1" xfId="7" applyNumberFormat="1" applyFont="1" applyBorder="1" applyAlignment="1">
      <alignment vertical="top"/>
    </xf>
    <xf numFmtId="2" fontId="47" fillId="12" borderId="1" xfId="5" applyNumberFormat="1" applyFont="1" applyBorder="1" applyAlignment="1">
      <alignment vertical="top"/>
    </xf>
    <xf numFmtId="2" fontId="48" fillId="0" borderId="1" xfId="0" applyNumberFormat="1" applyFont="1" applyFill="1" applyBorder="1" applyAlignment="1">
      <alignment vertical="top"/>
    </xf>
    <xf numFmtId="4" fontId="23" fillId="0" borderId="1" xfId="0" applyNumberFormat="1" applyFont="1" applyFill="1" applyBorder="1" applyAlignment="1">
      <alignment horizontal="right"/>
    </xf>
    <xf numFmtId="4" fontId="49" fillId="13" borderId="27" xfId="6" applyNumberFormat="1" applyFont="1" applyBorder="1" applyAlignment="1">
      <alignment horizontal="right"/>
    </xf>
    <xf numFmtId="4" fontId="26" fillId="16" borderId="1" xfId="8" applyNumberFormat="1" applyFont="1" applyFill="1" applyBorder="1" applyAlignment="1">
      <alignment vertical="top"/>
    </xf>
    <xf numFmtId="165" fontId="23" fillId="0" borderId="1" xfId="3" applyNumberFormat="1" applyFont="1" applyFill="1" applyBorder="1" applyAlignment="1">
      <alignment vertical="top"/>
    </xf>
    <xf numFmtId="165" fontId="50" fillId="0" borderId="1" xfId="3" applyNumberFormat="1" applyFont="1" applyFill="1" applyBorder="1" applyAlignment="1">
      <alignment vertical="top"/>
    </xf>
    <xf numFmtId="0" fontId="51" fillId="0" borderId="0" xfId="1" applyFont="1" applyFill="1" applyAlignment="1">
      <alignment vertical="center"/>
    </xf>
    <xf numFmtId="0" fontId="32" fillId="0" borderId="0" xfId="1" applyFont="1" applyFill="1" applyBorder="1" applyAlignment="1">
      <alignment horizontal="right"/>
    </xf>
    <xf numFmtId="0" fontId="32" fillId="0" borderId="0" xfId="1" applyFont="1" applyFill="1" applyBorder="1" applyAlignment="1">
      <alignment horizontal="left"/>
    </xf>
    <xf numFmtId="0" fontId="52" fillId="0" borderId="0" xfId="1" applyFont="1" applyFill="1" applyBorder="1" applyAlignment="1">
      <alignment horizontal="center"/>
    </xf>
    <xf numFmtId="0" fontId="32" fillId="0" borderId="0" xfId="1" applyNumberFormat="1" applyFont="1" applyFill="1" applyBorder="1" applyAlignment="1">
      <alignment horizontal="center"/>
    </xf>
    <xf numFmtId="165" fontId="32" fillId="0" borderId="0" xfId="3" applyFont="1" applyFill="1" applyBorder="1" applyAlignment="1">
      <alignment horizontal="left"/>
    </xf>
    <xf numFmtId="165" fontId="32" fillId="8" borderId="0" xfId="3" applyFont="1" applyFill="1" applyBorder="1" applyAlignment="1">
      <alignment horizontal="left"/>
    </xf>
    <xf numFmtId="165" fontId="52" fillId="0" borderId="0" xfId="3" applyFont="1" applyFill="1"/>
    <xf numFmtId="0" fontId="32" fillId="0" borderId="0" xfId="1" applyFont="1" applyFill="1"/>
    <xf numFmtId="1" fontId="2" fillId="0" borderId="4" xfId="2" applyNumberFormat="1" applyBorder="1" applyAlignment="1">
      <alignment horizontal="center"/>
    </xf>
    <xf numFmtId="1" fontId="2" fillId="10" borderId="7" xfId="2" applyNumberFormat="1" applyFill="1" applyBorder="1" applyAlignment="1">
      <alignment horizontal="center"/>
    </xf>
    <xf numFmtId="1" fontId="2" fillId="10" borderId="8" xfId="2" applyNumberFormat="1" applyFill="1" applyBorder="1" applyAlignment="1">
      <alignment horizontal="center"/>
    </xf>
    <xf numFmtId="165" fontId="15" fillId="0" borderId="0" xfId="1" applyNumberFormat="1" applyFont="1" applyFill="1" applyBorder="1" applyAlignment="1">
      <alignment horizontal="center"/>
    </xf>
    <xf numFmtId="165" fontId="54" fillId="0" borderId="0" xfId="3" applyFont="1"/>
    <xf numFmtId="2" fontId="53" fillId="17" borderId="28" xfId="0" applyNumberFormat="1" applyFont="1" applyFill="1" applyBorder="1" applyAlignment="1">
      <alignment horizontal="left" vertical="top" wrapText="1"/>
    </xf>
    <xf numFmtId="2" fontId="54" fillId="10" borderId="8" xfId="2" applyNumberFormat="1" applyFont="1" applyFill="1" applyBorder="1" applyAlignment="1">
      <alignment horizontal="center" vertical="top" wrapText="1"/>
    </xf>
    <xf numFmtId="2" fontId="55" fillId="10" borderId="8" xfId="2" applyNumberFormat="1" applyFont="1" applyFill="1" applyBorder="1" applyAlignment="1">
      <alignment horizontal="center" vertical="top" wrapText="1"/>
    </xf>
    <xf numFmtId="1" fontId="54" fillId="10" borderId="16" xfId="2" applyNumberFormat="1" applyFont="1" applyFill="1" applyBorder="1" applyAlignment="1">
      <alignment horizontal="center" vertical="top" wrapText="1"/>
    </xf>
    <xf numFmtId="165" fontId="31" fillId="0" borderId="0" xfId="1" applyNumberFormat="1" applyFont="1" applyFill="1" applyBorder="1" applyAlignment="1">
      <alignment horizontal="center"/>
    </xf>
    <xf numFmtId="165" fontId="31" fillId="0" borderId="0" xfId="3" applyFont="1" applyFill="1" applyBorder="1" applyAlignment="1">
      <alignment horizontal="left"/>
    </xf>
    <xf numFmtId="4" fontId="33" fillId="16" borderId="1" xfId="8" applyNumberFormat="1" applyFont="1" applyFill="1" applyBorder="1" applyAlignment="1">
      <alignment horizontal="right"/>
    </xf>
    <xf numFmtId="2" fontId="56" fillId="12" borderId="1" xfId="5" applyNumberFormat="1" applyFont="1" applyBorder="1" applyAlignment="1">
      <alignment vertical="top"/>
    </xf>
    <xf numFmtId="0" fontId="12" fillId="0" borderId="29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42" fillId="0" borderId="13" xfId="1" applyFont="1" applyFill="1" applyBorder="1" applyAlignment="1">
      <alignment horizontal="center" vertical="center"/>
    </xf>
    <xf numFmtId="0" fontId="52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165" fontId="57" fillId="0" borderId="0" xfId="3" applyNumberFormat="1" applyFont="1"/>
    <xf numFmtId="168" fontId="57" fillId="0" borderId="0" xfId="3" applyNumberFormat="1" applyFont="1"/>
    <xf numFmtId="0" fontId="10" fillId="10" borderId="1" xfId="1" applyFont="1" applyFill="1" applyBorder="1" applyAlignment="1">
      <alignment horizontal="center" vertical="center" wrapText="1"/>
    </xf>
    <xf numFmtId="2" fontId="12" fillId="10" borderId="1" xfId="1" applyNumberFormat="1" applyFont="1" applyFill="1" applyBorder="1" applyAlignment="1">
      <alignment horizontal="center" vertical="center"/>
    </xf>
    <xf numFmtId="0" fontId="39" fillId="10" borderId="1" xfId="1" applyFont="1" applyFill="1" applyBorder="1" applyAlignment="1">
      <alignment horizontal="center" vertical="center" wrapText="1"/>
    </xf>
    <xf numFmtId="2" fontId="26" fillId="10" borderId="1" xfId="1" applyNumberFormat="1" applyFont="1" applyFill="1" applyBorder="1" applyAlignment="1">
      <alignment horizontal="center" vertical="center"/>
    </xf>
    <xf numFmtId="4" fontId="26" fillId="4" borderId="1" xfId="1" applyNumberFormat="1" applyFont="1" applyFill="1" applyBorder="1" applyAlignment="1">
      <alignment horizontal="center" vertical="center"/>
    </xf>
    <xf numFmtId="4" fontId="26" fillId="5" borderId="1" xfId="1" applyNumberFormat="1" applyFont="1" applyFill="1" applyBorder="1" applyAlignment="1">
      <alignment horizontal="center" vertical="center"/>
    </xf>
    <xf numFmtId="0" fontId="39" fillId="9" borderId="8" xfId="1" applyNumberFormat="1" applyFont="1" applyFill="1" applyBorder="1" applyAlignment="1">
      <alignment horizontal="left" vertical="center"/>
    </xf>
    <xf numFmtId="166" fontId="59" fillId="6" borderId="1" xfId="3" applyNumberFormat="1" applyFont="1" applyFill="1" applyBorder="1" applyAlignment="1">
      <alignment horizontal="center" vertical="center"/>
    </xf>
    <xf numFmtId="165" fontId="60" fillId="0" borderId="0" xfId="3" applyNumberFormat="1" applyFont="1"/>
    <xf numFmtId="0" fontId="10" fillId="18" borderId="4" xfId="1" applyFont="1" applyFill="1" applyBorder="1" applyAlignment="1">
      <alignment horizontal="center" vertical="center" wrapText="1"/>
    </xf>
    <xf numFmtId="0" fontId="10" fillId="18" borderId="1" xfId="1" applyFont="1" applyFill="1" applyBorder="1" applyAlignment="1">
      <alignment horizontal="center" vertical="center" wrapText="1"/>
    </xf>
    <xf numFmtId="4" fontId="12" fillId="18" borderId="4" xfId="1" applyNumberFormat="1" applyFont="1" applyFill="1" applyBorder="1" applyAlignment="1">
      <alignment horizontal="center" vertical="center"/>
    </xf>
    <xf numFmtId="165" fontId="12" fillId="18" borderId="1" xfId="3" applyNumberFormat="1" applyFont="1" applyFill="1" applyBorder="1" applyAlignment="1">
      <alignment horizontal="center" vertical="center"/>
    </xf>
    <xf numFmtId="4" fontId="12" fillId="19" borderId="29" xfId="1" applyNumberFormat="1" applyFont="1" applyFill="1" applyBorder="1" applyAlignment="1">
      <alignment horizontal="center" vertical="center"/>
    </xf>
    <xf numFmtId="4" fontId="33" fillId="19" borderId="8" xfId="1" applyNumberFormat="1" applyFont="1" applyFill="1" applyBorder="1" applyAlignment="1">
      <alignment horizontal="center" vertical="center"/>
    </xf>
    <xf numFmtId="2" fontId="12" fillId="20" borderId="1" xfId="1" applyNumberFormat="1" applyFont="1" applyFill="1" applyBorder="1" applyAlignment="1">
      <alignment horizontal="center" vertical="center"/>
    </xf>
    <xf numFmtId="4" fontId="12" fillId="21" borderId="1" xfId="1" applyNumberFormat="1" applyFont="1" applyFill="1" applyBorder="1" applyAlignment="1">
      <alignment horizontal="center" vertical="center"/>
    </xf>
    <xf numFmtId="4" fontId="8" fillId="22" borderId="1" xfId="0" applyNumberFormat="1" applyFont="1" applyFill="1" applyBorder="1" applyAlignment="1">
      <alignment vertical="top"/>
    </xf>
    <xf numFmtId="0" fontId="59" fillId="0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/>
    </xf>
    <xf numFmtId="0" fontId="26" fillId="5" borderId="1" xfId="1" applyFont="1" applyFill="1" applyBorder="1" applyAlignment="1">
      <alignment horizontal="center"/>
    </xf>
    <xf numFmtId="0" fontId="33" fillId="0" borderId="1" xfId="1" applyFont="1" applyFill="1" applyBorder="1" applyAlignment="1">
      <alignment horizontal="center"/>
    </xf>
    <xf numFmtId="0" fontId="33" fillId="5" borderId="1" xfId="1" applyFont="1" applyFill="1" applyBorder="1" applyAlignment="1">
      <alignment horizontal="center"/>
    </xf>
    <xf numFmtId="0" fontId="45" fillId="0" borderId="12" xfId="0" applyFont="1" applyFill="1" applyBorder="1" applyAlignment="1">
      <alignment vertical="top"/>
    </xf>
    <xf numFmtId="0" fontId="12" fillId="23" borderId="12" xfId="0" applyFont="1" applyFill="1" applyBorder="1" applyAlignment="1">
      <alignment vertical="top"/>
    </xf>
    <xf numFmtId="0" fontId="12" fillId="20" borderId="12" xfId="0" applyFont="1" applyFill="1" applyBorder="1" applyAlignment="1">
      <alignment vertical="top"/>
    </xf>
    <xf numFmtId="0" fontId="9" fillId="0" borderId="13" xfId="1" applyNumberFormat="1" applyFont="1" applyFill="1" applyBorder="1" applyAlignment="1"/>
    <xf numFmtId="0" fontId="10" fillId="0" borderId="0" xfId="1" applyNumberFormat="1" applyFont="1" applyFill="1" applyBorder="1" applyAlignment="1">
      <alignment horizontal="center"/>
    </xf>
    <xf numFmtId="2" fontId="6" fillId="0" borderId="12" xfId="0" applyNumberFormat="1" applyFont="1" applyFill="1" applyBorder="1"/>
    <xf numFmtId="169" fontId="6" fillId="0" borderId="12" xfId="3" applyNumberFormat="1" applyFont="1" applyFill="1" applyBorder="1"/>
    <xf numFmtId="4" fontId="20" fillId="0" borderId="12" xfId="0" applyNumberFormat="1" applyFont="1" applyFill="1" applyBorder="1" applyAlignment="1">
      <alignment vertical="top"/>
    </xf>
    <xf numFmtId="0" fontId="39" fillId="9" borderId="4" xfId="1" applyNumberFormat="1" applyFont="1" applyFill="1" applyBorder="1" applyAlignment="1">
      <alignment horizontal="left" vertical="center"/>
    </xf>
    <xf numFmtId="0" fontId="39" fillId="9" borderId="8" xfId="1" applyNumberFormat="1" applyFont="1" applyFill="1" applyBorder="1" applyAlignment="1">
      <alignment horizontal="center" vertical="center"/>
    </xf>
    <xf numFmtId="0" fontId="39" fillId="19" borderId="8" xfId="1" applyNumberFormat="1" applyFont="1" applyFill="1" applyBorder="1" applyAlignment="1">
      <alignment horizontal="left" vertical="center"/>
    </xf>
    <xf numFmtId="0" fontId="39" fillId="5" borderId="8" xfId="1" applyNumberFormat="1" applyFont="1" applyFill="1" applyBorder="1" applyAlignment="1">
      <alignment horizontal="left" vertical="center"/>
    </xf>
    <xf numFmtId="0" fontId="10" fillId="0" borderId="0" xfId="1" applyFont="1" applyFill="1" applyAlignment="1">
      <alignment horizontal="left"/>
    </xf>
    <xf numFmtId="0" fontId="39" fillId="24" borderId="8" xfId="1" applyNumberFormat="1" applyFont="1" applyFill="1" applyBorder="1" applyAlignment="1">
      <alignment horizontal="left" vertical="center"/>
    </xf>
    <xf numFmtId="4" fontId="12" fillId="24" borderId="4" xfId="1" applyNumberFormat="1" applyFont="1" applyFill="1" applyBorder="1" applyAlignment="1">
      <alignment horizontal="center" vertical="center"/>
    </xf>
    <xf numFmtId="4" fontId="12" fillId="22" borderId="29" xfId="1" applyNumberFormat="1" applyFont="1" applyFill="1" applyBorder="1" applyAlignment="1">
      <alignment horizontal="center" vertical="center"/>
    </xf>
    <xf numFmtId="0" fontId="26" fillId="22" borderId="1" xfId="1" applyFont="1" applyFill="1" applyBorder="1" applyAlignment="1">
      <alignment horizontal="center"/>
    </xf>
    <xf numFmtId="0" fontId="12" fillId="22" borderId="0" xfId="1" applyFont="1" applyFill="1"/>
    <xf numFmtId="1" fontId="2" fillId="22" borderId="4" xfId="2" applyNumberFormat="1" applyFill="1" applyBorder="1" applyAlignment="1">
      <alignment horizontal="center"/>
    </xf>
    <xf numFmtId="0" fontId="3" fillId="22" borderId="1" xfId="1" applyFont="1" applyFill="1" applyBorder="1" applyAlignment="1">
      <alignment vertical="center" wrapText="1"/>
    </xf>
    <xf numFmtId="1" fontId="2" fillId="22" borderId="1" xfId="2" applyNumberFormat="1" applyFill="1" applyBorder="1"/>
    <xf numFmtId="1" fontId="2" fillId="22" borderId="1" xfId="2" applyNumberFormat="1" applyFill="1" applyBorder="1" applyAlignment="1">
      <alignment horizontal="center"/>
    </xf>
    <xf numFmtId="2" fontId="53" fillId="22" borderId="28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1" fontId="2" fillId="0" borderId="0" xfId="2" applyNumberFormat="1" applyFill="1" applyBorder="1"/>
    <xf numFmtId="4" fontId="12" fillId="0" borderId="4" xfId="1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/>
    <xf numFmtId="4" fontId="26" fillId="0" borderId="0" xfId="1" applyNumberFormat="1" applyFont="1" applyFill="1" applyBorder="1"/>
    <xf numFmtId="0" fontId="12" fillId="0" borderId="1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/>
    </xf>
    <xf numFmtId="49" fontId="10" fillId="6" borderId="1" xfId="1" applyNumberFormat="1" applyFont="1" applyFill="1" applyBorder="1" applyAlignment="1">
      <alignment horizontal="center" vertical="center" textRotation="90" wrapText="1"/>
    </xf>
    <xf numFmtId="49" fontId="10" fillId="6" borderId="1" xfId="1" applyNumberFormat="1" applyFont="1" applyFill="1" applyBorder="1" applyAlignment="1">
      <alignment horizontal="center" vertical="center" textRotation="90" wrapText="1"/>
    </xf>
    <xf numFmtId="2" fontId="12" fillId="3" borderId="1" xfId="1" applyNumberFormat="1" applyFont="1" applyFill="1" applyBorder="1" applyAlignment="1">
      <alignment horizontal="center" vertical="center"/>
    </xf>
    <xf numFmtId="2" fontId="26" fillId="3" borderId="1" xfId="1" applyNumberFormat="1" applyFont="1" applyFill="1" applyBorder="1" applyAlignment="1">
      <alignment horizontal="center" vertical="center"/>
    </xf>
    <xf numFmtId="4" fontId="12" fillId="0" borderId="29" xfId="1" applyNumberFormat="1" applyFont="1" applyFill="1" applyBorder="1" applyAlignment="1">
      <alignment horizontal="center" vertical="center"/>
    </xf>
    <xf numFmtId="4" fontId="12" fillId="21" borderId="29" xfId="1" applyNumberFormat="1" applyFont="1" applyFill="1" applyBorder="1" applyAlignment="1">
      <alignment horizontal="center" vertical="center"/>
    </xf>
    <xf numFmtId="166" fontId="59" fillId="2" borderId="1" xfId="3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39" fillId="6" borderId="1" xfId="1" applyNumberFormat="1" applyFont="1" applyFill="1" applyBorder="1" applyAlignment="1">
      <alignment horizontal="center" vertical="center"/>
    </xf>
    <xf numFmtId="1" fontId="39" fillId="6" borderId="1" xfId="0" applyNumberFormat="1" applyFont="1" applyFill="1" applyBorder="1" applyAlignment="1">
      <alignment horizontal="center" vertical="center"/>
    </xf>
    <xf numFmtId="1" fontId="39" fillId="2" borderId="1" xfId="0" applyNumberFormat="1" applyFont="1" applyFill="1" applyBorder="1" applyAlignment="1">
      <alignment horizontal="center" vertical="center"/>
    </xf>
    <xf numFmtId="166" fontId="10" fillId="6" borderId="8" xfId="3" applyNumberFormat="1" applyFont="1" applyFill="1" applyBorder="1" applyAlignment="1">
      <alignment horizontal="center" vertical="center"/>
    </xf>
    <xf numFmtId="166" fontId="10" fillId="0" borderId="8" xfId="3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textRotation="90" wrapText="1"/>
    </xf>
    <xf numFmtId="166" fontId="39" fillId="6" borderId="8" xfId="3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/>
    </xf>
    <xf numFmtId="0" fontId="33" fillId="0" borderId="0" xfId="1" applyFont="1" applyFill="1" applyBorder="1" applyAlignment="1"/>
    <xf numFmtId="0" fontId="10" fillId="0" borderId="1" xfId="1" applyFont="1" applyFill="1" applyBorder="1" applyAlignment="1">
      <alignment horizontal="left"/>
    </xf>
    <xf numFmtId="0" fontId="20" fillId="0" borderId="12" xfId="0" applyFont="1" applyFill="1" applyBorder="1" applyAlignment="1">
      <alignment vertical="top"/>
    </xf>
    <xf numFmtId="0" fontId="67" fillId="0" borderId="12" xfId="0" applyFont="1" applyFill="1" applyBorder="1" applyAlignment="1">
      <alignment vertical="top"/>
    </xf>
    <xf numFmtId="0" fontId="12" fillId="0" borderId="1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43" fillId="0" borderId="0" xfId="1" applyFont="1" applyFill="1" applyAlignment="1">
      <alignment horizontal="center"/>
    </xf>
    <xf numFmtId="0" fontId="32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1" fontId="32" fillId="6" borderId="1" xfId="0" applyNumberFormat="1" applyFont="1" applyFill="1" applyBorder="1" applyAlignment="1">
      <alignment horizontal="center" vertical="center"/>
    </xf>
    <xf numFmtId="1" fontId="38" fillId="6" borderId="1" xfId="0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vertical="center" wrapText="1"/>
    </xf>
    <xf numFmtId="1" fontId="32" fillId="6" borderId="1" xfId="1" applyNumberFormat="1" applyFont="1" applyFill="1" applyBorder="1" applyAlignment="1">
      <alignment horizontal="center" vertical="center"/>
    </xf>
    <xf numFmtId="0" fontId="20" fillId="0" borderId="1" xfId="1" applyFont="1" applyFill="1" applyBorder="1"/>
    <xf numFmtId="165" fontId="57" fillId="22" borderId="0" xfId="3" applyNumberFormat="1" applyFont="1" applyFill="1"/>
    <xf numFmtId="0" fontId="12" fillId="22" borderId="29" xfId="1" applyFont="1" applyFill="1" applyBorder="1" applyAlignment="1">
      <alignment horizontal="center" vertical="center"/>
    </xf>
    <xf numFmtId="0" fontId="68" fillId="0" borderId="12" xfId="0" applyFont="1" applyFill="1" applyBorder="1"/>
    <xf numFmtId="0" fontId="10" fillId="0" borderId="29" xfId="1" applyFont="1" applyFill="1" applyBorder="1" applyAlignment="1">
      <alignment horizontal="left"/>
    </xf>
    <xf numFmtId="0" fontId="12" fillId="0" borderId="29" xfId="1" applyFont="1" applyFill="1" applyBorder="1"/>
    <xf numFmtId="166" fontId="31" fillId="6" borderId="1" xfId="3" applyNumberFormat="1" applyFont="1" applyFill="1" applyBorder="1" applyAlignment="1">
      <alignment horizontal="center" vertical="center"/>
    </xf>
    <xf numFmtId="0" fontId="12" fillId="25" borderId="29" xfId="1" applyFont="1" applyFill="1" applyBorder="1"/>
    <xf numFmtId="0" fontId="12" fillId="0" borderId="1" xfId="1" applyFont="1" applyFill="1" applyBorder="1" applyAlignment="1">
      <alignment horizontal="center" vertical="center" wrapText="1"/>
    </xf>
    <xf numFmtId="0" fontId="12" fillId="10" borderId="29" xfId="1" applyFont="1" applyFill="1" applyBorder="1"/>
    <xf numFmtId="0" fontId="12" fillId="0" borderId="29" xfId="1" applyNumberFormat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49" fontId="26" fillId="0" borderId="2" xfId="1" applyNumberFormat="1" applyFont="1" applyFill="1" applyBorder="1" applyAlignment="1">
      <alignment horizontal="center"/>
    </xf>
    <xf numFmtId="2" fontId="39" fillId="9" borderId="8" xfId="1" applyNumberFormat="1" applyFont="1" applyFill="1" applyBorder="1" applyAlignment="1">
      <alignment horizontal="center" vertical="center"/>
    </xf>
    <xf numFmtId="167" fontId="12" fillId="0" borderId="29" xfId="1" applyNumberFormat="1" applyFont="1" applyFill="1" applyBorder="1" applyAlignment="1">
      <alignment horizontal="center" vertical="center"/>
    </xf>
    <xf numFmtId="1" fontId="12" fillId="0" borderId="29" xfId="1" applyNumberFormat="1" applyFont="1" applyFill="1" applyBorder="1" applyAlignment="1">
      <alignment horizontal="center" vertical="center"/>
    </xf>
    <xf numFmtId="0" fontId="39" fillId="6" borderId="8" xfId="1" applyNumberFormat="1" applyFont="1" applyFill="1" applyBorder="1" applyAlignment="1">
      <alignment horizontal="left" vertical="center"/>
    </xf>
    <xf numFmtId="1" fontId="12" fillId="6" borderId="1" xfId="1" applyNumberFormat="1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/>
    </xf>
    <xf numFmtId="0" fontId="12" fillId="6" borderId="1" xfId="1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4" fontId="12" fillId="6" borderId="1" xfId="0" applyNumberFormat="1" applyFont="1" applyFill="1" applyBorder="1" applyAlignment="1">
      <alignment horizontal="center" vertical="center"/>
    </xf>
    <xf numFmtId="167" fontId="12" fillId="6" borderId="1" xfId="0" applyNumberFormat="1" applyFont="1" applyFill="1" applyBorder="1" applyAlignment="1">
      <alignment horizontal="center" vertical="center"/>
    </xf>
    <xf numFmtId="1" fontId="20" fillId="6" borderId="1" xfId="0" applyNumberFormat="1" applyFont="1" applyFill="1" applyBorder="1" applyAlignment="1">
      <alignment horizontal="center" vertical="center"/>
    </xf>
    <xf numFmtId="167" fontId="20" fillId="0" borderId="29" xfId="1" applyNumberFormat="1" applyFont="1" applyFill="1" applyBorder="1" applyAlignment="1">
      <alignment horizontal="center" vertical="center"/>
    </xf>
    <xf numFmtId="1" fontId="20" fillId="0" borderId="29" xfId="1" applyNumberFormat="1" applyFont="1" applyFill="1" applyBorder="1" applyAlignment="1">
      <alignment horizontal="center" vertical="center"/>
    </xf>
    <xf numFmtId="4" fontId="69" fillId="0" borderId="12" xfId="0" applyNumberFormat="1" applyFont="1" applyFill="1" applyBorder="1" applyAlignment="1">
      <alignment vertical="top"/>
    </xf>
    <xf numFmtId="2" fontId="54" fillId="5" borderId="8" xfId="2" applyNumberFormat="1" applyFont="1" applyFill="1" applyBorder="1" applyAlignment="1">
      <alignment horizontal="center" vertical="top" wrapText="1"/>
    </xf>
    <xf numFmtId="0" fontId="0" fillId="5" borderId="0" xfId="0" applyFill="1"/>
    <xf numFmtId="165" fontId="57" fillId="5" borderId="0" xfId="3" applyNumberFormat="1" applyFont="1" applyFill="1"/>
    <xf numFmtId="2" fontId="2" fillId="5" borderId="0" xfId="2" applyNumberFormat="1" applyFill="1"/>
    <xf numFmtId="0" fontId="20" fillId="0" borderId="1" xfId="0" applyNumberFormat="1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center" vertical="center"/>
    </xf>
    <xf numFmtId="0" fontId="20" fillId="0" borderId="29" xfId="1" applyFont="1" applyFill="1" applyBorder="1" applyAlignment="1">
      <alignment horizontal="center" vertical="center"/>
    </xf>
    <xf numFmtId="0" fontId="20" fillId="0" borderId="1" xfId="3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/>
    </xf>
    <xf numFmtId="0" fontId="20" fillId="0" borderId="29" xfId="1" applyFont="1" applyFill="1" applyBorder="1"/>
    <xf numFmtId="0" fontId="20" fillId="0" borderId="0" xfId="1" applyFont="1" applyFill="1"/>
    <xf numFmtId="0" fontId="39" fillId="9" borderId="29" xfId="1" applyNumberFormat="1" applyFont="1" applyFill="1" applyBorder="1" applyAlignment="1">
      <alignment horizontal="left" vertical="center"/>
    </xf>
    <xf numFmtId="0" fontId="12" fillId="20" borderId="29" xfId="1" applyFont="1" applyFill="1" applyBorder="1" applyAlignment="1">
      <alignment horizontal="right"/>
    </xf>
    <xf numFmtId="0" fontId="12" fillId="0" borderId="12" xfId="0" applyFont="1" applyFill="1" applyBorder="1"/>
    <xf numFmtId="2" fontId="20" fillId="0" borderId="12" xfId="0" applyNumberFormat="1" applyFont="1" applyFill="1" applyBorder="1" applyAlignment="1">
      <alignment vertical="top"/>
    </xf>
    <xf numFmtId="4" fontId="20" fillId="0" borderId="12" xfId="0" applyNumberFormat="1" applyFont="1" applyFill="1" applyBorder="1" applyAlignment="1">
      <alignment horizontal="right" vertical="top"/>
    </xf>
    <xf numFmtId="2" fontId="68" fillId="0" borderId="12" xfId="0" applyNumberFormat="1" applyFont="1" applyFill="1" applyBorder="1"/>
    <xf numFmtId="0" fontId="12" fillId="0" borderId="29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textRotation="90" wrapText="1"/>
    </xf>
    <xf numFmtId="0" fontId="12" fillId="0" borderId="5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wrapText="1"/>
    </xf>
    <xf numFmtId="0" fontId="12" fillId="0" borderId="6" xfId="1" applyFont="1" applyFill="1" applyBorder="1" applyAlignment="1">
      <alignment horizontal="center" vertical="center" textRotation="90" wrapText="1"/>
    </xf>
    <xf numFmtId="0" fontId="12" fillId="0" borderId="7" xfId="1" applyFont="1" applyFill="1" applyBorder="1" applyAlignment="1">
      <alignment horizontal="center" vertical="center" textRotation="90" wrapText="1"/>
    </xf>
    <xf numFmtId="0" fontId="12" fillId="0" borderId="32" xfId="1" applyFont="1" applyFill="1" applyBorder="1" applyAlignment="1">
      <alignment horizontal="center"/>
    </xf>
    <xf numFmtId="0" fontId="12" fillId="0" borderId="33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vertical="center" wrapText="1"/>
    </xf>
    <xf numFmtId="0" fontId="35" fillId="10" borderId="5" xfId="1" applyFont="1" applyFill="1" applyBorder="1" applyAlignment="1">
      <alignment horizontal="center" vertical="center" wrapText="1"/>
    </xf>
    <xf numFmtId="0" fontId="35" fillId="10" borderId="10" xfId="1" applyFont="1" applyFill="1" applyBorder="1" applyAlignment="1">
      <alignment horizontal="center" vertical="center" wrapText="1"/>
    </xf>
    <xf numFmtId="0" fontId="35" fillId="10" borderId="4" xfId="1" applyFont="1" applyFill="1" applyBorder="1" applyAlignment="1">
      <alignment horizontal="center" vertical="center" wrapText="1"/>
    </xf>
    <xf numFmtId="0" fontId="36" fillId="0" borderId="5" xfId="1" applyFont="1" applyFill="1" applyBorder="1" applyAlignment="1">
      <alignment horizontal="center" vertical="center" wrapText="1"/>
    </xf>
    <xf numFmtId="0" fontId="36" fillId="0" borderId="10" xfId="1" applyFont="1" applyFill="1" applyBorder="1" applyAlignment="1">
      <alignment horizontal="center" vertical="center" wrapText="1"/>
    </xf>
    <xf numFmtId="0" fontId="36" fillId="0" borderId="4" xfId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center" vertical="center" wrapText="1"/>
    </xf>
    <xf numFmtId="0" fontId="37" fillId="0" borderId="10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3" fillId="21" borderId="1" xfId="1" applyFont="1" applyFill="1" applyBorder="1" applyAlignment="1">
      <alignment horizontal="center" vertical="center" wrapText="1"/>
    </xf>
    <xf numFmtId="0" fontId="12" fillId="18" borderId="4" xfId="1" applyFont="1" applyFill="1" applyBorder="1" applyAlignment="1">
      <alignment horizontal="center" vertical="center" wrapText="1"/>
    </xf>
    <xf numFmtId="0" fontId="12" fillId="18" borderId="1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3" fillId="20" borderId="3" xfId="1" applyFont="1" applyFill="1" applyBorder="1" applyAlignment="1">
      <alignment horizontal="center" vertical="center" wrapText="1"/>
    </xf>
    <xf numFmtId="0" fontId="33" fillId="20" borderId="8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33" fillId="24" borderId="3" xfId="1" applyFont="1" applyFill="1" applyBorder="1" applyAlignment="1">
      <alignment horizontal="center" vertical="center" wrapText="1"/>
    </xf>
    <xf numFmtId="0" fontId="33" fillId="24" borderId="8" xfId="1" applyFont="1" applyFill="1" applyBorder="1" applyAlignment="1">
      <alignment horizontal="center" vertical="center" wrapText="1"/>
    </xf>
    <xf numFmtId="0" fontId="66" fillId="0" borderId="5" xfId="1" applyFont="1" applyFill="1" applyBorder="1" applyAlignment="1">
      <alignment horizontal="center" vertical="center" wrapText="1"/>
    </xf>
    <xf numFmtId="0" fontId="66" fillId="0" borderId="10" xfId="1" applyFont="1" applyFill="1" applyBorder="1" applyAlignment="1">
      <alignment horizontal="center" vertical="center" wrapText="1"/>
    </xf>
    <xf numFmtId="0" fontId="66" fillId="0" borderId="4" xfId="1" applyFont="1" applyFill="1" applyBorder="1" applyAlignment="1">
      <alignment horizontal="center" vertical="center" wrapText="1"/>
    </xf>
    <xf numFmtId="0" fontId="58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34" fillId="0" borderId="5" xfId="1" applyFont="1" applyFill="1" applyBorder="1" applyAlignment="1">
      <alignment horizontal="center" vertical="center" wrapText="1"/>
    </xf>
    <xf numFmtId="0" fontId="34" fillId="0" borderId="10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49" fontId="32" fillId="6" borderId="1" xfId="1" applyNumberFormat="1" applyFont="1" applyFill="1" applyBorder="1" applyAlignment="1">
      <alignment horizontal="center" vertical="center" textRotation="90" wrapText="1"/>
    </xf>
    <xf numFmtId="49" fontId="10" fillId="6" borderId="1" xfId="1" applyNumberFormat="1" applyFont="1" applyFill="1" applyBorder="1" applyAlignment="1">
      <alignment horizontal="center" vertical="center" textRotation="90" wrapText="1"/>
    </xf>
    <xf numFmtId="49" fontId="10" fillId="0" borderId="1" xfId="1" applyNumberFormat="1" applyFont="1" applyFill="1" applyBorder="1" applyAlignment="1">
      <alignment horizontal="center" vertical="center" textRotation="90" wrapText="1"/>
    </xf>
    <xf numFmtId="164" fontId="10" fillId="3" borderId="1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26" fillId="7" borderId="9" xfId="1" applyFont="1" applyFill="1" applyBorder="1" applyAlignment="1">
      <alignment horizontal="center" vertical="center" wrapText="1"/>
    </xf>
    <xf numFmtId="0" fontId="26" fillId="7" borderId="1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33" fillId="7" borderId="5" xfId="1" applyFont="1" applyFill="1" applyBorder="1" applyAlignment="1">
      <alignment horizontal="center" vertical="center" wrapText="1"/>
    </xf>
    <xf numFmtId="0" fontId="33" fillId="7" borderId="4" xfId="1" applyFont="1" applyFill="1" applyBorder="1" applyAlignment="1">
      <alignment horizontal="center" vertical="center" wrapText="1"/>
    </xf>
    <xf numFmtId="0" fontId="51" fillId="19" borderId="29" xfId="1" applyFont="1" applyFill="1" applyBorder="1" applyAlignment="1">
      <alignment horizontal="center" vertical="center" wrapText="1"/>
    </xf>
    <xf numFmtId="49" fontId="10" fillId="6" borderId="5" xfId="1" applyNumberFormat="1" applyFont="1" applyFill="1" applyBorder="1" applyAlignment="1">
      <alignment horizontal="center" vertical="center" wrapText="1"/>
    </xf>
    <xf numFmtId="49" fontId="10" fillId="6" borderId="10" xfId="1" applyNumberFormat="1" applyFont="1" applyFill="1" applyBorder="1" applyAlignment="1">
      <alignment horizontal="center" vertical="center" wrapText="1"/>
    </xf>
    <xf numFmtId="49" fontId="10" fillId="6" borderId="4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textRotation="90"/>
    </xf>
    <xf numFmtId="0" fontId="9" fillId="0" borderId="8" xfId="1" applyFont="1" applyFill="1" applyBorder="1" applyAlignment="1">
      <alignment horizontal="center" vertical="center" textRotation="90"/>
    </xf>
    <xf numFmtId="0" fontId="12" fillId="0" borderId="1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textRotation="90" wrapText="1"/>
    </xf>
    <xf numFmtId="0" fontId="10" fillId="0" borderId="1" xfId="1" applyNumberFormat="1" applyFont="1" applyFill="1" applyBorder="1" applyAlignment="1">
      <alignment horizontal="center" vertical="center" textRotation="90" wrapText="1"/>
    </xf>
    <xf numFmtId="0" fontId="10" fillId="0" borderId="30" xfId="1" applyFont="1" applyFill="1" applyBorder="1" applyAlignment="1">
      <alignment horizontal="center" vertical="center" textRotation="90" wrapText="1"/>
    </xf>
    <xf numFmtId="0" fontId="10" fillId="0" borderId="8" xfId="1" applyFont="1" applyFill="1" applyBorder="1" applyAlignment="1">
      <alignment horizontal="center" vertical="center" textRotation="90" wrapText="1"/>
    </xf>
    <xf numFmtId="49" fontId="10" fillId="0" borderId="30" xfId="1" applyNumberFormat="1" applyFont="1" applyFill="1" applyBorder="1" applyAlignment="1">
      <alignment horizontal="center" vertical="center" textRotation="90" wrapText="1"/>
    </xf>
    <xf numFmtId="49" fontId="10" fillId="0" borderId="8" xfId="1" applyNumberFormat="1" applyFont="1" applyFill="1" applyBorder="1" applyAlignment="1">
      <alignment horizontal="center" vertical="center" textRotation="90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right" vertical="top"/>
    </xf>
    <xf numFmtId="0" fontId="49" fillId="13" borderId="27" xfId="6" applyFont="1" applyBorder="1" applyAlignment="1">
      <alignment horizontal="right" vertical="top"/>
    </xf>
    <xf numFmtId="0" fontId="26" fillId="0" borderId="1" xfId="0" applyFont="1" applyFill="1" applyBorder="1" applyAlignment="1">
      <alignment horizontal="right" vertical="top"/>
    </xf>
    <xf numFmtId="4" fontId="26" fillId="0" borderId="1" xfId="0" applyNumberFormat="1" applyFont="1" applyFill="1" applyBorder="1" applyAlignment="1">
      <alignment horizontal="center" vertical="top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top"/>
    </xf>
    <xf numFmtId="4" fontId="26" fillId="16" borderId="1" xfId="0" applyNumberFormat="1" applyFont="1" applyFill="1" applyBorder="1" applyAlignment="1">
      <alignment horizontal="right" vertical="top"/>
    </xf>
    <xf numFmtId="0" fontId="26" fillId="14" borderId="1" xfId="7" applyFont="1" applyBorder="1" applyAlignment="1">
      <alignment horizontal="right" vertical="top"/>
    </xf>
    <xf numFmtId="0" fontId="46" fillId="0" borderId="1" xfId="0" applyFont="1" applyFill="1" applyBorder="1" applyAlignment="1">
      <alignment horizontal="center" vertical="center" wrapText="1"/>
    </xf>
  </cellXfs>
  <cellStyles count="9">
    <cellStyle name="Акцент5" xfId="8" builtinId="45"/>
    <cellStyle name="Вывод" xfId="6" builtinId="21"/>
    <cellStyle name="Обычный" xfId="0" builtinId="0"/>
    <cellStyle name="Обычный 2" xfId="1"/>
    <cellStyle name="Обычный 3" xfId="2"/>
    <cellStyle name="Примечание" xfId="7" builtinId="10"/>
    <cellStyle name="Финансовый" xfId="3" builtinId="3"/>
    <cellStyle name="Финансовый 2" xfId="4"/>
    <cellStyle name="Хороший" xfId="5" builtinId="26"/>
  </cellStyles>
  <dxfs count="4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25"/>
        <color indexed="8"/>
        <name val="Tahoma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left" vertical="top" textRotation="0" wrapText="1" relative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1" formatCode="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2E49C"/>
      <color rgb="FFFFFFCC"/>
      <color rgb="FFDCE6F1"/>
      <color rgb="FFFFE9A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6:V2114" totalsRowShown="0" headerRowCellStyle="Обычный" dataCellStyle="Обычный">
  <autoFilter ref="B6:V2114"/>
  <sortState ref="B7:V1828">
    <sortCondition ref="E8"/>
  </sortState>
  <tableColumns count="21">
    <tableColumn id="1" name="1" dataCellStyle="Обычный"/>
    <tableColumn id="2" name="2" dataCellStyle="Обычный"/>
    <tableColumn id="3" name="3" dataCellStyle="Обычный"/>
    <tableColumn id="4" name="4" dataCellStyle="Обычный"/>
    <tableColumn id="5" name="5" dataCellStyle="Обычный"/>
    <tableColumn id="21" name="6" dataDxfId="17"/>
    <tableColumn id="6" name="7" dataDxfId="16" dataCellStyle="Обычный">
      <calculatedColumnFormula>SUM(I7:T7)</calculatedColumnFormula>
    </tableColumn>
    <tableColumn id="7" name="8" dataCellStyle="Обычный"/>
    <tableColumn id="8" name="9" dataCellStyle="Обычный"/>
    <tableColumn id="9" name="10" dataCellStyle="Обычный"/>
    <tableColumn id="10" name="11" dataCellStyle="Обычный"/>
    <tableColumn id="11" name="12" dataCellStyle="Обычный"/>
    <tableColumn id="12" name="13" dataDxfId="15" dataCellStyle="Обычный"/>
    <tableColumn id="13" name="14" dataCellStyle="Обычный"/>
    <tableColumn id="14" name="15" dataCellStyle="Обычный"/>
    <tableColumn id="15" name="16" dataCellStyle="Обычный"/>
    <tableColumn id="16" name="17" dataCellStyle="Обычный"/>
    <tableColumn id="17" name="18" dataCellStyle="Обычный"/>
    <tableColumn id="18" name="19" dataCellStyle="Обычный"/>
    <tableColumn id="19" name="20" dataCellStyle="Обычный"/>
    <tableColumn id="20" name="21" dataCellStyle="Обычный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:K385" totalsRowShown="0" headerRowDxfId="14" headerRowBorderDxfId="13" tableBorderDxfId="12" totalsRowBorderDxfId="11" headerRowCellStyle="Обычный 3" dataCellStyle="Обычный 3">
  <autoFilter ref="A1:K385"/>
  <sortState ref="A2:J392">
    <sortCondition ref="B1:B392"/>
  </sortState>
  <tableColumns count="11">
    <tableColumn id="1" name="ЖЭУ" dataDxfId="10" dataCellStyle="Обычный 3"/>
    <tableColumn id="2" name="Адрес МКД" dataDxfId="9" dataCellStyle="Обычный 2"/>
    <tableColumn id="3" name="Улица" dataDxfId="8" dataCellStyle="Обычный 3"/>
    <tableColumn id="4" name="Дом" dataDxfId="7" dataCellStyle="Обычный 3"/>
    <tableColumn id="5" name="Корпус" dataDxfId="6" dataCellStyle="Обычный 3"/>
    <tableColumn id="11" name="Площадь жилая" dataDxfId="5" dataCellStyle="Обычный 3">
      <calculatedColumnFormula>Таблица3[[#This Row],[Площадь (приват.)]]+Таблица3[[#This Row],[Площадь (муницип.)]]</calculatedColumnFormula>
    </tableColumn>
    <tableColumn id="6" name="Общая площадь" dataDxfId="4" dataCellStyle="Обычный 3"/>
    <tableColumn id="7" name="Площадь (приват.)" dataDxfId="3" dataCellStyle="Обычный 3"/>
    <tableColumn id="8" name="Площадь (муницип.)" dataDxfId="2" dataCellStyle="Обычный 3"/>
    <tableColumn id="9" name="Площадь нежилых помещений" dataDxfId="1" dataCellStyle="Обычный 3"/>
    <tableColumn id="10" name="Кол-во квартир" dataDxfId="0" dataCellStyle="Обычный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NG6466"/>
  <sheetViews>
    <sheetView tabSelected="1" view="pageBreakPreview" zoomScale="96" zoomScaleNormal="96" zoomScaleSheetLayoutView="96" workbookViewId="0">
      <pane xSplit="4" ySplit="5" topLeftCell="E6" activePane="bottomRight" state="frozen"/>
      <selection activeCell="A3" sqref="A3"/>
      <selection pane="topRight" activeCell="D3" sqref="D3"/>
      <selection pane="bottomLeft" activeCell="A5" sqref="A5"/>
      <selection pane="bottomRight" activeCell="Y6" sqref="Y6:Y389"/>
    </sheetView>
  </sheetViews>
  <sheetFormatPr defaultColWidth="8.85546875" defaultRowHeight="13.15" customHeight="1" outlineLevelRow="1" outlineLevelCol="2" x14ac:dyDescent="0.2"/>
  <cols>
    <col min="1" max="1" width="3.85546875" style="8" customWidth="1"/>
    <col min="2" max="2" width="3.7109375" style="103" customWidth="1"/>
    <col min="3" max="3" width="4.28515625" style="103" customWidth="1"/>
    <col min="4" max="4" width="18.7109375" style="8" customWidth="1"/>
    <col min="5" max="5" width="3.28515625" style="8" customWidth="1"/>
    <col min="6" max="6" width="4.28515625" style="8" hidden="1" customWidth="1"/>
    <col min="7" max="7" width="5.28515625" style="134" hidden="1" customWidth="1"/>
    <col min="8" max="8" width="5.28515625" style="245" hidden="1" customWidth="1"/>
    <col min="9" max="9" width="6.7109375" style="135" customWidth="1"/>
    <col min="10" max="10" width="6.28515625" style="136" customWidth="1" collapsed="1"/>
    <col min="11" max="12" width="6.28515625" style="136" hidden="1" customWidth="1" outlineLevel="1"/>
    <col min="13" max="13" width="6.7109375" style="136" customWidth="1" collapsed="1"/>
    <col min="14" max="14" width="6" style="109" hidden="1" customWidth="1" outlineLevel="1"/>
    <col min="15" max="15" width="7.7109375" style="136" hidden="1" customWidth="1" outlineLevel="1"/>
    <col min="16" max="16" width="6.28515625" style="136" hidden="1" customWidth="1" outlineLevel="1"/>
    <col min="17" max="17" width="4.5703125" style="136" hidden="1" customWidth="1" outlineLevel="1"/>
    <col min="18" max="18" width="6" style="136" hidden="1" customWidth="1" outlineLevel="2"/>
    <col min="19" max="19" width="6.85546875" style="136" hidden="1" customWidth="1" outlineLevel="2"/>
    <col min="20" max="23" width="6" style="136" hidden="1" customWidth="1" outlineLevel="2"/>
    <col min="24" max="24" width="9.140625" style="136" customWidth="1" collapsed="1"/>
    <col min="25" max="25" width="15.28515625" style="137" customWidth="1"/>
    <col min="26" max="26" width="12.7109375" style="8" customWidth="1"/>
    <col min="27" max="27" width="13.28515625" style="8" hidden="1" customWidth="1" outlineLevel="1"/>
    <col min="28" max="28" width="11.5703125" style="8" customWidth="1" collapsed="1"/>
    <col min="29" max="29" width="10.85546875" style="8" customWidth="1" outlineLevel="1"/>
    <col min="30" max="30" width="11" style="8" customWidth="1" outlineLevel="1"/>
    <col min="31" max="31" width="11" style="138" hidden="1" customWidth="1" outlineLevel="1"/>
    <col min="32" max="32" width="8.7109375" style="138" hidden="1" customWidth="1" outlineLevel="1"/>
    <col min="33" max="33" width="12.85546875" style="139" hidden="1" customWidth="1" collapsed="1"/>
    <col min="34" max="34" width="12.85546875" style="139" customWidth="1"/>
    <col min="35" max="36" width="11" style="8" customWidth="1" outlineLevel="1"/>
    <col min="37" max="37" width="10.5703125" style="8" customWidth="1" outlineLevel="1"/>
    <col min="38" max="38" width="13.42578125" style="8" customWidth="1" outlineLevel="1"/>
    <col min="39" max="40" width="11" style="8" customWidth="1" outlineLevel="1"/>
    <col min="41" max="41" width="10.5703125" style="8" customWidth="1" outlineLevel="1"/>
    <col min="42" max="42" width="13.42578125" style="8" customWidth="1" outlineLevel="1"/>
    <col min="43" max="44" width="11" style="8" customWidth="1" outlineLevel="1"/>
    <col min="45" max="45" width="10.5703125" style="8" customWidth="1" outlineLevel="1"/>
    <col min="46" max="46" width="13.42578125" style="8" customWidth="1" outlineLevel="1"/>
    <col min="47" max="48" width="11" style="8" customWidth="1" outlineLevel="1"/>
    <col min="49" max="49" width="11" style="8" hidden="1" customWidth="1" outlineLevel="1"/>
    <col min="50" max="51" width="13.42578125" style="8" customWidth="1" outlineLevel="1"/>
    <col min="52" max="52" width="12.5703125" style="8" customWidth="1" outlineLevel="1" collapsed="1"/>
    <col min="53" max="55" width="12.5703125" style="8" customWidth="1" outlineLevel="1"/>
    <col min="56" max="56" width="12.5703125" style="8" hidden="1" customWidth="1" outlineLevel="1"/>
    <col min="57" max="57" width="12.5703125" style="8" customWidth="1" outlineLevel="1"/>
    <col min="58" max="58" width="11.85546875" style="8" customWidth="1" outlineLevel="1" collapsed="1"/>
    <col min="59" max="59" width="14" style="8" customWidth="1" outlineLevel="1"/>
    <col min="60" max="60" width="13.42578125" style="8" customWidth="1"/>
    <col min="61" max="62" width="10" style="8" customWidth="1"/>
    <col min="63" max="63" width="16.7109375" style="8" hidden="1" customWidth="1" outlineLevel="1"/>
    <col min="64" max="64" width="18.140625" style="8" hidden="1" customWidth="1" outlineLevel="1"/>
    <col min="65" max="65" width="18" style="8" hidden="1" customWidth="1" outlineLevel="1"/>
    <col min="66" max="66" width="8" style="8" customWidth="1" collapsed="1"/>
    <col min="67" max="67" width="6" style="8" customWidth="1"/>
    <col min="68" max="68" width="11.28515625" style="8" customWidth="1"/>
    <col min="69" max="69" width="13.140625" style="8" customWidth="1"/>
    <col min="70" max="70" width="8.7109375" style="8" customWidth="1"/>
    <col min="71" max="71" width="7.7109375" style="8" hidden="1" customWidth="1" outlineLevel="1"/>
    <col min="72" max="72" width="7.7109375" style="134" hidden="1" customWidth="1" outlineLevel="1"/>
    <col min="73" max="73" width="7.7109375" style="8" hidden="1" customWidth="1" outlineLevel="1"/>
    <col min="74" max="74" width="10.28515625" style="134" hidden="1" customWidth="1" outlineLevel="1"/>
    <col min="75" max="76" width="7.7109375" style="8" hidden="1" customWidth="1" outlineLevel="1"/>
    <col min="77" max="77" width="0" style="8" hidden="1" customWidth="1" collapsed="1"/>
    <col min="78" max="16384" width="8.85546875" style="8"/>
  </cols>
  <sheetData>
    <row r="1" spans="1:77" ht="15.75" x14ac:dyDescent="0.2">
      <c r="B1" s="23"/>
      <c r="C1" s="23"/>
      <c r="D1" s="24" t="s">
        <v>1615</v>
      </c>
      <c r="E1" s="25"/>
      <c r="F1" s="25"/>
      <c r="G1" s="26"/>
      <c r="H1" s="239"/>
      <c r="I1" s="27"/>
      <c r="J1" s="28"/>
      <c r="K1" s="28"/>
      <c r="L1" s="28"/>
      <c r="M1" s="28"/>
      <c r="N1" s="29"/>
      <c r="O1" s="28"/>
      <c r="P1" s="28"/>
      <c r="Q1" s="28"/>
      <c r="R1" s="28"/>
      <c r="S1" s="28"/>
      <c r="T1" s="28"/>
      <c r="U1" s="28"/>
      <c r="V1" s="28"/>
      <c r="W1" s="28"/>
      <c r="X1" s="30"/>
      <c r="Y1" s="31"/>
      <c r="Z1" s="25"/>
      <c r="AA1" s="25"/>
      <c r="AB1" s="32">
        <f ca="1">TODAY()</f>
        <v>45397</v>
      </c>
      <c r="AC1" s="25"/>
      <c r="AD1" s="32"/>
      <c r="AE1" s="33"/>
      <c r="AF1" s="33"/>
      <c r="AG1" s="34"/>
      <c r="AH1" s="298"/>
      <c r="AI1" s="25"/>
      <c r="AJ1" s="297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Q1" s="25"/>
      <c r="BR1" s="25"/>
    </row>
    <row r="2" spans="1:77" ht="13.15" customHeight="1" x14ac:dyDescent="0.2">
      <c r="A2" s="35"/>
      <c r="B2" s="35"/>
      <c r="C2" s="35"/>
      <c r="D2" s="36"/>
      <c r="E2" s="36"/>
      <c r="F2" s="36"/>
      <c r="G2" s="37"/>
      <c r="H2" s="240"/>
      <c r="I2" s="38"/>
      <c r="J2" s="39"/>
      <c r="K2" s="39"/>
      <c r="L2" s="39"/>
      <c r="M2" s="39"/>
      <c r="N2" s="40"/>
      <c r="O2" s="39"/>
      <c r="P2" s="39"/>
      <c r="Q2" s="39"/>
      <c r="R2" s="39"/>
      <c r="S2" s="39"/>
      <c r="T2" s="39"/>
      <c r="U2" s="39"/>
      <c r="V2" s="39"/>
      <c r="W2" s="39"/>
      <c r="X2" s="41"/>
      <c r="Y2" s="343"/>
      <c r="Z2" s="36"/>
      <c r="AA2" s="36"/>
      <c r="AB2" s="36"/>
      <c r="AC2" s="36"/>
      <c r="AD2" s="36"/>
      <c r="AE2" s="42"/>
      <c r="AF2" s="42"/>
      <c r="AG2" s="43"/>
      <c r="AH2" s="43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25"/>
      <c r="BB2" s="25"/>
      <c r="BC2" s="25"/>
      <c r="BD2" s="25"/>
      <c r="BE2" s="25"/>
      <c r="BQ2" s="36"/>
      <c r="BR2" s="25"/>
      <c r="BS2" s="379" t="s">
        <v>2070</v>
      </c>
      <c r="BT2" s="380"/>
      <c r="BU2" s="380"/>
      <c r="BV2" s="380"/>
      <c r="BW2" s="381"/>
      <c r="BX2" s="385" t="s">
        <v>2653</v>
      </c>
      <c r="BY2" s="386"/>
    </row>
    <row r="3" spans="1:77" ht="46.5" customHeight="1" x14ac:dyDescent="0.2">
      <c r="A3" s="431" t="s">
        <v>349</v>
      </c>
      <c r="B3" s="431" t="s">
        <v>906</v>
      </c>
      <c r="C3" s="431" t="s">
        <v>1051</v>
      </c>
      <c r="D3" s="387" t="s">
        <v>721</v>
      </c>
      <c r="E3" s="433" t="s">
        <v>887</v>
      </c>
      <c r="F3" s="433" t="s">
        <v>1049</v>
      </c>
      <c r="G3" s="434" t="s">
        <v>925</v>
      </c>
      <c r="H3" s="436" t="s">
        <v>1379</v>
      </c>
      <c r="I3" s="435" t="s">
        <v>886</v>
      </c>
      <c r="J3" s="418" t="s">
        <v>350</v>
      </c>
      <c r="K3" s="438" t="s">
        <v>2687</v>
      </c>
      <c r="L3" s="438" t="s">
        <v>2689</v>
      </c>
      <c r="M3" s="418" t="s">
        <v>93</v>
      </c>
      <c r="N3" s="417" t="s">
        <v>1115</v>
      </c>
      <c r="O3" s="418" t="s">
        <v>1116</v>
      </c>
      <c r="P3" s="418" t="s">
        <v>1118</v>
      </c>
      <c r="Q3" s="418" t="s">
        <v>2100</v>
      </c>
      <c r="R3" s="428" t="s">
        <v>2063</v>
      </c>
      <c r="S3" s="429"/>
      <c r="T3" s="429"/>
      <c r="U3" s="429"/>
      <c r="V3" s="429"/>
      <c r="W3" s="430"/>
      <c r="X3" s="419" t="s">
        <v>1117</v>
      </c>
      <c r="Y3" s="420" t="s">
        <v>1614</v>
      </c>
      <c r="Z3" s="421" t="s">
        <v>929</v>
      </c>
      <c r="AA3" s="427" t="s">
        <v>1352</v>
      </c>
      <c r="AB3" s="422" t="s">
        <v>1030</v>
      </c>
      <c r="AC3" s="423"/>
      <c r="AD3" s="424"/>
      <c r="AE3" s="425" t="s">
        <v>1033</v>
      </c>
      <c r="AF3" s="426"/>
      <c r="AG3" s="412" t="s">
        <v>1411</v>
      </c>
      <c r="AH3" s="413" t="s">
        <v>1353</v>
      </c>
      <c r="AI3" s="414" t="s">
        <v>1977</v>
      </c>
      <c r="AJ3" s="415"/>
      <c r="AK3" s="415"/>
      <c r="AL3" s="416"/>
      <c r="AM3" s="388" t="s">
        <v>2004</v>
      </c>
      <c r="AN3" s="389"/>
      <c r="AO3" s="389"/>
      <c r="AP3" s="390"/>
      <c r="AQ3" s="391" t="s">
        <v>1978</v>
      </c>
      <c r="AR3" s="392"/>
      <c r="AS3" s="392"/>
      <c r="AT3" s="393"/>
      <c r="AU3" s="394" t="s">
        <v>1979</v>
      </c>
      <c r="AV3" s="395"/>
      <c r="AW3" s="395"/>
      <c r="AX3" s="396"/>
      <c r="AY3" s="403" t="s">
        <v>1613</v>
      </c>
      <c r="AZ3" s="397" t="s">
        <v>1028</v>
      </c>
      <c r="BA3" s="409" t="s">
        <v>1980</v>
      </c>
      <c r="BB3" s="410"/>
      <c r="BC3" s="410"/>
      <c r="BD3" s="411"/>
      <c r="BE3" s="407" t="s">
        <v>2606</v>
      </c>
      <c r="BF3" s="398" t="s">
        <v>1018</v>
      </c>
      <c r="BG3" s="399"/>
      <c r="BH3" s="400" t="s">
        <v>932</v>
      </c>
      <c r="BI3" s="401"/>
      <c r="BJ3" s="402"/>
      <c r="BK3" s="387" t="s">
        <v>1648</v>
      </c>
      <c r="BL3" s="387"/>
      <c r="BM3" s="387"/>
      <c r="BN3" s="405" t="s">
        <v>1321</v>
      </c>
      <c r="BO3" s="387" t="s">
        <v>937</v>
      </c>
      <c r="BP3" s="387"/>
      <c r="BQ3" s="387" t="s">
        <v>1130</v>
      </c>
      <c r="BR3" s="377" t="s">
        <v>2746</v>
      </c>
      <c r="BS3" s="382" t="s">
        <v>2074</v>
      </c>
      <c r="BT3" s="382"/>
      <c r="BU3" s="382" t="s">
        <v>2075</v>
      </c>
      <c r="BV3" s="382"/>
      <c r="BW3" s="383" t="s">
        <v>2071</v>
      </c>
      <c r="BX3" s="378" t="s">
        <v>2654</v>
      </c>
      <c r="BY3" s="378" t="s">
        <v>2686</v>
      </c>
    </row>
    <row r="4" spans="1:77" s="49" customFormat="1" ht="66.75" customHeight="1" x14ac:dyDescent="0.25">
      <c r="A4" s="432"/>
      <c r="B4" s="432"/>
      <c r="C4" s="432"/>
      <c r="D4" s="387"/>
      <c r="E4" s="433"/>
      <c r="F4" s="433"/>
      <c r="G4" s="434"/>
      <c r="H4" s="437"/>
      <c r="I4" s="435"/>
      <c r="J4" s="418"/>
      <c r="K4" s="439"/>
      <c r="L4" s="439"/>
      <c r="M4" s="418"/>
      <c r="N4" s="417"/>
      <c r="O4" s="418"/>
      <c r="P4" s="418"/>
      <c r="Q4" s="418"/>
      <c r="R4" s="301" t="s">
        <v>2064</v>
      </c>
      <c r="S4" s="301" t="s">
        <v>2065</v>
      </c>
      <c r="T4" s="301" t="s">
        <v>2066</v>
      </c>
      <c r="U4" s="301" t="s">
        <v>2067</v>
      </c>
      <c r="V4" s="301" t="s">
        <v>2068</v>
      </c>
      <c r="W4" s="302" t="s">
        <v>2069</v>
      </c>
      <c r="X4" s="419"/>
      <c r="Y4" s="420"/>
      <c r="Z4" s="421"/>
      <c r="AA4" s="427"/>
      <c r="AB4" s="44" t="s">
        <v>1035</v>
      </c>
      <c r="AC4" s="45" t="s">
        <v>1057</v>
      </c>
      <c r="AD4" s="45" t="s">
        <v>1034</v>
      </c>
      <c r="AE4" s="46" t="s">
        <v>1058</v>
      </c>
      <c r="AF4" s="46" t="s">
        <v>1059</v>
      </c>
      <c r="AG4" s="412"/>
      <c r="AH4" s="413"/>
      <c r="AI4" s="47" t="s">
        <v>1029</v>
      </c>
      <c r="AJ4" s="47" t="s">
        <v>1027</v>
      </c>
      <c r="AK4" s="47" t="s">
        <v>1058</v>
      </c>
      <c r="AL4" s="47" t="s">
        <v>1139</v>
      </c>
      <c r="AM4" s="250" t="s">
        <v>1029</v>
      </c>
      <c r="AN4" s="248" t="s">
        <v>2840</v>
      </c>
      <c r="AO4" s="248" t="s">
        <v>2002</v>
      </c>
      <c r="AP4" s="248" t="s">
        <v>2003</v>
      </c>
      <c r="AQ4" s="47" t="s">
        <v>1029</v>
      </c>
      <c r="AR4" s="47" t="s">
        <v>1027</v>
      </c>
      <c r="AS4" s="47" t="s">
        <v>1058</v>
      </c>
      <c r="AT4" s="47" t="s">
        <v>1139</v>
      </c>
      <c r="AU4" s="47" t="s">
        <v>1029</v>
      </c>
      <c r="AV4" s="47" t="s">
        <v>1027</v>
      </c>
      <c r="AW4" s="47" t="s">
        <v>1058</v>
      </c>
      <c r="AX4" s="47" t="s">
        <v>1139</v>
      </c>
      <c r="AY4" s="404"/>
      <c r="AZ4" s="397"/>
      <c r="BA4" s="47" t="s">
        <v>1029</v>
      </c>
      <c r="BB4" s="47" t="s">
        <v>1027</v>
      </c>
      <c r="BC4" s="47" t="s">
        <v>1058</v>
      </c>
      <c r="BD4" s="47" t="s">
        <v>1139</v>
      </c>
      <c r="BE4" s="408"/>
      <c r="BF4" s="257" t="s">
        <v>127</v>
      </c>
      <c r="BG4" s="258" t="s">
        <v>907</v>
      </c>
      <c r="BH4" s="48" t="s">
        <v>933</v>
      </c>
      <c r="BI4" s="48" t="s">
        <v>1005</v>
      </c>
      <c r="BJ4" s="48" t="s">
        <v>1006</v>
      </c>
      <c r="BK4" s="266" t="s">
        <v>1652</v>
      </c>
      <c r="BL4" s="266" t="s">
        <v>1650</v>
      </c>
      <c r="BM4" s="266" t="s">
        <v>1651</v>
      </c>
      <c r="BN4" s="406"/>
      <c r="BO4" s="48" t="s">
        <v>934</v>
      </c>
      <c r="BP4" s="48" t="s">
        <v>938</v>
      </c>
      <c r="BQ4" s="387"/>
      <c r="BR4" s="377"/>
      <c r="BS4" s="314" t="s">
        <v>2076</v>
      </c>
      <c r="BT4" s="321" t="s">
        <v>2072</v>
      </c>
      <c r="BU4" s="314" t="s">
        <v>2076</v>
      </c>
      <c r="BV4" s="321" t="s">
        <v>2072</v>
      </c>
      <c r="BW4" s="384"/>
      <c r="BX4" s="378"/>
      <c r="BY4" s="378"/>
    </row>
    <row r="5" spans="1:77" s="283" customFormat="1" ht="11.25" x14ac:dyDescent="0.2">
      <c r="A5" s="279" t="s">
        <v>1085</v>
      </c>
      <c r="B5" s="254" t="s">
        <v>1092</v>
      </c>
      <c r="C5" s="254" t="s">
        <v>1094</v>
      </c>
      <c r="D5" s="254" t="s">
        <v>1055</v>
      </c>
      <c r="E5" s="254" t="s">
        <v>1119</v>
      </c>
      <c r="F5" s="254" t="s">
        <v>1120</v>
      </c>
      <c r="G5" s="254" t="s">
        <v>1121</v>
      </c>
      <c r="H5" s="280"/>
      <c r="I5" s="254" t="s">
        <v>1122</v>
      </c>
      <c r="J5" s="347" t="s">
        <v>1088</v>
      </c>
      <c r="K5" s="344" t="s">
        <v>2688</v>
      </c>
      <c r="L5" s="344" t="s">
        <v>2690</v>
      </c>
      <c r="M5" s="347" t="s">
        <v>1089</v>
      </c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>
        <v>11</v>
      </c>
      <c r="Y5" s="254">
        <v>12</v>
      </c>
      <c r="Z5" s="254">
        <v>13</v>
      </c>
      <c r="AA5" s="281"/>
      <c r="AB5" s="254">
        <v>14</v>
      </c>
      <c r="AC5" s="254">
        <v>15</v>
      </c>
      <c r="AD5" s="254">
        <v>16</v>
      </c>
      <c r="AE5" s="254">
        <v>17</v>
      </c>
      <c r="AF5" s="254">
        <v>18</v>
      </c>
      <c r="AG5" s="254">
        <v>19</v>
      </c>
      <c r="AH5" s="254"/>
      <c r="AI5" s="254">
        <v>20</v>
      </c>
      <c r="AJ5" s="254">
        <v>21</v>
      </c>
      <c r="AK5" s="254">
        <v>22</v>
      </c>
      <c r="AL5" s="254">
        <v>23</v>
      </c>
      <c r="AM5" s="254">
        <v>24</v>
      </c>
      <c r="AN5" s="254">
        <v>25</v>
      </c>
      <c r="AO5" s="254">
        <v>26</v>
      </c>
      <c r="AP5" s="254">
        <v>27</v>
      </c>
      <c r="AQ5" s="254">
        <v>28</v>
      </c>
      <c r="AR5" s="254">
        <v>29</v>
      </c>
      <c r="AS5" s="254">
        <v>30</v>
      </c>
      <c r="AT5" s="254">
        <v>31</v>
      </c>
      <c r="AU5" s="254">
        <v>32</v>
      </c>
      <c r="AV5" s="254">
        <v>33</v>
      </c>
      <c r="AW5" s="254">
        <v>34</v>
      </c>
      <c r="AX5" s="254">
        <v>35</v>
      </c>
      <c r="AY5" s="254">
        <v>36</v>
      </c>
      <c r="AZ5" s="254">
        <v>37</v>
      </c>
      <c r="BA5" s="254">
        <v>38</v>
      </c>
      <c r="BB5" s="254">
        <v>39</v>
      </c>
      <c r="BC5" s="254">
        <v>40</v>
      </c>
      <c r="BD5" s="254">
        <v>41</v>
      </c>
      <c r="BE5" s="284">
        <v>42</v>
      </c>
      <c r="BF5" s="254">
        <v>43</v>
      </c>
      <c r="BG5" s="254">
        <v>44</v>
      </c>
      <c r="BH5" s="254">
        <v>45</v>
      </c>
      <c r="BI5" s="254">
        <v>46</v>
      </c>
      <c r="BJ5" s="254">
        <v>47</v>
      </c>
      <c r="BK5" s="254"/>
      <c r="BL5" s="254"/>
      <c r="BM5" s="254"/>
      <c r="BN5" s="282">
        <v>48</v>
      </c>
      <c r="BO5" s="254">
        <v>49</v>
      </c>
      <c r="BP5" s="254">
        <v>50</v>
      </c>
      <c r="BQ5" s="254">
        <v>51</v>
      </c>
      <c r="BR5" s="371"/>
      <c r="BS5" s="318"/>
      <c r="BT5" s="322"/>
      <c r="BU5" s="318"/>
      <c r="BV5" s="322"/>
      <c r="BW5" s="318"/>
      <c r="BX5" s="335"/>
      <c r="BY5" s="335"/>
    </row>
    <row r="6" spans="1:77" ht="13.15" hidden="1" customHeight="1" outlineLevel="1" x14ac:dyDescent="0.2">
      <c r="A6" s="50">
        <v>1</v>
      </c>
      <c r="B6" s="51">
        <v>1</v>
      </c>
      <c r="C6" s="51">
        <v>1</v>
      </c>
      <c r="D6" s="18" t="s">
        <v>661</v>
      </c>
      <c r="E6" s="18">
        <v>16</v>
      </c>
      <c r="F6" s="18">
        <v>4</v>
      </c>
      <c r="G6" s="52">
        <v>2</v>
      </c>
      <c r="H6" s="237">
        <v>2</v>
      </c>
      <c r="I6" s="53">
        <v>1958</v>
      </c>
      <c r="J6" s="348">
        <v>5</v>
      </c>
      <c r="K6" s="346">
        <f>J6+L6</f>
        <v>6</v>
      </c>
      <c r="L6" s="341">
        <v>1</v>
      </c>
      <c r="M6" s="348">
        <v>6</v>
      </c>
      <c r="N6" s="255">
        <f t="shared" ref="N6:N69" si="0">O6-P6-X6-Q6</f>
        <v>0</v>
      </c>
      <c r="O6" s="309">
        <v>69</v>
      </c>
      <c r="P6" s="54">
        <v>13</v>
      </c>
      <c r="Q6" s="330">
        <v>1</v>
      </c>
      <c r="R6" s="54">
        <v>10</v>
      </c>
      <c r="S6" s="54">
        <v>28</v>
      </c>
      <c r="T6" s="54">
        <v>30</v>
      </c>
      <c r="U6" s="54">
        <v>1</v>
      </c>
      <c r="V6" s="54">
        <v>0</v>
      </c>
      <c r="W6" s="54">
        <v>0</v>
      </c>
      <c r="X6" s="55">
        <f>SUMIFS(Таблица3[Кол-во квартир],Таблица3[Адрес МКД],$D6)</f>
        <v>55</v>
      </c>
      <c r="Y6" s="56">
        <f>Z6+AB6+AG6+AM6</f>
        <v>6169.4999999999991</v>
      </c>
      <c r="Z6" s="253">
        <f>SUMIFS(Таблица3[Площадь жилая],Таблица3[Адрес МКД],$D6)</f>
        <v>3439.1</v>
      </c>
      <c r="AA6" s="261">
        <f>SUMIFS(Таблица3[Площадь нежилых помещений],Таблица3[Адрес МКД],$D6)</f>
        <v>932.7</v>
      </c>
      <c r="AB6" s="252">
        <f>SUMIFS(Таблица1[1],Таблица1[2],$D6)</f>
        <v>1090.6999999999998</v>
      </c>
      <c r="AC6" s="57">
        <f>AE6+AK6+AO6+AS6+AW6</f>
        <v>932.69999999999993</v>
      </c>
      <c r="AD6" s="57">
        <f>AF6+AL6+AP6+AT6+AX6</f>
        <v>158</v>
      </c>
      <c r="AE6" s="58">
        <f>SUMIFS(Таблица1[8],Таблица1[2],$D6)+SUMIFS(Таблица1[18],Таблица1[2],$D6)</f>
        <v>835.59999999999991</v>
      </c>
      <c r="AF6" s="58">
        <f>SUMIFS(Таблица1[9],Таблица1[2],$D6)+SUMIFS(Таблица1[19],Таблица1[2],$D6)</f>
        <v>11.5</v>
      </c>
      <c r="AG6" s="59">
        <f>AJ6+AR6+AV6+AZ6</f>
        <v>1639.7</v>
      </c>
      <c r="AH6" s="59">
        <f>AJ6+AL6+AR6+AT6+AV6+AX6</f>
        <v>1786.2</v>
      </c>
      <c r="AI6" s="60">
        <f>335-AM6</f>
        <v>335</v>
      </c>
      <c r="AJ6" s="60">
        <f t="shared" ref="AJ6:AJ68" si="1">AI6-AK6-AL6</f>
        <v>107.9</v>
      </c>
      <c r="AK6" s="60">
        <f>SUMIFS(Таблица1[10],Таблица1[2],$D6)</f>
        <v>97.1</v>
      </c>
      <c r="AL6" s="60">
        <f>SUMIFS(Таблица1[11],Таблица1[2],$D6)</f>
        <v>130</v>
      </c>
      <c r="AM6" s="251">
        <v>0</v>
      </c>
      <c r="AN6" s="249">
        <f t="shared" ref="AN6:AN68" si="2">AM6-AO6-AP6</f>
        <v>0</v>
      </c>
      <c r="AO6" s="249">
        <f>SUMIFS(Таблица1[12],Таблица1[2],$D6)</f>
        <v>0</v>
      </c>
      <c r="AP6" s="249">
        <f>SUMIFS(Таблица1[13],Таблица1[2],$D6)</f>
        <v>0</v>
      </c>
      <c r="AQ6" s="61">
        <f>465.6</f>
        <v>465.6</v>
      </c>
      <c r="AR6" s="61">
        <f t="shared" ref="AR6:AR68" si="3">AQ6-AS6-AT6</f>
        <v>449.1</v>
      </c>
      <c r="AS6" s="60">
        <f>SUMIFS(Таблица1[14],Таблица1[2],$D6)</f>
        <v>0</v>
      </c>
      <c r="AT6" s="60">
        <f>SUMIFS(Таблица1[15],Таблица1[2],$D6)</f>
        <v>16.5</v>
      </c>
      <c r="AU6" s="61">
        <v>1082.7</v>
      </c>
      <c r="AV6" s="61">
        <f t="shared" ref="AV6:AV68" si="4">AU6-AW6-AX6</f>
        <v>1082.7</v>
      </c>
      <c r="AW6" s="60">
        <f>SUMIFS(Таблица1[16],Таблица1[2],$D6)</f>
        <v>0</v>
      </c>
      <c r="AX6" s="60">
        <f>SUMIFS(Таблица1[17],Таблица1[2],$D6)</f>
        <v>0</v>
      </c>
      <c r="AY6" s="263"/>
      <c r="AZ6" s="264"/>
      <c r="BA6" s="296">
        <v>0</v>
      </c>
      <c r="BB6" s="296">
        <f>BA6-BC6-BD6</f>
        <v>0</v>
      </c>
      <c r="BC6" s="296">
        <v>0</v>
      </c>
      <c r="BD6" s="296">
        <v>0</v>
      </c>
      <c r="BE6" s="285"/>
      <c r="BF6" s="259">
        <v>3475</v>
      </c>
      <c r="BG6" s="260">
        <v>19553</v>
      </c>
      <c r="BH6" s="62" t="s">
        <v>936</v>
      </c>
      <c r="BI6" s="62" t="s">
        <v>935</v>
      </c>
      <c r="BJ6" s="62" t="s">
        <v>1017</v>
      </c>
      <c r="BK6" s="267"/>
      <c r="BL6" s="267"/>
      <c r="BM6" s="267" t="s">
        <v>1649</v>
      </c>
      <c r="BN6" s="268"/>
      <c r="BO6" s="62">
        <v>42</v>
      </c>
      <c r="BP6" s="63">
        <v>45091</v>
      </c>
      <c r="BQ6" s="64" t="s">
        <v>1131</v>
      </c>
      <c r="BR6" s="372" t="s">
        <v>2747</v>
      </c>
      <c r="BS6" s="62"/>
      <c r="BT6" s="323"/>
      <c r="BU6" s="62"/>
      <c r="BV6" s="323"/>
      <c r="BW6" s="62"/>
      <c r="BX6" s="336">
        <v>50</v>
      </c>
      <c r="BY6" s="336"/>
    </row>
    <row r="7" spans="1:77" ht="13.15" customHeight="1" outlineLevel="1" x14ac:dyDescent="0.2">
      <c r="A7" s="50">
        <f>A6+1</f>
        <v>2</v>
      </c>
      <c r="B7" s="51">
        <v>1</v>
      </c>
      <c r="C7" s="51">
        <v>2</v>
      </c>
      <c r="D7" s="18" t="s">
        <v>553</v>
      </c>
      <c r="E7" s="18">
        <v>12</v>
      </c>
      <c r="F7" s="18">
        <v>4</v>
      </c>
      <c r="G7" s="52">
        <v>2</v>
      </c>
      <c r="H7" s="237">
        <v>2</v>
      </c>
      <c r="I7" s="53">
        <v>1959</v>
      </c>
      <c r="J7" s="348">
        <v>5</v>
      </c>
      <c r="K7" s="346">
        <f t="shared" ref="K7:K70" si="5">J7+L7</f>
        <v>6</v>
      </c>
      <c r="L7" s="346">
        <v>1</v>
      </c>
      <c r="M7" s="348">
        <v>6</v>
      </c>
      <c r="N7" s="255">
        <f t="shared" si="0"/>
        <v>0</v>
      </c>
      <c r="O7" s="309">
        <v>69</v>
      </c>
      <c r="P7" s="54">
        <v>13</v>
      </c>
      <c r="Q7" s="54"/>
      <c r="R7" s="54">
        <v>10</v>
      </c>
      <c r="S7" s="54">
        <v>28</v>
      </c>
      <c r="T7" s="54">
        <v>30</v>
      </c>
      <c r="U7" s="54">
        <v>1</v>
      </c>
      <c r="V7" s="54">
        <v>0</v>
      </c>
      <c r="W7" s="54">
        <v>0</v>
      </c>
      <c r="X7" s="55">
        <f>SUMIFS(Таблица3[Кол-во квартир],Таблица3[Адрес МКД],$D7)</f>
        <v>56</v>
      </c>
      <c r="Y7" s="56">
        <f t="shared" ref="Y7:Y16" si="6">Z7+AB7+AG7+AM7</f>
        <v>6623.53</v>
      </c>
      <c r="Z7" s="253">
        <f>SUMIFS(Таблица3[Площадь жилая],Таблица3[Адрес МКД],$D7)</f>
        <v>3374</v>
      </c>
      <c r="AA7" s="261">
        <f>SUMIFS(Таблица3[Площадь нежилых помещений],Таблица3[Адрес МКД],$D7)</f>
        <v>1082.9000000000001</v>
      </c>
      <c r="AB7" s="252">
        <f>SUMIFS(Таблица1[1],Таблица1[2],$D7)</f>
        <v>1082.9000000000001</v>
      </c>
      <c r="AC7" s="57">
        <f t="shared" ref="AC7:AC69" si="7">AE7+AK7+AO7+AS7+AW7</f>
        <v>1082.8999999999999</v>
      </c>
      <c r="AD7" s="57">
        <f t="shared" ref="AD7:AD69" si="8">AF7+AL7+AP7+AT7+AX7</f>
        <v>0</v>
      </c>
      <c r="AE7" s="58">
        <f>SUMIFS(Таблица1[8],Таблица1[2],$D7)+SUMIFS(Таблица1[18],Таблица1[2],$D7)</f>
        <v>830.59999999999991</v>
      </c>
      <c r="AF7" s="58">
        <f>SUMIFS(Таблица1[9],Таблица1[2],$D7)+SUMIFS(Таблица1[19],Таблица1[2],$D7)</f>
        <v>0</v>
      </c>
      <c r="AG7" s="59">
        <f t="shared" ref="AG7:AG69" si="9">AJ7+AR7+AV7+AZ7</f>
        <v>2166.63</v>
      </c>
      <c r="AH7" s="59">
        <f>AJ7+AL7+AR7+AT7+AV7+AX7</f>
        <v>2166.63</v>
      </c>
      <c r="AI7" s="60">
        <f>795.4-AM7</f>
        <v>795.4</v>
      </c>
      <c r="AJ7" s="60">
        <f t="shared" si="1"/>
        <v>543.09999999999991</v>
      </c>
      <c r="AK7" s="60">
        <f>SUMIFS(Таблица1[10],Таблица1[2],$D7)</f>
        <v>252.3</v>
      </c>
      <c r="AL7" s="60">
        <f>SUMIFS(Таблица1[11],Таблица1[2],$D7)</f>
        <v>0</v>
      </c>
      <c r="AM7" s="251">
        <v>0</v>
      </c>
      <c r="AN7" s="249">
        <f t="shared" si="2"/>
        <v>0</v>
      </c>
      <c r="AO7" s="249">
        <f>SUMIFS(Таблица1[12],Таблица1[2],$D7)</f>
        <v>0</v>
      </c>
      <c r="AP7" s="249">
        <f>SUMIFS(Таблица1[13],Таблица1[2],$D7)</f>
        <v>0</v>
      </c>
      <c r="AQ7" s="61">
        <f>542.3</f>
        <v>542.29999999999995</v>
      </c>
      <c r="AR7" s="61">
        <f t="shared" si="3"/>
        <v>542.29999999999995</v>
      </c>
      <c r="AS7" s="60">
        <f>SUMIFS(Таблица1[14],Таблица1[2],$D7)</f>
        <v>0</v>
      </c>
      <c r="AT7" s="60">
        <f>SUMIFS(Таблица1[15],Таблица1[2],$D7)</f>
        <v>0</v>
      </c>
      <c r="AU7" s="61">
        <v>1081.23</v>
      </c>
      <c r="AV7" s="61">
        <f t="shared" si="4"/>
        <v>1081.23</v>
      </c>
      <c r="AW7" s="60">
        <f>SUMIFS(Таблица1[16],Таблица1[2],$D7)</f>
        <v>0</v>
      </c>
      <c r="AX7" s="60">
        <f>SUMIFS(Таблица1[17],Таблица1[2],$D7)</f>
        <v>0</v>
      </c>
      <c r="AY7" s="263"/>
      <c r="AZ7" s="264"/>
      <c r="BA7" s="296">
        <v>0</v>
      </c>
      <c r="BB7" s="296">
        <f t="shared" ref="BB7:BB19" si="10">BA7-BC7-BD7</f>
        <v>0</v>
      </c>
      <c r="BC7" s="296">
        <v>0</v>
      </c>
      <c r="BD7" s="296">
        <v>0</v>
      </c>
      <c r="BE7" s="285"/>
      <c r="BF7" s="259">
        <v>3347</v>
      </c>
      <c r="BG7" s="260">
        <v>19808</v>
      </c>
      <c r="BH7" s="62" t="s">
        <v>936</v>
      </c>
      <c r="BI7" s="62" t="s">
        <v>935</v>
      </c>
      <c r="BJ7" s="62"/>
      <c r="BK7" s="267"/>
      <c r="BL7" s="267"/>
      <c r="BM7" s="267" t="s">
        <v>1649</v>
      </c>
      <c r="BN7" s="268"/>
      <c r="BO7" s="62">
        <v>18</v>
      </c>
      <c r="BP7" s="63">
        <v>28566</v>
      </c>
      <c r="BQ7" s="64" t="s">
        <v>1131</v>
      </c>
      <c r="BR7" s="372" t="s">
        <v>2747</v>
      </c>
      <c r="BS7" s="62"/>
      <c r="BT7" s="323"/>
      <c r="BU7" s="62"/>
      <c r="BV7" s="323"/>
      <c r="BW7" s="62"/>
      <c r="BX7" s="336">
        <v>47</v>
      </c>
      <c r="BY7" s="336"/>
    </row>
    <row r="8" spans="1:77" ht="13.15" customHeight="1" outlineLevel="1" x14ac:dyDescent="0.2">
      <c r="A8" s="50">
        <f t="shared" ref="A8:A71" si="11">A7+1</f>
        <v>3</v>
      </c>
      <c r="B8" s="51">
        <v>2</v>
      </c>
      <c r="C8" s="51">
        <v>3</v>
      </c>
      <c r="D8" s="18" t="s">
        <v>554</v>
      </c>
      <c r="E8" s="18">
        <v>12</v>
      </c>
      <c r="F8" s="18">
        <v>4</v>
      </c>
      <c r="G8" s="52">
        <v>1</v>
      </c>
      <c r="H8" s="237">
        <v>1</v>
      </c>
      <c r="I8" s="53">
        <v>1960</v>
      </c>
      <c r="J8" s="348">
        <v>5</v>
      </c>
      <c r="K8" s="346">
        <f t="shared" si="5"/>
        <v>6</v>
      </c>
      <c r="L8" s="346">
        <v>1</v>
      </c>
      <c r="M8" s="348">
        <v>3</v>
      </c>
      <c r="N8" s="255">
        <f t="shared" si="0"/>
        <v>0</v>
      </c>
      <c r="O8" s="309">
        <v>60</v>
      </c>
      <c r="P8" s="54">
        <v>10</v>
      </c>
      <c r="Q8" s="54"/>
      <c r="R8" s="54">
        <v>25</v>
      </c>
      <c r="S8" s="54">
        <v>15</v>
      </c>
      <c r="T8" s="54">
        <v>20</v>
      </c>
      <c r="U8" s="54">
        <v>0</v>
      </c>
      <c r="V8" s="54">
        <v>0</v>
      </c>
      <c r="W8" s="54">
        <v>0</v>
      </c>
      <c r="X8" s="55">
        <f>SUMIFS(Таблица3[Кол-во квартир],Таблица3[Адрес МКД],$D8)</f>
        <v>50</v>
      </c>
      <c r="Y8" s="56">
        <f t="shared" si="6"/>
        <v>3824.51</v>
      </c>
      <c r="Z8" s="253">
        <f>SUMIFS(Таблица3[Площадь жилая],Таблица3[Адрес МКД],$D8)</f>
        <v>2102.8000000000002</v>
      </c>
      <c r="AA8" s="261">
        <f>SUMIFS(Таблица3[Площадь нежилых помещений],Таблица3[Адрес МКД],$D8)</f>
        <v>384.7</v>
      </c>
      <c r="AB8" s="252">
        <f>SUMIFS(Таблица1[1],Таблица1[2],$D8)</f>
        <v>447.9</v>
      </c>
      <c r="AC8" s="57">
        <f t="shared" si="7"/>
        <v>447.9</v>
      </c>
      <c r="AD8" s="57">
        <f t="shared" si="8"/>
        <v>0</v>
      </c>
      <c r="AE8" s="58">
        <f>SUMIFS(Таблица1[8],Таблица1[2],$D8)+SUMIFS(Таблица1[18],Таблица1[2],$D8)</f>
        <v>384.7</v>
      </c>
      <c r="AF8" s="58">
        <f>SUMIFS(Таблица1[9],Таблица1[2],$D8)+SUMIFS(Таблица1[19],Таблица1[2],$D8)</f>
        <v>0</v>
      </c>
      <c r="AG8" s="59">
        <f t="shared" si="9"/>
        <v>1273.81</v>
      </c>
      <c r="AH8" s="59">
        <f t="shared" ref="AH8:AH68" si="12">AJ8+AL8+AR8+AT8+AV8+AX8</f>
        <v>1273.81</v>
      </c>
      <c r="AI8" s="60">
        <f>519.9-AM8</f>
        <v>519.9</v>
      </c>
      <c r="AJ8" s="60">
        <f t="shared" si="1"/>
        <v>456.7</v>
      </c>
      <c r="AK8" s="60">
        <f>SUMIFS(Таблица1[10],Таблица1[2],$D8)</f>
        <v>63.2</v>
      </c>
      <c r="AL8" s="60">
        <f>SUMIFS(Таблица1[11],Таблица1[2],$D8)</f>
        <v>0</v>
      </c>
      <c r="AM8" s="251">
        <v>0</v>
      </c>
      <c r="AN8" s="249">
        <f t="shared" si="2"/>
        <v>0</v>
      </c>
      <c r="AO8" s="249">
        <f>SUMIFS(Таблица1[12],Таблица1[2],$D8)</f>
        <v>0</v>
      </c>
      <c r="AP8" s="249">
        <f>SUMIFS(Таблица1[13],Таблица1[2],$D8)</f>
        <v>0</v>
      </c>
      <c r="AQ8" s="61">
        <f>218.4</f>
        <v>218.4</v>
      </c>
      <c r="AR8" s="61">
        <f t="shared" si="3"/>
        <v>218.4</v>
      </c>
      <c r="AS8" s="60">
        <f>SUMIFS(Таблица1[14],Таблица1[2],$D8)</f>
        <v>0</v>
      </c>
      <c r="AT8" s="60">
        <f>SUMIFS(Таблица1[15],Таблица1[2],$D8)</f>
        <v>0</v>
      </c>
      <c r="AU8" s="61">
        <v>598.71</v>
      </c>
      <c r="AV8" s="61">
        <f t="shared" si="4"/>
        <v>598.71</v>
      </c>
      <c r="AW8" s="60">
        <f>SUMIFS(Таблица1[16],Таблица1[2],$D8)</f>
        <v>0</v>
      </c>
      <c r="AX8" s="60">
        <f>SUMIFS(Таблица1[17],Таблица1[2],$D8)</f>
        <v>0</v>
      </c>
      <c r="AY8" s="263">
        <f>Нежилые!G41</f>
        <v>63.2</v>
      </c>
      <c r="AZ8" s="264"/>
      <c r="BA8" s="296">
        <v>0</v>
      </c>
      <c r="BB8" s="296">
        <f t="shared" si="10"/>
        <v>0</v>
      </c>
      <c r="BC8" s="296">
        <v>0</v>
      </c>
      <c r="BD8" s="296">
        <v>0</v>
      </c>
      <c r="BE8" s="285"/>
      <c r="BF8" s="259">
        <v>1644</v>
      </c>
      <c r="BG8" s="260">
        <v>9487</v>
      </c>
      <c r="BH8" s="62" t="s">
        <v>936</v>
      </c>
      <c r="BI8" s="62" t="s">
        <v>935</v>
      </c>
      <c r="BJ8" s="62"/>
      <c r="BK8" s="267"/>
      <c r="BL8" s="267" t="s">
        <v>1649</v>
      </c>
      <c r="BM8" s="267"/>
      <c r="BN8" s="268"/>
      <c r="BO8" s="62">
        <v>31</v>
      </c>
      <c r="BP8" s="63">
        <v>32050</v>
      </c>
      <c r="BQ8" s="64" t="s">
        <v>1133</v>
      </c>
      <c r="BR8" s="372" t="s">
        <v>2747</v>
      </c>
      <c r="BS8" s="62"/>
      <c r="BT8" s="323"/>
      <c r="BU8" s="62"/>
      <c r="BV8" s="323"/>
      <c r="BW8" s="62"/>
      <c r="BX8" s="336">
        <v>45</v>
      </c>
      <c r="BY8" s="336"/>
    </row>
    <row r="9" spans="1:77" ht="13.15" customHeight="1" outlineLevel="1" x14ac:dyDescent="0.2">
      <c r="A9" s="50">
        <f t="shared" si="11"/>
        <v>4</v>
      </c>
      <c r="B9" s="51">
        <v>3</v>
      </c>
      <c r="C9" s="51">
        <v>4</v>
      </c>
      <c r="D9" s="18" t="s">
        <v>555</v>
      </c>
      <c r="E9" s="18">
        <v>12</v>
      </c>
      <c r="F9" s="18">
        <v>4</v>
      </c>
      <c r="G9" s="52">
        <v>1</v>
      </c>
      <c r="H9" s="237">
        <v>1</v>
      </c>
      <c r="I9" s="53">
        <v>1960</v>
      </c>
      <c r="J9" s="348">
        <v>5</v>
      </c>
      <c r="K9" s="346">
        <f t="shared" si="5"/>
        <v>6</v>
      </c>
      <c r="L9" s="346">
        <v>1</v>
      </c>
      <c r="M9" s="348">
        <v>3</v>
      </c>
      <c r="N9" s="255">
        <f t="shared" si="0"/>
        <v>0</v>
      </c>
      <c r="O9" s="309">
        <v>60</v>
      </c>
      <c r="P9" s="54">
        <v>2</v>
      </c>
      <c r="Q9" s="54"/>
      <c r="R9" s="54">
        <v>10</v>
      </c>
      <c r="S9" s="54">
        <v>45</v>
      </c>
      <c r="T9" s="54">
        <v>5</v>
      </c>
      <c r="U9" s="54">
        <v>0</v>
      </c>
      <c r="V9" s="54">
        <v>0</v>
      </c>
      <c r="W9" s="54">
        <v>0</v>
      </c>
      <c r="X9" s="55">
        <f>SUMIFS(Таблица3[Кол-во квартир],Таблица3[Адрес МКД],$D9)</f>
        <v>58</v>
      </c>
      <c r="Y9" s="56">
        <f t="shared" si="6"/>
        <v>3879.9</v>
      </c>
      <c r="Z9" s="253">
        <f>SUMIFS(Таблица3[Площадь жилая],Таблица3[Адрес МКД],$D9)</f>
        <v>2455.1</v>
      </c>
      <c r="AA9" s="261">
        <f>SUMIFS(Таблица3[Площадь нежилых помещений],Таблица3[Адрес МКД],$D9)</f>
        <v>78.900000000000006</v>
      </c>
      <c r="AB9" s="252">
        <f>SUMIFS(Таблица1[1],Таблица1[2],$D9)</f>
        <v>78.900000000000006</v>
      </c>
      <c r="AC9" s="57">
        <f t="shared" si="7"/>
        <v>78.900000000000006</v>
      </c>
      <c r="AD9" s="57">
        <f t="shared" si="8"/>
        <v>0</v>
      </c>
      <c r="AE9" s="58">
        <f>SUMIFS(Таблица1[8],Таблица1[2],$D9)+SUMIFS(Таблица1[18],Таблица1[2],$D9)</f>
        <v>78.900000000000006</v>
      </c>
      <c r="AF9" s="58">
        <f>SUMIFS(Таблица1[9],Таблица1[2],$D9)+SUMIFS(Таблица1[19],Таблица1[2],$D9)</f>
        <v>0</v>
      </c>
      <c r="AG9" s="59">
        <f t="shared" si="9"/>
        <v>1345.9</v>
      </c>
      <c r="AH9" s="59">
        <f t="shared" si="12"/>
        <v>1345.9</v>
      </c>
      <c r="AI9" s="60">
        <f>519.9-AM9</f>
        <v>519.9</v>
      </c>
      <c r="AJ9" s="60">
        <f t="shared" si="1"/>
        <v>519.9</v>
      </c>
      <c r="AK9" s="60">
        <f>SUMIFS(Таблица1[10],Таблица1[2],$D9)</f>
        <v>0</v>
      </c>
      <c r="AL9" s="60">
        <f>SUMIFS(Таблица1[11],Таблица1[2],$D9)</f>
        <v>0</v>
      </c>
      <c r="AM9" s="251">
        <v>0</v>
      </c>
      <c r="AN9" s="249">
        <f t="shared" si="2"/>
        <v>0</v>
      </c>
      <c r="AO9" s="249">
        <f>SUMIFS(Таблица1[12],Таблица1[2],$D9)</f>
        <v>0</v>
      </c>
      <c r="AP9" s="249">
        <f>SUMIFS(Таблица1[13],Таблица1[2],$D9)</f>
        <v>0</v>
      </c>
      <c r="AQ9" s="61">
        <f>218.8</f>
        <v>218.8</v>
      </c>
      <c r="AR9" s="61">
        <f t="shared" si="3"/>
        <v>218.8</v>
      </c>
      <c r="AS9" s="60">
        <f>SUMIFS(Таблица1[14],Таблица1[2],$D9)</f>
        <v>0</v>
      </c>
      <c r="AT9" s="60">
        <f>SUMIFS(Таблица1[15],Таблица1[2],$D9)</f>
        <v>0</v>
      </c>
      <c r="AU9" s="61">
        <v>607.20000000000005</v>
      </c>
      <c r="AV9" s="61">
        <f t="shared" si="4"/>
        <v>607.20000000000005</v>
      </c>
      <c r="AW9" s="60">
        <f>SUMIFS(Таблица1[16],Таблица1[2],$D9)</f>
        <v>0</v>
      </c>
      <c r="AX9" s="60">
        <f>SUMIFS(Таблица1[17],Таблица1[2],$D9)</f>
        <v>0</v>
      </c>
      <c r="AY9" s="263"/>
      <c r="AZ9" s="264"/>
      <c r="BA9" s="296">
        <v>0</v>
      </c>
      <c r="BB9" s="296">
        <f t="shared" si="10"/>
        <v>0</v>
      </c>
      <c r="BC9" s="296">
        <v>0</v>
      </c>
      <c r="BD9" s="296">
        <v>0</v>
      </c>
      <c r="BE9" s="285"/>
      <c r="BF9" s="259">
        <v>1557</v>
      </c>
      <c r="BG9" s="260">
        <v>9532</v>
      </c>
      <c r="BH9" s="62" t="s">
        <v>936</v>
      </c>
      <c r="BI9" s="62" t="s">
        <v>935</v>
      </c>
      <c r="BJ9" s="62"/>
      <c r="BK9" s="267"/>
      <c r="BL9" s="267" t="s">
        <v>1649</v>
      </c>
      <c r="BM9" s="267"/>
      <c r="BN9" s="268"/>
      <c r="BO9" s="62">
        <v>31</v>
      </c>
      <c r="BP9" s="63">
        <v>32080</v>
      </c>
      <c r="BQ9" s="64" t="s">
        <v>1133</v>
      </c>
      <c r="BR9" s="372" t="s">
        <v>2747</v>
      </c>
      <c r="BS9" s="62"/>
      <c r="BT9" s="323"/>
      <c r="BU9" s="62"/>
      <c r="BV9" s="323"/>
      <c r="BW9" s="62"/>
      <c r="BX9" s="336">
        <v>42</v>
      </c>
      <c r="BY9" s="336"/>
    </row>
    <row r="10" spans="1:77" ht="13.15" customHeight="1" outlineLevel="1" x14ac:dyDescent="0.2">
      <c r="A10" s="50">
        <f t="shared" si="11"/>
        <v>5</v>
      </c>
      <c r="B10" s="51">
        <v>4</v>
      </c>
      <c r="C10" s="51">
        <v>5</v>
      </c>
      <c r="D10" s="18" t="s">
        <v>556</v>
      </c>
      <c r="E10" s="18">
        <v>12</v>
      </c>
      <c r="F10" s="18">
        <v>4</v>
      </c>
      <c r="G10" s="52">
        <v>1</v>
      </c>
      <c r="H10" s="237">
        <v>1</v>
      </c>
      <c r="I10" s="53">
        <v>1960</v>
      </c>
      <c r="J10" s="348">
        <v>5</v>
      </c>
      <c r="K10" s="346">
        <f t="shared" si="5"/>
        <v>6</v>
      </c>
      <c r="L10" s="346">
        <v>1</v>
      </c>
      <c r="M10" s="348">
        <v>4</v>
      </c>
      <c r="N10" s="255">
        <f t="shared" si="0"/>
        <v>0</v>
      </c>
      <c r="O10" s="309">
        <v>78</v>
      </c>
      <c r="P10" s="54">
        <v>8</v>
      </c>
      <c r="Q10" s="54"/>
      <c r="R10" s="54">
        <v>39</v>
      </c>
      <c r="S10" s="54">
        <v>19</v>
      </c>
      <c r="T10" s="54">
        <v>20</v>
      </c>
      <c r="U10" s="54">
        <v>0</v>
      </c>
      <c r="V10" s="54">
        <v>0</v>
      </c>
      <c r="W10" s="54">
        <v>0</v>
      </c>
      <c r="X10" s="55">
        <f>SUMIFS(Таблица3[Кол-во квартир],Таблица3[Адрес МКД],$D10)</f>
        <v>70</v>
      </c>
      <c r="Y10" s="56">
        <f t="shared" si="6"/>
        <v>4875.78</v>
      </c>
      <c r="Z10" s="253">
        <f>SUMIFS(Таблица3[Площадь жилая],Таблица3[Адрес МКД],$D10)</f>
        <v>2821.2</v>
      </c>
      <c r="AA10" s="261">
        <f>SUMIFS(Таблица3[Площадь нежилых помещений],Таблица3[Адрес МКД],$D10)</f>
        <v>403.7</v>
      </c>
      <c r="AB10" s="252">
        <f>SUMIFS(Таблица1[1],Таблица1[2],$D10)</f>
        <v>403.70000000000005</v>
      </c>
      <c r="AC10" s="57">
        <f t="shared" si="7"/>
        <v>403.70000000000005</v>
      </c>
      <c r="AD10" s="57">
        <f t="shared" si="8"/>
        <v>0</v>
      </c>
      <c r="AE10" s="58">
        <f>SUMIFS(Таблица1[8],Таблица1[2],$D10)+SUMIFS(Таблица1[18],Таблица1[2],$D10)</f>
        <v>340.90000000000003</v>
      </c>
      <c r="AF10" s="58">
        <f>SUMIFS(Таблица1[9],Таблица1[2],$D10)+SUMIFS(Таблица1[19],Таблица1[2],$D10)</f>
        <v>0</v>
      </c>
      <c r="AG10" s="59">
        <f t="shared" si="9"/>
        <v>1650.88</v>
      </c>
      <c r="AH10" s="59">
        <f t="shared" si="12"/>
        <v>1650.88</v>
      </c>
      <c r="AI10" s="60">
        <f>658.2-AM10</f>
        <v>658.2</v>
      </c>
      <c r="AJ10" s="60">
        <f>AI10-AK10-AL10</f>
        <v>595.40000000000009</v>
      </c>
      <c r="AK10" s="60">
        <f>SUMIFS(Таблица1[10],Таблица1[2],$D10)</f>
        <v>62.8</v>
      </c>
      <c r="AL10" s="60">
        <f>SUMIFS(Таблица1[11],Таблица1[2],$D10)</f>
        <v>0</v>
      </c>
      <c r="AM10" s="251">
        <v>0</v>
      </c>
      <c r="AN10" s="249">
        <f t="shared" si="2"/>
        <v>0</v>
      </c>
      <c r="AO10" s="249">
        <f>SUMIFS(Таблица1[12],Таблица1[2],$D10)</f>
        <v>0</v>
      </c>
      <c r="AP10" s="249">
        <f>SUMIFS(Таблица1[13],Таблица1[2],$D10)</f>
        <v>0</v>
      </c>
      <c r="AQ10" s="61">
        <f>285.4</f>
        <v>285.39999999999998</v>
      </c>
      <c r="AR10" s="61">
        <f t="shared" si="3"/>
        <v>285.39999999999998</v>
      </c>
      <c r="AS10" s="60">
        <f>SUMIFS(Таблица1[14],Таблица1[2],$D10)</f>
        <v>0</v>
      </c>
      <c r="AT10" s="60">
        <f>SUMIFS(Таблица1[15],Таблица1[2],$D10)</f>
        <v>0</v>
      </c>
      <c r="AU10" s="61">
        <v>770.08</v>
      </c>
      <c r="AV10" s="61">
        <f t="shared" si="4"/>
        <v>770.08</v>
      </c>
      <c r="AW10" s="60">
        <f>SUMIFS(Таблица1[16],Таблица1[2],$D10)</f>
        <v>0</v>
      </c>
      <c r="AX10" s="60">
        <f>SUMIFS(Таблица1[17],Таблица1[2],$D10)</f>
        <v>0</v>
      </c>
      <c r="AY10" s="263">
        <f>Нежилые!G52</f>
        <v>62.8</v>
      </c>
      <c r="AZ10" s="264"/>
      <c r="BA10" s="296">
        <v>0</v>
      </c>
      <c r="BB10" s="296">
        <f t="shared" si="10"/>
        <v>0</v>
      </c>
      <c r="BC10" s="296">
        <v>0</v>
      </c>
      <c r="BD10" s="296">
        <v>0</v>
      </c>
      <c r="BE10" s="285"/>
      <c r="BF10" s="259">
        <v>2140</v>
      </c>
      <c r="BG10" s="260">
        <v>12086</v>
      </c>
      <c r="BH10" s="62" t="s">
        <v>939</v>
      </c>
      <c r="BI10" s="62" t="s">
        <v>935</v>
      </c>
      <c r="BJ10" s="62"/>
      <c r="BK10" s="267"/>
      <c r="BL10" s="267" t="s">
        <v>1649</v>
      </c>
      <c r="BM10" s="267"/>
      <c r="BN10" s="268"/>
      <c r="BO10" s="62">
        <v>30</v>
      </c>
      <c r="BP10" s="63">
        <v>32050</v>
      </c>
      <c r="BQ10" s="64" t="s">
        <v>1133</v>
      </c>
      <c r="BR10" s="372" t="s">
        <v>2747</v>
      </c>
      <c r="BS10" s="62"/>
      <c r="BT10" s="323"/>
      <c r="BU10" s="62"/>
      <c r="BV10" s="323"/>
      <c r="BW10" s="62"/>
      <c r="BX10" s="336">
        <v>51</v>
      </c>
      <c r="BY10" s="336"/>
    </row>
    <row r="11" spans="1:77" ht="13.15" customHeight="1" outlineLevel="1" x14ac:dyDescent="0.2">
      <c r="A11" s="50">
        <f t="shared" si="11"/>
        <v>6</v>
      </c>
      <c r="B11" s="51">
        <v>5</v>
      </c>
      <c r="C11" s="51">
        <v>6</v>
      </c>
      <c r="D11" s="18" t="s">
        <v>557</v>
      </c>
      <c r="E11" s="18">
        <v>12</v>
      </c>
      <c r="F11" s="18">
        <v>4</v>
      </c>
      <c r="G11" s="52">
        <v>1</v>
      </c>
      <c r="H11" s="237">
        <v>1</v>
      </c>
      <c r="I11" s="53">
        <v>1969</v>
      </c>
      <c r="J11" s="348">
        <v>5</v>
      </c>
      <c r="K11" s="346">
        <f t="shared" si="5"/>
        <v>6</v>
      </c>
      <c r="L11" s="346">
        <v>1</v>
      </c>
      <c r="M11" s="348">
        <v>3</v>
      </c>
      <c r="N11" s="255">
        <f t="shared" si="0"/>
        <v>0</v>
      </c>
      <c r="O11" s="309">
        <v>45</v>
      </c>
      <c r="P11" s="54">
        <v>0</v>
      </c>
      <c r="Q11" s="54"/>
      <c r="R11" s="54">
        <v>5</v>
      </c>
      <c r="S11" s="54">
        <v>35</v>
      </c>
      <c r="T11" s="54">
        <v>5</v>
      </c>
      <c r="U11" s="54">
        <v>0</v>
      </c>
      <c r="V11" s="54">
        <v>0</v>
      </c>
      <c r="W11" s="54">
        <v>0</v>
      </c>
      <c r="X11" s="55">
        <f>SUMIFS(Таблица3[Кол-во квартир],Таблица3[Адрес МКД],$D11)</f>
        <v>45</v>
      </c>
      <c r="Y11" s="56">
        <f t="shared" si="6"/>
        <v>3125.11</v>
      </c>
      <c r="Z11" s="253">
        <f>SUMIFS(Таблица3[Площадь жилая],Таблица3[Адрес МКД],$D11)</f>
        <v>2028.3</v>
      </c>
      <c r="AA11" s="261">
        <f>SUMIFS(Таблица3[Площадь нежилых помещений],Таблица3[Адрес МКД],$D11)</f>
        <v>131.5</v>
      </c>
      <c r="AB11" s="252">
        <f>SUMIFS(Таблица1[1],Таблица1[2],$D11)</f>
        <v>131.5</v>
      </c>
      <c r="AC11" s="57">
        <f t="shared" si="7"/>
        <v>131.5</v>
      </c>
      <c r="AD11" s="57">
        <f t="shared" si="8"/>
        <v>0</v>
      </c>
      <c r="AE11" s="58">
        <f>SUMIFS(Таблица1[8],Таблица1[2],$D11)+SUMIFS(Таблица1[18],Таблица1[2],$D11)</f>
        <v>0</v>
      </c>
      <c r="AF11" s="58">
        <f>SUMIFS(Таблица1[9],Таблица1[2],$D11)+SUMIFS(Таблица1[19],Таблица1[2],$D11)</f>
        <v>0</v>
      </c>
      <c r="AG11" s="59">
        <f t="shared" si="9"/>
        <v>965.31000000000006</v>
      </c>
      <c r="AH11" s="59">
        <f t="shared" si="12"/>
        <v>965.31000000000006</v>
      </c>
      <c r="AI11" s="60">
        <f>402.1-AM11</f>
        <v>402.1</v>
      </c>
      <c r="AJ11" s="60">
        <f t="shared" si="1"/>
        <v>270.60000000000002</v>
      </c>
      <c r="AK11" s="60">
        <f>SUMIFS(Таблица1[10],Таблица1[2],$D11)</f>
        <v>131.5</v>
      </c>
      <c r="AL11" s="60">
        <f>SUMIFS(Таблица1[11],Таблица1[2],$D11)</f>
        <v>0</v>
      </c>
      <c r="AM11" s="251">
        <v>0</v>
      </c>
      <c r="AN11" s="249">
        <f t="shared" si="2"/>
        <v>0</v>
      </c>
      <c r="AO11" s="249">
        <f>SUMIFS(Таблица1[12],Таблица1[2],$D11)</f>
        <v>0</v>
      </c>
      <c r="AP11" s="249">
        <f>SUMIFS(Таблица1[13],Таблица1[2],$D11)</f>
        <v>0</v>
      </c>
      <c r="AQ11" s="61">
        <f>232.6</f>
        <v>232.6</v>
      </c>
      <c r="AR11" s="61">
        <f t="shared" si="3"/>
        <v>232.6</v>
      </c>
      <c r="AS11" s="60">
        <f>SUMIFS(Таблица1[14],Таблица1[2],$D11)</f>
        <v>0</v>
      </c>
      <c r="AT11" s="60">
        <f>SUMIFS(Таблица1[15],Таблица1[2],$D11)</f>
        <v>0</v>
      </c>
      <c r="AU11" s="61">
        <v>462.11</v>
      </c>
      <c r="AV11" s="61">
        <f t="shared" si="4"/>
        <v>462.11</v>
      </c>
      <c r="AW11" s="60">
        <f>SUMIFS(Таблица1[16],Таблица1[2],$D11)</f>
        <v>0</v>
      </c>
      <c r="AX11" s="60">
        <f>SUMIFS(Таблица1[17],Таблица1[2],$D11)</f>
        <v>0</v>
      </c>
      <c r="AY11" s="263"/>
      <c r="AZ11" s="264"/>
      <c r="BA11" s="296">
        <v>0</v>
      </c>
      <c r="BB11" s="296">
        <f t="shared" si="10"/>
        <v>0</v>
      </c>
      <c r="BC11" s="296">
        <v>0</v>
      </c>
      <c r="BD11" s="296">
        <v>0</v>
      </c>
      <c r="BE11" s="285"/>
      <c r="BF11" s="259">
        <f>483+723</f>
        <v>1206</v>
      </c>
      <c r="BG11" s="260">
        <v>7220</v>
      </c>
      <c r="BH11" s="62" t="s">
        <v>940</v>
      </c>
      <c r="BI11" s="62" t="s">
        <v>935</v>
      </c>
      <c r="BJ11" s="62"/>
      <c r="BK11" s="267"/>
      <c r="BL11" s="267" t="s">
        <v>1649</v>
      </c>
      <c r="BM11" s="267"/>
      <c r="BN11" s="268"/>
      <c r="BO11" s="62">
        <v>17</v>
      </c>
      <c r="BP11" s="63">
        <v>32693</v>
      </c>
      <c r="BQ11" s="64" t="s">
        <v>1131</v>
      </c>
      <c r="BR11" s="372" t="s">
        <v>2747</v>
      </c>
      <c r="BS11" s="62"/>
      <c r="BT11" s="323"/>
      <c r="BU11" s="62"/>
      <c r="BV11" s="323"/>
      <c r="BW11" s="62"/>
      <c r="BX11" s="338"/>
      <c r="BY11" s="336"/>
    </row>
    <row r="12" spans="1:77" ht="13.15" customHeight="1" outlineLevel="1" x14ac:dyDescent="0.2">
      <c r="A12" s="50">
        <f t="shared" si="11"/>
        <v>7</v>
      </c>
      <c r="B12" s="51">
        <v>6</v>
      </c>
      <c r="C12" s="51">
        <v>7</v>
      </c>
      <c r="D12" s="18" t="s">
        <v>558</v>
      </c>
      <c r="E12" s="18">
        <v>12</v>
      </c>
      <c r="F12" s="18">
        <v>4</v>
      </c>
      <c r="G12" s="52">
        <v>1</v>
      </c>
      <c r="H12" s="237">
        <v>1</v>
      </c>
      <c r="I12" s="53">
        <v>1971</v>
      </c>
      <c r="J12" s="348">
        <v>9</v>
      </c>
      <c r="K12" s="346">
        <f t="shared" si="5"/>
        <v>10</v>
      </c>
      <c r="L12" s="346">
        <v>1</v>
      </c>
      <c r="M12" s="348">
        <v>1</v>
      </c>
      <c r="N12" s="255">
        <f t="shared" si="0"/>
        <v>0</v>
      </c>
      <c r="O12" s="309">
        <v>48</v>
      </c>
      <c r="P12" s="54">
        <v>0</v>
      </c>
      <c r="Q12" s="54"/>
      <c r="R12" s="54">
        <v>16</v>
      </c>
      <c r="S12" s="54">
        <v>24</v>
      </c>
      <c r="T12" s="54">
        <v>8</v>
      </c>
      <c r="U12" s="54">
        <v>0</v>
      </c>
      <c r="V12" s="54">
        <v>0</v>
      </c>
      <c r="W12" s="54">
        <v>0</v>
      </c>
      <c r="X12" s="55">
        <f>SUMIFS(Таблица3[Кол-во квартир],Таблица3[Адрес МКД],$D12)</f>
        <v>48</v>
      </c>
      <c r="Y12" s="56">
        <f t="shared" si="6"/>
        <v>3463.69</v>
      </c>
      <c r="Z12" s="253">
        <f>SUMIFS(Таблица3[Площадь жилая],Таблица3[Адрес МКД],$D12)</f>
        <v>2023.6</v>
      </c>
      <c r="AA12" s="261">
        <f>SUMIFS(Таблица3[Площадь нежилых помещений],Таблица3[Адрес МКД],$D12)</f>
        <v>683.8</v>
      </c>
      <c r="AB12" s="252">
        <f>SUMIFS(Таблица1[1],Таблица1[2],$D12)</f>
        <v>784.9</v>
      </c>
      <c r="AC12" s="57">
        <f t="shared" si="7"/>
        <v>784.89999999999986</v>
      </c>
      <c r="AD12" s="57">
        <f t="shared" si="8"/>
        <v>0</v>
      </c>
      <c r="AE12" s="58">
        <f>SUMIFS(Таблица1[8],Таблица1[2],$D12)+SUMIFS(Таблица1[18],Таблица1[2],$D12)</f>
        <v>510.09999999999997</v>
      </c>
      <c r="AF12" s="58">
        <f>SUMIFS(Таблица1[9],Таблица1[2],$D12)+SUMIFS(Таблица1[19],Таблица1[2],$D12)</f>
        <v>0</v>
      </c>
      <c r="AG12" s="59">
        <f>AJ12+AR12+AV12+AZ12</f>
        <v>655.19000000000005</v>
      </c>
      <c r="AH12" s="59">
        <f>AJ12+AL12+AR12+AT12+AV12+AX12+AZ12</f>
        <v>655.19000000000005</v>
      </c>
      <c r="AI12" s="60">
        <f>280.5-44.2+101.1-AM12</f>
        <v>337.4</v>
      </c>
      <c r="AJ12" s="60">
        <f>AI12-AK12-AL12</f>
        <v>62.600000000000023</v>
      </c>
      <c r="AK12" s="60">
        <f>SUMIFS(Таблица1[10],Таблица1[2],$D12)</f>
        <v>274.79999999999995</v>
      </c>
      <c r="AL12" s="60">
        <f>SUMIFS(Таблица1[11],Таблица1[2],$D12)</f>
        <v>0</v>
      </c>
      <c r="AM12" s="251">
        <v>0</v>
      </c>
      <c r="AN12" s="249">
        <f t="shared" si="2"/>
        <v>0</v>
      </c>
      <c r="AO12" s="249">
        <f>SUMIFS(Таблица1[12],Таблица1[2],$D12)</f>
        <v>0</v>
      </c>
      <c r="AP12" s="249">
        <f>SUMIFS(Таблица1[13],Таблица1[2],$D12)</f>
        <v>0</v>
      </c>
      <c r="AQ12" s="61">
        <f>140.6-12.7*2</f>
        <v>115.19999999999999</v>
      </c>
      <c r="AR12" s="61">
        <f t="shared" si="3"/>
        <v>115.19999999999999</v>
      </c>
      <c r="AS12" s="60">
        <f>SUMIFS(Таблица1[14],Таблица1[2],$D12)</f>
        <v>0</v>
      </c>
      <c r="AT12" s="60">
        <f>SUMIFS(Таблица1[15],Таблица1[2],$D12)</f>
        <v>0</v>
      </c>
      <c r="AU12" s="61">
        <v>344.79</v>
      </c>
      <c r="AV12" s="61">
        <f t="shared" si="4"/>
        <v>344.79</v>
      </c>
      <c r="AW12" s="60">
        <f>SUMIFS(Таблица1[16],Таблица1[2],$D12)</f>
        <v>0</v>
      </c>
      <c r="AX12" s="60">
        <f>SUMIFS(Таблица1[17],Таблица1[2],$D12)</f>
        <v>0</v>
      </c>
      <c r="AY12" s="263">
        <f>Нежилые!G58</f>
        <v>101.1</v>
      </c>
      <c r="AZ12" s="264">
        <f>(11.8+15.2+15.1+14.9+15.1+15.2+15.1+15.2+15)</f>
        <v>132.6</v>
      </c>
      <c r="BA12" s="296">
        <v>0</v>
      </c>
      <c r="BB12" s="296">
        <f t="shared" si="10"/>
        <v>0</v>
      </c>
      <c r="BC12" s="296">
        <v>0</v>
      </c>
      <c r="BD12" s="296">
        <v>0</v>
      </c>
      <c r="BE12" s="285"/>
      <c r="BF12" s="259">
        <f>228+980</f>
        <v>1208</v>
      </c>
      <c r="BG12" s="260">
        <f>2501+8440</f>
        <v>10941</v>
      </c>
      <c r="BH12" s="62" t="s">
        <v>939</v>
      </c>
      <c r="BI12" s="62" t="s">
        <v>941</v>
      </c>
      <c r="BJ12" s="62"/>
      <c r="BK12" s="267"/>
      <c r="BL12" s="267" t="s">
        <v>1649</v>
      </c>
      <c r="BM12" s="267"/>
      <c r="BN12" s="268">
        <v>1</v>
      </c>
      <c r="BO12" s="62">
        <v>14</v>
      </c>
      <c r="BP12" s="63">
        <v>30762</v>
      </c>
      <c r="BQ12" s="64" t="s">
        <v>1131</v>
      </c>
      <c r="BR12" s="372" t="s">
        <v>2747</v>
      </c>
      <c r="BS12" s="62"/>
      <c r="BT12" s="323"/>
      <c r="BU12" s="62"/>
      <c r="BV12" s="323"/>
      <c r="BW12" s="62"/>
      <c r="BX12" s="338"/>
      <c r="BY12" s="336"/>
    </row>
    <row r="13" spans="1:77" ht="13.15" customHeight="1" outlineLevel="1" x14ac:dyDescent="0.2">
      <c r="A13" s="50">
        <f t="shared" si="11"/>
        <v>8</v>
      </c>
      <c r="B13" s="51">
        <v>7</v>
      </c>
      <c r="C13" s="51">
        <v>8</v>
      </c>
      <c r="D13" s="18" t="s">
        <v>559</v>
      </c>
      <c r="E13" s="18">
        <v>12</v>
      </c>
      <c r="F13" s="18">
        <v>4</v>
      </c>
      <c r="G13" s="52">
        <v>1</v>
      </c>
      <c r="H13" s="237">
        <v>1</v>
      </c>
      <c r="I13" s="53">
        <v>1960</v>
      </c>
      <c r="J13" s="348">
        <v>3</v>
      </c>
      <c r="K13" s="346">
        <f t="shared" si="5"/>
        <v>4</v>
      </c>
      <c r="L13" s="346">
        <v>1</v>
      </c>
      <c r="M13" s="348">
        <v>3</v>
      </c>
      <c r="N13" s="255">
        <f t="shared" si="0"/>
        <v>0</v>
      </c>
      <c r="O13" s="309">
        <v>36</v>
      </c>
      <c r="P13" s="54">
        <v>0</v>
      </c>
      <c r="Q13" s="54"/>
      <c r="R13" s="54">
        <v>15</v>
      </c>
      <c r="S13" s="54">
        <v>9</v>
      </c>
      <c r="T13" s="54">
        <v>12</v>
      </c>
      <c r="U13" s="54">
        <v>0</v>
      </c>
      <c r="V13" s="54">
        <v>0</v>
      </c>
      <c r="W13" s="54">
        <v>0</v>
      </c>
      <c r="X13" s="55">
        <f>SUMIFS(Таблица3[Кол-во квартир],Таблица3[Адрес МКД],$D13)</f>
        <v>36</v>
      </c>
      <c r="Y13" s="56">
        <f t="shared" si="6"/>
        <v>2752.45</v>
      </c>
      <c r="Z13" s="253">
        <f>SUMIFS(Таблица3[Площадь жилая],Таблица3[Адрес МКД],$D13)</f>
        <v>1500.7</v>
      </c>
      <c r="AA13" s="261">
        <f>SUMIFS(Таблица3[Площадь нежилых помещений],Таблица3[Адрес МКД],$D13)</f>
        <v>0</v>
      </c>
      <c r="AB13" s="252">
        <f>SUMIFS(Таблица1[1],Таблица1[2],$D13)</f>
        <v>0</v>
      </c>
      <c r="AC13" s="57">
        <f t="shared" si="7"/>
        <v>0</v>
      </c>
      <c r="AD13" s="57">
        <f t="shared" si="8"/>
        <v>0</v>
      </c>
      <c r="AE13" s="58">
        <f>SUMIFS(Таблица1[8],Таблица1[2],$D13)+SUMIFS(Таблица1[18],Таблица1[2],$D13)</f>
        <v>0</v>
      </c>
      <c r="AF13" s="58">
        <f>SUMIFS(Таблица1[9],Таблица1[2],$D13)+SUMIFS(Таблица1[19],Таблица1[2],$D13)</f>
        <v>0</v>
      </c>
      <c r="AG13" s="59">
        <f t="shared" si="9"/>
        <v>1251.75</v>
      </c>
      <c r="AH13" s="59">
        <f t="shared" si="12"/>
        <v>1251.75</v>
      </c>
      <c r="AI13" s="60">
        <f>508.4-AM13</f>
        <v>508.4</v>
      </c>
      <c r="AJ13" s="60">
        <f t="shared" si="1"/>
        <v>508.4</v>
      </c>
      <c r="AK13" s="60">
        <f>SUMIFS(Таблица1[10],Таблица1[2],$D13)</f>
        <v>0</v>
      </c>
      <c r="AL13" s="60">
        <f>SUMIFS(Таблица1[11],Таблица1[2],$D13)</f>
        <v>0</v>
      </c>
      <c r="AM13" s="251">
        <v>0</v>
      </c>
      <c r="AN13" s="249">
        <f t="shared" si="2"/>
        <v>0</v>
      </c>
      <c r="AO13" s="249">
        <f>SUMIFS(Таблица1[12],Таблица1[2],$D13)</f>
        <v>0</v>
      </c>
      <c r="AP13" s="249">
        <f>SUMIFS(Таблица1[13],Таблица1[2],$D13)</f>
        <v>0</v>
      </c>
      <c r="AQ13" s="61">
        <f>142.8</f>
        <v>142.80000000000001</v>
      </c>
      <c r="AR13" s="61">
        <f t="shared" si="3"/>
        <v>142.80000000000001</v>
      </c>
      <c r="AS13" s="60">
        <f>SUMIFS(Таблица1[14],Таблица1[2],$D13)</f>
        <v>0</v>
      </c>
      <c r="AT13" s="60">
        <f>SUMIFS(Таблица1[15],Таблица1[2],$D13)</f>
        <v>0</v>
      </c>
      <c r="AU13" s="61">
        <v>600.54999999999995</v>
      </c>
      <c r="AV13" s="61">
        <f t="shared" si="4"/>
        <v>600.54999999999995</v>
      </c>
      <c r="AW13" s="60">
        <f>SUMIFS(Таблица1[16],Таблица1[2],$D13)</f>
        <v>0</v>
      </c>
      <c r="AX13" s="60">
        <f>SUMIFS(Таблица1[17],Таблица1[2],$D13)</f>
        <v>0</v>
      </c>
      <c r="AY13" s="263"/>
      <c r="AZ13" s="264"/>
      <c r="BA13" s="296">
        <v>0</v>
      </c>
      <c r="BB13" s="296">
        <f t="shared" si="10"/>
        <v>0</v>
      </c>
      <c r="BC13" s="296">
        <v>0</v>
      </c>
      <c r="BD13" s="296">
        <v>0</v>
      </c>
      <c r="BE13" s="285"/>
      <c r="BF13" s="259">
        <v>1723</v>
      </c>
      <c r="BG13" s="260">
        <v>5689</v>
      </c>
      <c r="BH13" s="62" t="s">
        <v>939</v>
      </c>
      <c r="BI13" s="62" t="s">
        <v>935</v>
      </c>
      <c r="BJ13" s="62"/>
      <c r="BK13" s="267"/>
      <c r="BL13" s="267" t="s">
        <v>1649</v>
      </c>
      <c r="BM13" s="267"/>
      <c r="BN13" s="268"/>
      <c r="BO13" s="62">
        <v>39</v>
      </c>
      <c r="BP13" s="63">
        <v>34566</v>
      </c>
      <c r="BQ13" s="64" t="s">
        <v>1135</v>
      </c>
      <c r="BR13" s="372" t="s">
        <v>2747</v>
      </c>
      <c r="BS13" s="62"/>
      <c r="BT13" s="323"/>
      <c r="BU13" s="62"/>
      <c r="BV13" s="323"/>
      <c r="BW13" s="62"/>
      <c r="BX13" s="338"/>
      <c r="BY13" s="336"/>
    </row>
    <row r="14" spans="1:77" ht="13.15" customHeight="1" outlineLevel="1" x14ac:dyDescent="0.2">
      <c r="A14" s="50">
        <f t="shared" si="11"/>
        <v>9</v>
      </c>
      <c r="B14" s="51">
        <v>8</v>
      </c>
      <c r="C14" s="51">
        <v>9</v>
      </c>
      <c r="D14" s="18" t="s">
        <v>560</v>
      </c>
      <c r="E14" s="18">
        <v>12</v>
      </c>
      <c r="F14" s="18">
        <v>4</v>
      </c>
      <c r="G14" s="52">
        <v>1</v>
      </c>
      <c r="H14" s="237"/>
      <c r="I14" s="53">
        <v>1960</v>
      </c>
      <c r="J14" s="348">
        <v>3</v>
      </c>
      <c r="K14" s="346">
        <f t="shared" si="5"/>
        <v>4</v>
      </c>
      <c r="L14" s="346">
        <v>1</v>
      </c>
      <c r="M14" s="348">
        <v>3</v>
      </c>
      <c r="N14" s="255">
        <f t="shared" si="0"/>
        <v>0</v>
      </c>
      <c r="O14" s="309">
        <v>36</v>
      </c>
      <c r="P14" s="54">
        <v>0</v>
      </c>
      <c r="Q14" s="54"/>
      <c r="R14" s="54">
        <v>15</v>
      </c>
      <c r="S14" s="54">
        <v>9</v>
      </c>
      <c r="T14" s="54">
        <v>12</v>
      </c>
      <c r="U14" s="54">
        <v>0</v>
      </c>
      <c r="V14" s="54">
        <v>0</v>
      </c>
      <c r="W14" s="54">
        <v>0</v>
      </c>
      <c r="X14" s="55">
        <f>SUMIFS(Таблица3[Кол-во квартир],Таблица3[Адрес МКД],$D14)</f>
        <v>36</v>
      </c>
      <c r="Y14" s="56">
        <f t="shared" si="6"/>
        <v>2751.92</v>
      </c>
      <c r="Z14" s="253">
        <f>SUMIFS(Таблица3[Площадь жилая],Таблица3[Адрес МКД],$D14)</f>
        <v>1505.3</v>
      </c>
      <c r="AA14" s="261">
        <f>SUMIFS(Таблица3[Площадь нежилых помещений],Таблица3[Адрес МКД],$D14)</f>
        <v>0</v>
      </c>
      <c r="AB14" s="252">
        <f>SUMIFS(Таблица1[1],Таблица1[2],$D14)</f>
        <v>71.3</v>
      </c>
      <c r="AC14" s="57">
        <f t="shared" si="7"/>
        <v>55.1</v>
      </c>
      <c r="AD14" s="57">
        <f t="shared" si="8"/>
        <v>16.2</v>
      </c>
      <c r="AE14" s="58">
        <f>SUMIFS(Таблица1[8],Таблица1[2],$D14)+SUMIFS(Таблица1[18],Таблица1[2],$D14)</f>
        <v>0</v>
      </c>
      <c r="AF14" s="58">
        <f>SUMIFS(Таблица1[9],Таблица1[2],$D14)+SUMIFS(Таблица1[19],Таблица1[2],$D14)</f>
        <v>0</v>
      </c>
      <c r="AG14" s="59">
        <f t="shared" si="9"/>
        <v>1175.3200000000002</v>
      </c>
      <c r="AH14" s="59">
        <f t="shared" si="12"/>
        <v>1191.52</v>
      </c>
      <c r="AI14" s="60">
        <f>498.3-AM14</f>
        <v>498.3</v>
      </c>
      <c r="AJ14" s="60">
        <f t="shared" si="1"/>
        <v>427</v>
      </c>
      <c r="AK14" s="60">
        <f>SUMIFS(Таблица1[10],Таблица1[2],$D14)</f>
        <v>55.1</v>
      </c>
      <c r="AL14" s="60">
        <f>SUMIFS(Таблица1[11],Таблица1[2],$D14)</f>
        <v>16.2</v>
      </c>
      <c r="AM14" s="251">
        <v>0</v>
      </c>
      <c r="AN14" s="249">
        <f t="shared" si="2"/>
        <v>0</v>
      </c>
      <c r="AO14" s="249">
        <f>SUMIFS(Таблица1[12],Таблица1[2],$D14)</f>
        <v>0</v>
      </c>
      <c r="AP14" s="249">
        <f>SUMIFS(Таблица1[13],Таблица1[2],$D14)</f>
        <v>0</v>
      </c>
      <c r="AQ14" s="61">
        <f>142.5</f>
        <v>142.5</v>
      </c>
      <c r="AR14" s="61">
        <f t="shared" si="3"/>
        <v>142.5</v>
      </c>
      <c r="AS14" s="60">
        <f>SUMIFS(Таблица1[14],Таблица1[2],$D14)</f>
        <v>0</v>
      </c>
      <c r="AT14" s="60">
        <f>SUMIFS(Таблица1[15],Таблица1[2],$D14)</f>
        <v>0</v>
      </c>
      <c r="AU14" s="61">
        <v>605.82000000000005</v>
      </c>
      <c r="AV14" s="61">
        <f t="shared" si="4"/>
        <v>605.82000000000005</v>
      </c>
      <c r="AW14" s="60">
        <f>SUMIFS(Таблица1[16],Таблица1[2],$D14)</f>
        <v>0</v>
      </c>
      <c r="AX14" s="60">
        <f>SUMIFS(Таблица1[17],Таблица1[2],$D14)</f>
        <v>0</v>
      </c>
      <c r="AY14" s="263">
        <f>Нежилые!G63</f>
        <v>55.1</v>
      </c>
      <c r="AZ14" s="264"/>
      <c r="BA14" s="296">
        <v>0</v>
      </c>
      <c r="BB14" s="296">
        <f t="shared" si="10"/>
        <v>0</v>
      </c>
      <c r="BC14" s="296">
        <v>0</v>
      </c>
      <c r="BD14" s="296">
        <v>0</v>
      </c>
      <c r="BE14" s="285"/>
      <c r="BF14" s="259">
        <v>1738</v>
      </c>
      <c r="BG14" s="260">
        <v>5645</v>
      </c>
      <c r="BH14" s="62" t="s">
        <v>936</v>
      </c>
      <c r="BI14" s="62" t="s">
        <v>935</v>
      </c>
      <c r="BJ14" s="62"/>
      <c r="BK14" s="267"/>
      <c r="BL14" s="267" t="s">
        <v>1649</v>
      </c>
      <c r="BM14" s="267"/>
      <c r="BN14" s="268"/>
      <c r="BO14" s="62">
        <v>38</v>
      </c>
      <c r="BP14" s="63">
        <v>34639</v>
      </c>
      <c r="BQ14" s="64" t="s">
        <v>1135</v>
      </c>
      <c r="BR14" s="372" t="s">
        <v>2747</v>
      </c>
      <c r="BS14" s="62"/>
      <c r="BT14" s="323"/>
      <c r="BU14" s="62"/>
      <c r="BV14" s="323"/>
      <c r="BW14" s="62"/>
      <c r="BX14" s="338"/>
      <c r="BY14" s="336"/>
    </row>
    <row r="15" spans="1:77" ht="13.15" hidden="1" customHeight="1" outlineLevel="1" x14ac:dyDescent="0.2">
      <c r="A15" s="50">
        <f t="shared" si="11"/>
        <v>10</v>
      </c>
      <c r="B15" s="51">
        <v>1</v>
      </c>
      <c r="C15" s="51">
        <v>8</v>
      </c>
      <c r="D15" s="18" t="s">
        <v>1140</v>
      </c>
      <c r="E15" s="339" t="s">
        <v>888</v>
      </c>
      <c r="F15" s="339">
        <v>5</v>
      </c>
      <c r="G15" s="52">
        <v>1</v>
      </c>
      <c r="H15" s="333"/>
      <c r="I15" s="65">
        <v>1947</v>
      </c>
      <c r="J15" s="349">
        <v>2</v>
      </c>
      <c r="K15" s="346">
        <f t="shared" si="5"/>
        <v>3</v>
      </c>
      <c r="L15" s="346">
        <v>1</v>
      </c>
      <c r="M15" s="349">
        <v>2</v>
      </c>
      <c r="N15" s="255">
        <f t="shared" si="0"/>
        <v>0</v>
      </c>
      <c r="O15" s="310">
        <v>16</v>
      </c>
      <c r="P15" s="66">
        <v>0</v>
      </c>
      <c r="Q15" s="66"/>
      <c r="R15" s="66">
        <v>12</v>
      </c>
      <c r="S15" s="66">
        <v>4</v>
      </c>
      <c r="T15" s="66">
        <v>0</v>
      </c>
      <c r="U15" s="66">
        <v>0</v>
      </c>
      <c r="V15" s="66">
        <v>0</v>
      </c>
      <c r="W15" s="54">
        <v>0</v>
      </c>
      <c r="X15" s="55">
        <f>SUMIFS(Таблица3[Кол-во квартир],Таблица3[Адрес МКД],$D15)</f>
        <v>16</v>
      </c>
      <c r="Y15" s="56">
        <f t="shared" si="6"/>
        <v>1069.9000000000001</v>
      </c>
      <c r="Z15" s="253">
        <f>SUMIFS(Таблица3[Площадь жилая],Таблица3[Адрес МКД],$D15)</f>
        <v>525.20000000000005</v>
      </c>
      <c r="AA15" s="261">
        <f>SUMIFS(Таблица3[Площадь нежилых помещений],Таблица3[Адрес МКД],$D15)</f>
        <v>0</v>
      </c>
      <c r="AB15" s="252">
        <f>SUMIFS(Таблица1[1],Таблица1[2],$D15)</f>
        <v>0</v>
      </c>
      <c r="AC15" s="57">
        <f t="shared" si="7"/>
        <v>0</v>
      </c>
      <c r="AD15" s="57">
        <f t="shared" si="8"/>
        <v>0</v>
      </c>
      <c r="AE15" s="58">
        <f>SUMIFS(Таблица1[8],Таблица1[2],$D15)+SUMIFS(Таблица1[18],Таблица1[2],$D15)</f>
        <v>0</v>
      </c>
      <c r="AF15" s="58">
        <f>SUMIFS(Таблица1[9],Таблица1[2],$D15)+SUMIFS(Таблица1[19],Таблица1[2],$D15)</f>
        <v>0</v>
      </c>
      <c r="AG15" s="59">
        <f>AJ15+AR15+AV15+AZ15</f>
        <v>544.70000000000005</v>
      </c>
      <c r="AH15" s="59">
        <f>AJ15+AL15+AR15+AT15+AV15+AX15+AZ15</f>
        <v>544.70000000000005</v>
      </c>
      <c r="AI15" s="60">
        <f>130.3-AM15</f>
        <v>130.30000000000001</v>
      </c>
      <c r="AJ15" s="60">
        <f t="shared" si="1"/>
        <v>130.30000000000001</v>
      </c>
      <c r="AK15" s="60">
        <f>SUMIFS(Таблица1[10],Таблица1[2],$D15)</f>
        <v>0</v>
      </c>
      <c r="AL15" s="60">
        <f>SUMIFS(Таблица1[11],Таблица1[2],$D15)</f>
        <v>0</v>
      </c>
      <c r="AM15" s="251">
        <v>0</v>
      </c>
      <c r="AN15" s="249">
        <f t="shared" si="2"/>
        <v>0</v>
      </c>
      <c r="AO15" s="249">
        <f>SUMIFS(Таблица1[12],Таблица1[2],$D15)</f>
        <v>0</v>
      </c>
      <c r="AP15" s="249">
        <f>SUMIFS(Таблица1[13],Таблица1[2],$D15)</f>
        <v>0</v>
      </c>
      <c r="AQ15" s="61">
        <f>58.8</f>
        <v>58.8</v>
      </c>
      <c r="AR15" s="61">
        <f t="shared" si="3"/>
        <v>58.8</v>
      </c>
      <c r="AS15" s="60">
        <f>SUMIFS(Таблица1[14],Таблица1[2],$D15)</f>
        <v>0</v>
      </c>
      <c r="AT15" s="60">
        <f>SUMIFS(Таблица1[15],Таблица1[2],$D15)</f>
        <v>0</v>
      </c>
      <c r="AU15" s="61">
        <v>342.3</v>
      </c>
      <c r="AV15" s="61">
        <f t="shared" si="4"/>
        <v>342.3</v>
      </c>
      <c r="AW15" s="60">
        <f>SUMIFS(Таблица1[16],Таблица1[2],$D15)</f>
        <v>0</v>
      </c>
      <c r="AX15" s="60">
        <f>SUMIFS(Таблица1[17],Таблица1[2],$D15)</f>
        <v>0</v>
      </c>
      <c r="AY15" s="263"/>
      <c r="AZ15" s="264">
        <v>13.3</v>
      </c>
      <c r="BA15" s="296">
        <v>0</v>
      </c>
      <c r="BB15" s="296">
        <f t="shared" si="10"/>
        <v>0</v>
      </c>
      <c r="BC15" s="296">
        <v>0</v>
      </c>
      <c r="BD15" s="296">
        <v>0</v>
      </c>
      <c r="BE15" s="285"/>
      <c r="BF15" s="259">
        <v>517</v>
      </c>
      <c r="BG15" s="260">
        <v>2488</v>
      </c>
      <c r="BH15" s="67" t="s">
        <v>942</v>
      </c>
      <c r="BI15" s="62" t="s">
        <v>935</v>
      </c>
      <c r="BJ15" s="62"/>
      <c r="BK15" s="267"/>
      <c r="BL15" s="267" t="s">
        <v>1649</v>
      </c>
      <c r="BM15" s="267"/>
      <c r="BN15" s="268"/>
      <c r="BO15" s="62">
        <v>45</v>
      </c>
      <c r="BP15" s="63">
        <v>35610</v>
      </c>
      <c r="BQ15" s="64" t="s">
        <v>1131</v>
      </c>
      <c r="BR15" s="372" t="s">
        <v>2747</v>
      </c>
      <c r="BS15" s="62"/>
      <c r="BT15" s="323"/>
      <c r="BU15" s="62"/>
      <c r="BV15" s="323"/>
      <c r="BW15" s="62"/>
      <c r="BX15" s="336">
        <v>15</v>
      </c>
      <c r="BY15" s="336"/>
    </row>
    <row r="16" spans="1:77" ht="13.15" hidden="1" customHeight="1" outlineLevel="1" x14ac:dyDescent="0.2">
      <c r="A16" s="50">
        <f t="shared" si="11"/>
        <v>11</v>
      </c>
      <c r="B16" s="51">
        <v>3</v>
      </c>
      <c r="C16" s="51">
        <v>1</v>
      </c>
      <c r="D16" s="18" t="s">
        <v>353</v>
      </c>
      <c r="E16" s="18">
        <v>9</v>
      </c>
      <c r="F16" s="18">
        <v>1</v>
      </c>
      <c r="G16" s="52">
        <v>1</v>
      </c>
      <c r="H16" s="237">
        <v>1</v>
      </c>
      <c r="I16" s="53">
        <v>1950</v>
      </c>
      <c r="J16" s="348">
        <v>3</v>
      </c>
      <c r="K16" s="346">
        <f t="shared" si="5"/>
        <v>4</v>
      </c>
      <c r="L16" s="346">
        <v>1</v>
      </c>
      <c r="M16" s="348">
        <v>2</v>
      </c>
      <c r="N16" s="255">
        <f t="shared" si="0"/>
        <v>-3</v>
      </c>
      <c r="O16" s="309">
        <v>21</v>
      </c>
      <c r="P16" s="54">
        <v>4</v>
      </c>
      <c r="Q16" s="54"/>
      <c r="R16" s="54">
        <v>6</v>
      </c>
      <c r="S16" s="54">
        <v>11</v>
      </c>
      <c r="T16" s="54">
        <v>4</v>
      </c>
      <c r="U16" s="54">
        <v>0</v>
      </c>
      <c r="V16" s="54">
        <v>0</v>
      </c>
      <c r="W16" s="54">
        <v>0</v>
      </c>
      <c r="X16" s="55">
        <f>SUMIFS(Таблица3[Кол-во квартир],Таблица3[Адрес МКД],$D16)</f>
        <v>20</v>
      </c>
      <c r="Y16" s="56">
        <f t="shared" si="6"/>
        <v>2291.2000000000003</v>
      </c>
      <c r="Z16" s="253">
        <f>SUMIFS(Таблица3[Площадь жилая],Таблица3[Адрес МКД],$D16)</f>
        <v>1185.2</v>
      </c>
      <c r="AA16" s="261">
        <f>SUMIFS(Таблица3[Площадь нежилых помещений],Таблица3[Адрес МКД],$D16)</f>
        <v>203.6</v>
      </c>
      <c r="AB16" s="252">
        <f>SUMIFS(Таблица1[1],Таблица1[2],$D16)</f>
        <v>295.2</v>
      </c>
      <c r="AC16" s="57">
        <f t="shared" si="7"/>
        <v>272.2</v>
      </c>
      <c r="AD16" s="57">
        <f t="shared" si="8"/>
        <v>23</v>
      </c>
      <c r="AE16" s="58">
        <f>SUMIFS(Таблица1[8],Таблица1[2],$D16)+SUMIFS(Таблица1[18],Таблица1[2],$D16)</f>
        <v>154.30000000000001</v>
      </c>
      <c r="AF16" s="58">
        <f>SUMIFS(Таблица1[9],Таблица1[2],$D16)+SUMIFS(Таблица1[19],Таблица1[2],$D16)</f>
        <v>0</v>
      </c>
      <c r="AG16" s="59">
        <f t="shared" si="9"/>
        <v>810.80000000000007</v>
      </c>
      <c r="AH16" s="59">
        <f t="shared" si="12"/>
        <v>833.80000000000007</v>
      </c>
      <c r="AI16" s="60">
        <f>335.1-AM16</f>
        <v>335.1</v>
      </c>
      <c r="AJ16" s="60">
        <f t="shared" si="1"/>
        <v>217.20000000000005</v>
      </c>
      <c r="AK16" s="60">
        <f>SUMIFS(Таблица1[10],Таблица1[2],$D16)</f>
        <v>117.89999999999999</v>
      </c>
      <c r="AL16" s="60">
        <f>SUMIFS(Таблица1[11],Таблица1[2],$D16)</f>
        <v>0</v>
      </c>
      <c r="AM16" s="251">
        <v>0</v>
      </c>
      <c r="AN16" s="249">
        <f t="shared" si="2"/>
        <v>0</v>
      </c>
      <c r="AO16" s="249">
        <f>SUMIFS(Таблица1[12],Таблица1[2],$D16)</f>
        <v>0</v>
      </c>
      <c r="AP16" s="249">
        <f>SUMIFS(Таблица1[13],Таблица1[2],$D16)</f>
        <v>0</v>
      </c>
      <c r="AQ16" s="61">
        <f>141.8</f>
        <v>141.80000000000001</v>
      </c>
      <c r="AR16" s="61">
        <f t="shared" si="3"/>
        <v>118.80000000000001</v>
      </c>
      <c r="AS16" s="60">
        <f>SUMIFS(Таблица1[14],Таблица1[2],$D16)</f>
        <v>0</v>
      </c>
      <c r="AT16" s="60">
        <f>SUMIFS(Таблица1[15],Таблица1[2],$D16)</f>
        <v>23</v>
      </c>
      <c r="AU16" s="61">
        <v>474.8</v>
      </c>
      <c r="AV16" s="61">
        <f t="shared" si="4"/>
        <v>474.8</v>
      </c>
      <c r="AW16" s="60">
        <f>SUMIFS(Таблица1[16],Таблица1[2],$D16)</f>
        <v>0</v>
      </c>
      <c r="AX16" s="60">
        <f>SUMIFS(Таблица1[17],Таблица1[2],$D16)</f>
        <v>0</v>
      </c>
      <c r="AY16" s="263">
        <f>Нежилые!G83</f>
        <v>68.599999999999994</v>
      </c>
      <c r="AZ16" s="264"/>
      <c r="BA16" s="296">
        <v>0</v>
      </c>
      <c r="BB16" s="296">
        <f t="shared" si="10"/>
        <v>0</v>
      </c>
      <c r="BC16" s="296">
        <v>0</v>
      </c>
      <c r="BD16" s="296">
        <v>0</v>
      </c>
      <c r="BE16" s="285"/>
      <c r="BF16" s="259">
        <f>2270</f>
        <v>2270</v>
      </c>
      <c r="BG16" s="260">
        <v>5224</v>
      </c>
      <c r="BH16" s="62" t="s">
        <v>936</v>
      </c>
      <c r="BI16" s="62" t="s">
        <v>935</v>
      </c>
      <c r="BJ16" s="62" t="s">
        <v>944</v>
      </c>
      <c r="BK16" s="267"/>
      <c r="BL16" s="267"/>
      <c r="BM16" s="267" t="s">
        <v>1649</v>
      </c>
      <c r="BN16" s="268"/>
      <c r="BO16" s="62">
        <v>29</v>
      </c>
      <c r="BP16" s="63">
        <v>30025</v>
      </c>
      <c r="BQ16" s="64" t="s">
        <v>1131</v>
      </c>
      <c r="BR16" s="372" t="s">
        <v>2747</v>
      </c>
      <c r="BS16" s="62"/>
      <c r="BT16" s="323"/>
      <c r="BU16" s="62"/>
      <c r="BV16" s="323"/>
      <c r="BW16" s="62"/>
      <c r="BX16" s="336">
        <v>24</v>
      </c>
      <c r="BY16" s="336"/>
    </row>
    <row r="17" spans="1:77" ht="13.15" hidden="1" customHeight="1" outlineLevel="1" x14ac:dyDescent="0.2">
      <c r="A17" s="50">
        <f t="shared" si="11"/>
        <v>12</v>
      </c>
      <c r="B17" s="51">
        <v>2</v>
      </c>
      <c r="C17" s="51">
        <v>2</v>
      </c>
      <c r="D17" s="18" t="s">
        <v>430</v>
      </c>
      <c r="E17" s="18">
        <v>10</v>
      </c>
      <c r="F17" s="18">
        <v>1</v>
      </c>
      <c r="G17" s="52">
        <v>1</v>
      </c>
      <c r="H17" s="237">
        <v>1</v>
      </c>
      <c r="I17" s="53">
        <v>1950</v>
      </c>
      <c r="J17" s="348">
        <v>3</v>
      </c>
      <c r="K17" s="346">
        <f t="shared" si="5"/>
        <v>4</v>
      </c>
      <c r="L17" s="346">
        <v>1</v>
      </c>
      <c r="M17" s="349">
        <v>3</v>
      </c>
      <c r="N17" s="255">
        <f t="shared" si="0"/>
        <v>1</v>
      </c>
      <c r="O17" s="310">
        <v>30</v>
      </c>
      <c r="P17" s="66">
        <v>1</v>
      </c>
      <c r="Q17" s="66"/>
      <c r="R17" s="66">
        <v>0</v>
      </c>
      <c r="S17" s="66">
        <v>21</v>
      </c>
      <c r="T17" s="66">
        <v>9</v>
      </c>
      <c r="U17" s="66">
        <v>0</v>
      </c>
      <c r="V17" s="66">
        <v>0</v>
      </c>
      <c r="W17" s="54">
        <v>0</v>
      </c>
      <c r="X17" s="55">
        <f>SUMIFS(Таблица3[Кол-во квартир],Таблица3[Адрес МКД],$D17)</f>
        <v>28</v>
      </c>
      <c r="Y17" s="56">
        <f t="shared" ref="Y17:Y61" si="13">Z17+AB17+AG17+AN17</f>
        <v>3243.8</v>
      </c>
      <c r="Z17" s="253">
        <f>SUMIFS(Таблица3[Площадь жилая],Таблица3[Адрес МКД],$D17)</f>
        <v>1744.1</v>
      </c>
      <c r="AA17" s="261">
        <f>SUMIFS(Таблица3[Площадь нежилых помещений],Таблица3[Адрес МКД],$D17)</f>
        <v>272.3</v>
      </c>
      <c r="AB17" s="252">
        <f>SUMIFS(Таблица1[1],Таблица1[2],$D17)</f>
        <v>272.3</v>
      </c>
      <c r="AC17" s="57">
        <f t="shared" si="7"/>
        <v>272.3</v>
      </c>
      <c r="AD17" s="57">
        <f t="shared" si="8"/>
        <v>0</v>
      </c>
      <c r="AE17" s="58">
        <f>SUMIFS(Таблица1[8],Таблица1[2],$D17)+SUMIFS(Таблица1[18],Таблица1[2],$D17)</f>
        <v>68.400000000000006</v>
      </c>
      <c r="AF17" s="58">
        <f>SUMIFS(Таблица1[9],Таблица1[2],$D17)+SUMIFS(Таблица1[19],Таблица1[2],$D17)</f>
        <v>0</v>
      </c>
      <c r="AG17" s="59">
        <f t="shared" si="9"/>
        <v>1227.4000000000001</v>
      </c>
      <c r="AH17" s="59">
        <f t="shared" si="12"/>
        <v>1227.4000000000001</v>
      </c>
      <c r="AI17" s="60">
        <f>485-AM17</f>
        <v>281.10000000000002</v>
      </c>
      <c r="AJ17" s="60">
        <f t="shared" si="1"/>
        <v>281.10000000000002</v>
      </c>
      <c r="AK17" s="60">
        <f>SUMIFS(Таблица1[10],Таблица1[2],$D17)</f>
        <v>0</v>
      </c>
      <c r="AL17" s="60">
        <f>SUMIFS(Таблица1[11],Таблица1[2],$D17)</f>
        <v>0</v>
      </c>
      <c r="AM17" s="251">
        <f>203.9</f>
        <v>203.9</v>
      </c>
      <c r="AN17" s="249">
        <f t="shared" si="2"/>
        <v>0</v>
      </c>
      <c r="AO17" s="249">
        <f>SUMIFS(Таблица1[12],Таблица1[2],$D17)</f>
        <v>203.9</v>
      </c>
      <c r="AP17" s="249">
        <f>SUMIFS(Таблица1[13],Таблица1[2],$D17)</f>
        <v>0</v>
      </c>
      <c r="AQ17" s="61">
        <f>266.9</f>
        <v>266.89999999999998</v>
      </c>
      <c r="AR17" s="61">
        <f t="shared" si="3"/>
        <v>266.89999999999998</v>
      </c>
      <c r="AS17" s="60">
        <f>SUMIFS(Таблица1[14],Таблица1[2],$D17)</f>
        <v>0</v>
      </c>
      <c r="AT17" s="60">
        <f>SUMIFS(Таблица1[15],Таблица1[2],$D17)</f>
        <v>0</v>
      </c>
      <c r="AU17" s="61">
        <v>679.4</v>
      </c>
      <c r="AV17" s="61">
        <f t="shared" si="4"/>
        <v>679.4</v>
      </c>
      <c r="AW17" s="60">
        <f>SUMIFS(Таблица1[16],Таблица1[2],$D17)</f>
        <v>0</v>
      </c>
      <c r="AX17" s="60">
        <f>SUMIFS(Таблица1[17],Таблица1[2],$D17)</f>
        <v>0</v>
      </c>
      <c r="AY17" s="263"/>
      <c r="AZ17" s="264"/>
      <c r="BA17" s="296">
        <v>0</v>
      </c>
      <c r="BB17" s="296">
        <f t="shared" si="10"/>
        <v>0</v>
      </c>
      <c r="BC17" s="296">
        <v>0</v>
      </c>
      <c r="BD17" s="296">
        <v>0</v>
      </c>
      <c r="BE17" s="285"/>
      <c r="BF17" s="259">
        <v>2119</v>
      </c>
      <c r="BG17" s="260">
        <v>8646</v>
      </c>
      <c r="BH17" s="62" t="s">
        <v>936</v>
      </c>
      <c r="BI17" s="62" t="s">
        <v>935</v>
      </c>
      <c r="BJ17" s="62"/>
      <c r="BK17" s="267"/>
      <c r="BL17" s="267"/>
      <c r="BM17" s="267" t="s">
        <v>1649</v>
      </c>
      <c r="BN17" s="268"/>
      <c r="BO17" s="62">
        <v>47</v>
      </c>
      <c r="BP17" s="63">
        <v>42139</v>
      </c>
      <c r="BQ17" s="64" t="s">
        <v>1131</v>
      </c>
      <c r="BR17" s="372" t="s">
        <v>2747</v>
      </c>
      <c r="BS17" s="62"/>
      <c r="BT17" s="323"/>
      <c r="BU17" s="62"/>
      <c r="BV17" s="323"/>
      <c r="BW17" s="62"/>
      <c r="BX17" s="336">
        <v>33</v>
      </c>
      <c r="BY17" s="336" t="s">
        <v>1649</v>
      </c>
    </row>
    <row r="18" spans="1:77" ht="13.15" hidden="1" customHeight="1" outlineLevel="1" x14ac:dyDescent="0.2">
      <c r="A18" s="50">
        <f t="shared" si="11"/>
        <v>13</v>
      </c>
      <c r="B18" s="51">
        <v>1</v>
      </c>
      <c r="C18" s="51">
        <v>1</v>
      </c>
      <c r="D18" s="18" t="s">
        <v>497</v>
      </c>
      <c r="E18" s="18">
        <v>11</v>
      </c>
      <c r="F18" s="18">
        <v>2</v>
      </c>
      <c r="G18" s="52">
        <v>1</v>
      </c>
      <c r="H18" s="237">
        <v>1</v>
      </c>
      <c r="I18" s="53">
        <v>1952</v>
      </c>
      <c r="J18" s="348">
        <v>4</v>
      </c>
      <c r="K18" s="346">
        <f t="shared" si="5"/>
        <v>5</v>
      </c>
      <c r="L18" s="346">
        <v>1</v>
      </c>
      <c r="M18" s="349">
        <v>2</v>
      </c>
      <c r="N18" s="255">
        <f t="shared" si="0"/>
        <v>0</v>
      </c>
      <c r="O18" s="310">
        <v>32</v>
      </c>
      <c r="P18" s="66">
        <v>4</v>
      </c>
      <c r="Q18" s="66"/>
      <c r="R18" s="66">
        <v>0</v>
      </c>
      <c r="S18" s="66">
        <v>24</v>
      </c>
      <c r="T18" s="66">
        <v>8</v>
      </c>
      <c r="U18" s="66">
        <v>0</v>
      </c>
      <c r="V18" s="66">
        <v>0</v>
      </c>
      <c r="W18" s="54">
        <v>0</v>
      </c>
      <c r="X18" s="55">
        <f>SUMIFS(Таблица3[Кол-во квартир],Таблица3[Адрес МКД],$D18)</f>
        <v>28</v>
      </c>
      <c r="Y18" s="56">
        <f t="shared" si="13"/>
        <v>3067.6000000000004</v>
      </c>
      <c r="Z18" s="253">
        <f>SUMIFS(Таблица3[Площадь жилая],Таблица3[Адрес МКД],$D18)</f>
        <v>1659.9</v>
      </c>
      <c r="AA18" s="261">
        <f>SUMIFS(Таблица3[Площадь нежилых помещений],Таблица3[Адрес МКД],$D18)</f>
        <v>395.3</v>
      </c>
      <c r="AB18" s="252">
        <f>SUMIFS(Таблица1[1],Таблица1[2],$D18)</f>
        <v>395.3</v>
      </c>
      <c r="AC18" s="57">
        <f>AE18+AK18+AO18+AS18+AW18</f>
        <v>395.29999999999995</v>
      </c>
      <c r="AD18" s="57">
        <f t="shared" si="8"/>
        <v>0</v>
      </c>
      <c r="AE18" s="58">
        <f>SUMIFS(Таблица1[8],Таблица1[2],$D18)+SUMIFS(Таблица1[18],Таблица1[2],$D18)</f>
        <v>250</v>
      </c>
      <c r="AF18" s="58">
        <f>SUMIFS(Таблица1[9],Таблица1[2],$D18)+SUMIFS(Таблица1[19],Таблица1[2],$D18)</f>
        <v>0</v>
      </c>
      <c r="AG18" s="59">
        <f t="shared" si="9"/>
        <v>1012.4</v>
      </c>
      <c r="AH18" s="59">
        <f t="shared" si="12"/>
        <v>1012.4</v>
      </c>
      <c r="AI18" s="60">
        <f>372.7-AM18</f>
        <v>265.79999999999995</v>
      </c>
      <c r="AJ18" s="60">
        <f t="shared" si="1"/>
        <v>265.79999999999995</v>
      </c>
      <c r="AK18" s="60">
        <f>SUMIFS(Таблица1[10],Таблица1[2],$D18)</f>
        <v>0</v>
      </c>
      <c r="AL18" s="60">
        <f>SUMIFS(Таблица1[11],Таблица1[2],$D18)</f>
        <v>0</v>
      </c>
      <c r="AM18" s="251">
        <f>106.9</f>
        <v>106.9</v>
      </c>
      <c r="AN18" s="249">
        <f t="shared" si="2"/>
        <v>0</v>
      </c>
      <c r="AO18" s="249">
        <f>SUMIFS(Таблица1[12],Таблица1[2],$D18)</f>
        <v>106.9</v>
      </c>
      <c r="AP18" s="249">
        <f>SUMIFS(Таблица1[13],Таблица1[2],$D18)</f>
        <v>0</v>
      </c>
      <c r="AQ18" s="61">
        <f>219.4</f>
        <v>219.4</v>
      </c>
      <c r="AR18" s="61">
        <f t="shared" si="3"/>
        <v>181</v>
      </c>
      <c r="AS18" s="60">
        <f>SUMIFS(Таблица1[14],Таблица1[2],$D18)</f>
        <v>38.4</v>
      </c>
      <c r="AT18" s="60">
        <f>SUMIFS(Таблица1[15],Таблица1[2],$D18)</f>
        <v>0</v>
      </c>
      <c r="AU18" s="61">
        <v>565.6</v>
      </c>
      <c r="AV18" s="61">
        <f t="shared" si="4"/>
        <v>565.6</v>
      </c>
      <c r="AW18" s="60">
        <f>SUMIFS(Таблица1[16],Таблица1[2],$D18)</f>
        <v>0</v>
      </c>
      <c r="AX18" s="60">
        <f>SUMIFS(Таблица1[17],Таблица1[2],$D18)</f>
        <v>0</v>
      </c>
      <c r="AY18" s="263"/>
      <c r="AZ18" s="264"/>
      <c r="BA18" s="296">
        <v>0</v>
      </c>
      <c r="BB18" s="296">
        <f t="shared" si="10"/>
        <v>0</v>
      </c>
      <c r="BC18" s="296">
        <v>0</v>
      </c>
      <c r="BD18" s="296">
        <v>0</v>
      </c>
      <c r="BE18" s="285"/>
      <c r="BF18" s="259">
        <v>1805</v>
      </c>
      <c r="BG18" s="260">
        <v>8632</v>
      </c>
      <c r="BH18" s="62" t="s">
        <v>936</v>
      </c>
      <c r="BI18" s="62" t="s">
        <v>935</v>
      </c>
      <c r="BJ18" s="62"/>
      <c r="BK18" s="267"/>
      <c r="BL18" s="267"/>
      <c r="BM18" s="267" t="s">
        <v>1649</v>
      </c>
      <c r="BN18" s="268"/>
      <c r="BO18" s="62">
        <v>32</v>
      </c>
      <c r="BP18" s="63">
        <v>32121</v>
      </c>
      <c r="BQ18" s="64" t="s">
        <v>1131</v>
      </c>
      <c r="BR18" s="372" t="s">
        <v>2747</v>
      </c>
      <c r="BS18" s="62"/>
      <c r="BT18" s="323"/>
      <c r="BU18" s="62"/>
      <c r="BV18" s="323"/>
      <c r="BW18" s="62"/>
      <c r="BX18" s="338"/>
      <c r="BY18" s="336"/>
    </row>
    <row r="19" spans="1:77" ht="13.15" hidden="1" customHeight="1" outlineLevel="1" x14ac:dyDescent="0.2">
      <c r="A19" s="50">
        <f t="shared" si="11"/>
        <v>14</v>
      </c>
      <c r="B19" s="51">
        <v>3</v>
      </c>
      <c r="C19" s="51">
        <v>2</v>
      </c>
      <c r="D19" s="18" t="s">
        <v>431</v>
      </c>
      <c r="E19" s="18">
        <v>10</v>
      </c>
      <c r="F19" s="18">
        <v>2</v>
      </c>
      <c r="G19" s="52">
        <v>1</v>
      </c>
      <c r="H19" s="237">
        <v>1</v>
      </c>
      <c r="I19" s="53">
        <v>1952</v>
      </c>
      <c r="J19" s="348">
        <v>4</v>
      </c>
      <c r="K19" s="346">
        <f t="shared" si="5"/>
        <v>5</v>
      </c>
      <c r="L19" s="346">
        <v>1</v>
      </c>
      <c r="M19" s="349">
        <v>3</v>
      </c>
      <c r="N19" s="255">
        <f t="shared" si="0"/>
        <v>1</v>
      </c>
      <c r="O19" s="310">
        <v>40</v>
      </c>
      <c r="P19" s="66">
        <v>6</v>
      </c>
      <c r="Q19" s="66"/>
      <c r="R19" s="66">
        <v>0</v>
      </c>
      <c r="S19" s="66">
        <v>28</v>
      </c>
      <c r="T19" s="66">
        <v>12</v>
      </c>
      <c r="U19" s="66">
        <v>0</v>
      </c>
      <c r="V19" s="66">
        <v>0</v>
      </c>
      <c r="W19" s="54">
        <v>0</v>
      </c>
      <c r="X19" s="55">
        <f>SUMIFS(Таблица3[Кол-во квартир],Таблица3[Адрес МКД],$D19)</f>
        <v>33</v>
      </c>
      <c r="Y19" s="56">
        <f t="shared" si="13"/>
        <v>3711.5</v>
      </c>
      <c r="Z19" s="253">
        <f>SUMIFS(Таблица3[Площадь жилая],Таблица3[Адрес МКД],$D19)</f>
        <v>2022.3</v>
      </c>
      <c r="AA19" s="261">
        <f>SUMIFS(Таблица3[Площадь нежилых помещений],Таблица3[Адрес МКД],$D19)</f>
        <v>525.1</v>
      </c>
      <c r="AB19" s="252">
        <f>SUMIFS(Таблица1[1],Таблица1[2],$D19)</f>
        <v>645.5</v>
      </c>
      <c r="AC19" s="57">
        <f t="shared" si="7"/>
        <v>645.5</v>
      </c>
      <c r="AD19" s="57">
        <f t="shared" si="8"/>
        <v>0</v>
      </c>
      <c r="AE19" s="58">
        <f>SUMIFS(Таблица1[8],Таблица1[2],$D19)+SUMIFS(Таблица1[18],Таблица1[2],$D19)</f>
        <v>383.6</v>
      </c>
      <c r="AF19" s="58">
        <f>SUMIFS(Таблица1[9],Таблица1[2],$D19)+SUMIFS(Таблица1[19],Таблица1[2],$D19)</f>
        <v>0</v>
      </c>
      <c r="AG19" s="59">
        <f t="shared" si="9"/>
        <v>1043.7</v>
      </c>
      <c r="AH19" s="59">
        <f t="shared" si="12"/>
        <v>1043.7</v>
      </c>
      <c r="AI19" s="60">
        <f>387.7-AM19</f>
        <v>246.2</v>
      </c>
      <c r="AJ19" s="60">
        <f t="shared" si="1"/>
        <v>125.79999999999998</v>
      </c>
      <c r="AK19" s="60">
        <f>SUMIFS(Таблица1[10],Таблица1[2],$D19)</f>
        <v>120.4</v>
      </c>
      <c r="AL19" s="60">
        <f>SUMIFS(Таблица1[11],Таблица1[2],$D19)</f>
        <v>0</v>
      </c>
      <c r="AM19" s="251">
        <f>141.5</f>
        <v>141.5</v>
      </c>
      <c r="AN19" s="249">
        <f t="shared" si="2"/>
        <v>0</v>
      </c>
      <c r="AO19" s="249">
        <f>SUMIFS(Таблица1[12],Таблица1[2],$D19)</f>
        <v>141.5</v>
      </c>
      <c r="AP19" s="249">
        <f>SUMIFS(Таблица1[13],Таблица1[2],$D19)</f>
        <v>0</v>
      </c>
      <c r="AQ19" s="61">
        <f>301.3</f>
        <v>301.3</v>
      </c>
      <c r="AR19" s="61">
        <f t="shared" si="3"/>
        <v>301.3</v>
      </c>
      <c r="AS19" s="60">
        <f>SUMIFS(Таблица1[14],Таблица1[2],$D19)</f>
        <v>0</v>
      </c>
      <c r="AT19" s="60">
        <f>SUMIFS(Таблица1[15],Таблица1[2],$D19)</f>
        <v>0</v>
      </c>
      <c r="AU19" s="61">
        <v>616.6</v>
      </c>
      <c r="AV19" s="61">
        <f t="shared" si="4"/>
        <v>616.6</v>
      </c>
      <c r="AW19" s="60">
        <f>SUMIFS(Таблица1[16],Таблица1[2],$D19)</f>
        <v>0</v>
      </c>
      <c r="AX19" s="60">
        <f>SUMIFS(Таблица1[17],Таблица1[2],$D19)</f>
        <v>0</v>
      </c>
      <c r="AY19" s="263">
        <f>Нежилые!G95</f>
        <v>120.4</v>
      </c>
      <c r="AZ19" s="264"/>
      <c r="BA19" s="296">
        <v>0</v>
      </c>
      <c r="BB19" s="296">
        <f t="shared" si="10"/>
        <v>0</v>
      </c>
      <c r="BC19" s="296">
        <v>0</v>
      </c>
      <c r="BD19" s="296">
        <v>0</v>
      </c>
      <c r="BE19" s="285"/>
      <c r="BF19" s="259">
        <v>2483</v>
      </c>
      <c r="BG19" s="260">
        <v>11260</v>
      </c>
      <c r="BH19" s="62" t="s">
        <v>936</v>
      </c>
      <c r="BI19" s="62" t="s">
        <v>935</v>
      </c>
      <c r="BJ19" s="62"/>
      <c r="BK19" s="267"/>
      <c r="BL19" s="267"/>
      <c r="BM19" s="267" t="s">
        <v>1649</v>
      </c>
      <c r="BN19" s="268"/>
      <c r="BO19" s="62">
        <v>41</v>
      </c>
      <c r="BP19" s="63">
        <v>28730</v>
      </c>
      <c r="BQ19" s="64" t="s">
        <v>1131</v>
      </c>
      <c r="BR19" s="372" t="s">
        <v>2747</v>
      </c>
      <c r="BS19" s="62"/>
      <c r="BT19" s="323"/>
      <c r="BU19" s="62"/>
      <c r="BV19" s="323"/>
      <c r="BW19" s="62"/>
      <c r="BX19" s="336">
        <v>35</v>
      </c>
      <c r="BY19" s="336"/>
    </row>
    <row r="20" spans="1:77" ht="13.15" hidden="1" customHeight="1" outlineLevel="1" x14ac:dyDescent="0.2">
      <c r="A20" s="50">
        <f t="shared" si="11"/>
        <v>15</v>
      </c>
      <c r="B20" s="51">
        <v>2</v>
      </c>
      <c r="C20" s="51">
        <v>3</v>
      </c>
      <c r="D20" s="18" t="s">
        <v>498</v>
      </c>
      <c r="E20" s="18">
        <v>11</v>
      </c>
      <c r="F20" s="18">
        <v>2</v>
      </c>
      <c r="G20" s="52">
        <v>1</v>
      </c>
      <c r="H20" s="237">
        <v>1</v>
      </c>
      <c r="I20" s="53">
        <v>1952</v>
      </c>
      <c r="J20" s="348">
        <v>4</v>
      </c>
      <c r="K20" s="346">
        <f t="shared" si="5"/>
        <v>5</v>
      </c>
      <c r="L20" s="346">
        <v>1</v>
      </c>
      <c r="M20" s="349">
        <v>3</v>
      </c>
      <c r="N20" s="255">
        <f t="shared" si="0"/>
        <v>0</v>
      </c>
      <c r="O20" s="310">
        <v>39</v>
      </c>
      <c r="P20" s="66">
        <v>4</v>
      </c>
      <c r="Q20" s="66"/>
      <c r="R20" s="66">
        <v>0</v>
      </c>
      <c r="S20" s="66">
        <v>25</v>
      </c>
      <c r="T20" s="66">
        <v>14</v>
      </c>
      <c r="U20" s="66">
        <v>0</v>
      </c>
      <c r="V20" s="66">
        <v>0</v>
      </c>
      <c r="W20" s="54">
        <v>0</v>
      </c>
      <c r="X20" s="55">
        <f>SUMIFS(Таблица3[Кол-во квартир],Таблица3[Адрес МКД],$D20)</f>
        <v>35</v>
      </c>
      <c r="Y20" s="56">
        <f t="shared" si="13"/>
        <v>4714.2700000000004</v>
      </c>
      <c r="Z20" s="253">
        <f>SUMIFS(Таблица3[Площадь жилая],Таблица3[Адрес МКД],$D20)</f>
        <v>2073.1</v>
      </c>
      <c r="AA20" s="261">
        <f>SUMIFS(Таблица3[Площадь нежилых помещений],Таблица3[Адрес МКД],$D20)</f>
        <v>870.3</v>
      </c>
      <c r="AB20" s="252">
        <f>SUMIFS(Таблица1[1],Таблица1[2],$D20)</f>
        <v>870.30000000000007</v>
      </c>
      <c r="AC20" s="57">
        <f t="shared" si="7"/>
        <v>870.3</v>
      </c>
      <c r="AD20" s="57">
        <f t="shared" si="8"/>
        <v>0</v>
      </c>
      <c r="AE20" s="58">
        <f>SUMIFS(Таблица1[8],Таблица1[2],$D20)+SUMIFS(Таблица1[18],Таблица1[2],$D20)</f>
        <v>621.29999999999995</v>
      </c>
      <c r="AF20" s="58">
        <f>SUMIFS(Таблица1[9],Таблица1[2],$D20)+SUMIFS(Таблица1[19],Таблица1[2],$D20)</f>
        <v>0</v>
      </c>
      <c r="AG20" s="59">
        <f>AJ20+AR20+AV20+AZ20+BB20</f>
        <v>1770.87</v>
      </c>
      <c r="AH20" s="59">
        <f>AJ20+AL20+AR20+AT20+AV20+AX20+BB20+BD20</f>
        <v>1770.87</v>
      </c>
      <c r="AI20" s="60">
        <f>702.6-AM20</f>
        <v>518.6</v>
      </c>
      <c r="AJ20" s="60">
        <f t="shared" si="1"/>
        <v>453.6</v>
      </c>
      <c r="AK20" s="60">
        <f>SUMIFS(Таблица1[10],Таблица1[2],$D20)</f>
        <v>65</v>
      </c>
      <c r="AL20" s="60">
        <f>SUMIFS(Таблица1[11],Таблица1[2],$D20)</f>
        <v>0</v>
      </c>
      <c r="AM20" s="251">
        <f>184</f>
        <v>184</v>
      </c>
      <c r="AN20" s="249">
        <f t="shared" si="2"/>
        <v>0</v>
      </c>
      <c r="AO20" s="249">
        <f>SUMIFS(Таблица1[12],Таблица1[2],$D20)</f>
        <v>184</v>
      </c>
      <c r="AP20" s="249">
        <f>SUMIFS(Таблица1[13],Таблица1[2],$D20)</f>
        <v>0</v>
      </c>
      <c r="AQ20" s="61">
        <f>416.4</f>
        <v>416.4</v>
      </c>
      <c r="AR20" s="61">
        <f t="shared" si="3"/>
        <v>416.4</v>
      </c>
      <c r="AS20" s="60">
        <f>SUMIFS(Таблица1[14],Таблица1[2],$D20)</f>
        <v>0</v>
      </c>
      <c r="AT20" s="60">
        <f>SUMIFS(Таблица1[15],Таблица1[2],$D20)</f>
        <v>0</v>
      </c>
      <c r="AU20" s="61">
        <v>900.87</v>
      </c>
      <c r="AV20" s="61">
        <f t="shared" si="4"/>
        <v>900.87</v>
      </c>
      <c r="AW20" s="60">
        <f>SUMIFS(Таблица1[16],Таблица1[2],$D20)</f>
        <v>0</v>
      </c>
      <c r="AX20" s="60">
        <f>SUMIFS(Таблица1[17],Таблица1[2],$D20)</f>
        <v>0</v>
      </c>
      <c r="AY20" s="263"/>
      <c r="AZ20" s="264"/>
      <c r="BA20" s="296">
        <v>27.4</v>
      </c>
      <c r="BB20" s="296">
        <f>BA20-BC20-BD20</f>
        <v>0</v>
      </c>
      <c r="BC20" s="296">
        <f>Нежилые!I106</f>
        <v>27.4</v>
      </c>
      <c r="BD20" s="296">
        <v>0</v>
      </c>
      <c r="BE20" s="285"/>
      <c r="BF20" s="259">
        <v>2816</v>
      </c>
      <c r="BG20" s="260">
        <f>9598+42+2665</f>
        <v>12305</v>
      </c>
      <c r="BH20" s="62" t="s">
        <v>936</v>
      </c>
      <c r="BI20" s="62" t="s">
        <v>935</v>
      </c>
      <c r="BJ20" s="62"/>
      <c r="BK20" s="267"/>
      <c r="BL20" s="267"/>
      <c r="BM20" s="267" t="s">
        <v>1649</v>
      </c>
      <c r="BN20" s="268"/>
      <c r="BO20" s="62">
        <v>20</v>
      </c>
      <c r="BP20" s="63">
        <v>29293</v>
      </c>
      <c r="BQ20" s="64" t="s">
        <v>1131</v>
      </c>
      <c r="BR20" s="372" t="s">
        <v>2747</v>
      </c>
      <c r="BS20" s="62"/>
      <c r="BT20" s="323"/>
      <c r="BU20" s="62"/>
      <c r="BV20" s="323"/>
      <c r="BW20" s="62"/>
      <c r="BX20" s="338"/>
      <c r="BY20" s="336"/>
    </row>
    <row r="21" spans="1:77" ht="13.15" hidden="1" customHeight="1" outlineLevel="1" x14ac:dyDescent="0.2">
      <c r="A21" s="50">
        <f t="shared" si="11"/>
        <v>16</v>
      </c>
      <c r="B21" s="51">
        <v>3</v>
      </c>
      <c r="C21" s="51">
        <v>4</v>
      </c>
      <c r="D21" s="18" t="s">
        <v>499</v>
      </c>
      <c r="E21" s="18">
        <v>11</v>
      </c>
      <c r="F21" s="18">
        <v>2</v>
      </c>
      <c r="G21" s="52">
        <v>1</v>
      </c>
      <c r="H21" s="237">
        <v>1</v>
      </c>
      <c r="I21" s="53">
        <v>1952</v>
      </c>
      <c r="J21" s="348">
        <v>4</v>
      </c>
      <c r="K21" s="346">
        <f t="shared" si="5"/>
        <v>5</v>
      </c>
      <c r="L21" s="346">
        <v>1</v>
      </c>
      <c r="M21" s="349">
        <v>3</v>
      </c>
      <c r="N21" s="255">
        <f t="shared" si="0"/>
        <v>5</v>
      </c>
      <c r="O21" s="310">
        <v>40</v>
      </c>
      <c r="P21" s="66">
        <v>6</v>
      </c>
      <c r="Q21" s="66"/>
      <c r="R21" s="66">
        <v>0</v>
      </c>
      <c r="S21" s="66">
        <v>28</v>
      </c>
      <c r="T21" s="66">
        <v>12</v>
      </c>
      <c r="U21" s="66">
        <v>0</v>
      </c>
      <c r="V21" s="66">
        <v>0</v>
      </c>
      <c r="W21" s="54">
        <v>0</v>
      </c>
      <c r="X21" s="55">
        <f>SUMIFS(Таблица3[Кол-во квартир],Таблица3[Адрес МКД],$D21)</f>
        <v>29</v>
      </c>
      <c r="Y21" s="56">
        <f t="shared" si="13"/>
        <v>3720.97</v>
      </c>
      <c r="Z21" s="253">
        <f>SUMIFS(Таблица3[Площадь жилая],Таблица3[Адрес МКД],$D21)</f>
        <v>2050.5</v>
      </c>
      <c r="AA21" s="261">
        <f>SUMIFS(Таблица3[Площадь нежилых помещений],Таблица3[Адрес МКД],$D21)</f>
        <v>537.20000000000005</v>
      </c>
      <c r="AB21" s="252">
        <f>SUMIFS(Таблица1[1],Таблица1[2],$D21)</f>
        <v>537.20000000000005</v>
      </c>
      <c r="AC21" s="57">
        <f t="shared" si="7"/>
        <v>537.20000000000005</v>
      </c>
      <c r="AD21" s="57">
        <f t="shared" si="8"/>
        <v>0</v>
      </c>
      <c r="AE21" s="58">
        <f>SUMIFS(Таблица1[8],Таблица1[2],$D21)+SUMIFS(Таблица1[18],Таблица1[2],$D21)</f>
        <v>379.2</v>
      </c>
      <c r="AF21" s="58">
        <f>SUMIFS(Таблица1[9],Таблица1[2],$D21)+SUMIFS(Таблица1[19],Таблица1[2],$D21)</f>
        <v>0</v>
      </c>
      <c r="AG21" s="59">
        <f t="shared" si="9"/>
        <v>1133.27</v>
      </c>
      <c r="AH21" s="59">
        <f t="shared" si="12"/>
        <v>1133.27</v>
      </c>
      <c r="AI21" s="60">
        <f>200.6-AM21</f>
        <v>42.599999999999994</v>
      </c>
      <c r="AJ21" s="60">
        <f t="shared" si="1"/>
        <v>42.599999999999994</v>
      </c>
      <c r="AK21" s="60">
        <f>SUMIFS(Таблица1[10],Таблица1[2],$D21)</f>
        <v>0</v>
      </c>
      <c r="AL21" s="60">
        <f>SUMIFS(Таблица1[11],Таблица1[2],$D21)</f>
        <v>0</v>
      </c>
      <c r="AM21" s="251">
        <f>158</f>
        <v>158</v>
      </c>
      <c r="AN21" s="249">
        <f t="shared" si="2"/>
        <v>0</v>
      </c>
      <c r="AO21" s="249">
        <f>SUMIFS(Таблица1[12],Таблица1[2],$D21)</f>
        <v>158</v>
      </c>
      <c r="AP21" s="249">
        <f>SUMIFS(Таблица1[13],Таблица1[2],$D21)</f>
        <v>0</v>
      </c>
      <c r="AQ21" s="61">
        <f>360.1</f>
        <v>360.1</v>
      </c>
      <c r="AR21" s="61">
        <f t="shared" si="3"/>
        <v>360.1</v>
      </c>
      <c r="AS21" s="60">
        <f>SUMIFS(Таблица1[14],Таблица1[2],$D21)</f>
        <v>0</v>
      </c>
      <c r="AT21" s="60">
        <f>SUMIFS(Таблица1[15],Таблица1[2],$D21)</f>
        <v>0</v>
      </c>
      <c r="AU21" s="61">
        <v>730.57</v>
      </c>
      <c r="AV21" s="61">
        <f t="shared" si="4"/>
        <v>730.57</v>
      </c>
      <c r="AW21" s="60">
        <f>SUMIFS(Таблица1[16],Таблица1[2],$D21)</f>
        <v>0</v>
      </c>
      <c r="AX21" s="60">
        <f>SUMIFS(Таблица1[17],Таблица1[2],$D21)</f>
        <v>0</v>
      </c>
      <c r="AY21" s="263"/>
      <c r="AZ21" s="264"/>
      <c r="BA21" s="296">
        <v>0</v>
      </c>
      <c r="BB21" s="296">
        <f t="shared" ref="BB21:BB84" si="14">BA21-BC21-BD21</f>
        <v>0</v>
      </c>
      <c r="BC21" s="296">
        <v>0</v>
      </c>
      <c r="BD21" s="296">
        <v>0</v>
      </c>
      <c r="BE21" s="285"/>
      <c r="BF21" s="259">
        <v>997</v>
      </c>
      <c r="BG21" s="260">
        <f>10774+67</f>
        <v>10841</v>
      </c>
      <c r="BH21" s="62" t="s">
        <v>939</v>
      </c>
      <c r="BI21" s="62" t="s">
        <v>935</v>
      </c>
      <c r="BJ21" s="62"/>
      <c r="BK21" s="267"/>
      <c r="BL21" s="267"/>
      <c r="BM21" s="267" t="s">
        <v>1649</v>
      </c>
      <c r="BN21" s="268"/>
      <c r="BO21" s="62">
        <v>32</v>
      </c>
      <c r="BP21" s="63">
        <v>28564</v>
      </c>
      <c r="BQ21" s="64" t="s">
        <v>1131</v>
      </c>
      <c r="BR21" s="372" t="s">
        <v>2747</v>
      </c>
      <c r="BS21" s="62"/>
      <c r="BT21" s="323"/>
      <c r="BU21" s="62"/>
      <c r="BV21" s="323"/>
      <c r="BW21" s="62"/>
      <c r="BX21" s="336">
        <v>33</v>
      </c>
      <c r="BY21" s="336"/>
    </row>
    <row r="22" spans="1:77" ht="13.15" hidden="1" customHeight="1" outlineLevel="1" x14ac:dyDescent="0.2">
      <c r="A22" s="50">
        <f t="shared" si="11"/>
        <v>17</v>
      </c>
      <c r="B22" s="51">
        <v>4</v>
      </c>
      <c r="C22" s="51">
        <v>5</v>
      </c>
      <c r="D22" s="18" t="s">
        <v>500</v>
      </c>
      <c r="E22" s="18">
        <v>11</v>
      </c>
      <c r="F22" s="18">
        <v>2</v>
      </c>
      <c r="G22" s="52">
        <v>1</v>
      </c>
      <c r="H22" s="237">
        <v>1</v>
      </c>
      <c r="I22" s="53">
        <v>1954</v>
      </c>
      <c r="J22" s="348">
        <v>4</v>
      </c>
      <c r="K22" s="346">
        <f t="shared" si="5"/>
        <v>5</v>
      </c>
      <c r="L22" s="346">
        <v>1</v>
      </c>
      <c r="M22" s="349">
        <v>4</v>
      </c>
      <c r="N22" s="255">
        <f t="shared" si="0"/>
        <v>1</v>
      </c>
      <c r="O22" s="310">
        <v>60</v>
      </c>
      <c r="P22" s="66">
        <v>7</v>
      </c>
      <c r="Q22" s="66"/>
      <c r="R22" s="66">
        <v>1</v>
      </c>
      <c r="S22" s="66">
        <v>39</v>
      </c>
      <c r="T22" s="66">
        <v>20</v>
      </c>
      <c r="U22" s="66">
        <v>0</v>
      </c>
      <c r="V22" s="66">
        <v>0</v>
      </c>
      <c r="W22" s="54">
        <v>0</v>
      </c>
      <c r="X22" s="55">
        <f>SUMIFS(Таблица3[Кол-во квартир],Таблица3[Адрес МКД],$D22)</f>
        <v>52</v>
      </c>
      <c r="Y22" s="56">
        <f t="shared" si="13"/>
        <v>5906.5599999999995</v>
      </c>
      <c r="Z22" s="253">
        <f>SUMIFS(Таблица3[Площадь жилая],Таблица3[Адрес МКД],$D22)</f>
        <v>3321.16</v>
      </c>
      <c r="AA22" s="261">
        <f>SUMIFS(Таблица3[Площадь нежилых помещений],Таблица3[Адрес МКД],$D22)</f>
        <v>594</v>
      </c>
      <c r="AB22" s="252">
        <f>SUMIFS(Таблица1[1],Таблица1[2],$D22)</f>
        <v>593.99999999999989</v>
      </c>
      <c r="AC22" s="57">
        <f t="shared" si="7"/>
        <v>593.99999999999989</v>
      </c>
      <c r="AD22" s="57">
        <f t="shared" si="8"/>
        <v>0</v>
      </c>
      <c r="AE22" s="58">
        <f>SUMIFS(Таблица1[8],Таблица1[2],$D22)+SUMIFS(Таблица1[18],Таблица1[2],$D22)</f>
        <v>441.89999999999992</v>
      </c>
      <c r="AF22" s="58">
        <f>SUMIFS(Таблица1[9],Таблица1[2],$D22)+SUMIFS(Таблица1[19],Таблица1[2],$D22)</f>
        <v>0</v>
      </c>
      <c r="AG22" s="59">
        <f t="shared" si="9"/>
        <v>1991.4</v>
      </c>
      <c r="AH22" s="59">
        <f t="shared" si="12"/>
        <v>1991.4</v>
      </c>
      <c r="AI22" s="60">
        <f>464.5-AM22</f>
        <v>312.39999999999998</v>
      </c>
      <c r="AJ22" s="60">
        <f t="shared" si="1"/>
        <v>312.39999999999998</v>
      </c>
      <c r="AK22" s="60">
        <f>SUMIFS(Таблица1[10],Таблица1[2],$D22)</f>
        <v>0</v>
      </c>
      <c r="AL22" s="60">
        <f>SUMIFS(Таблица1[11],Таблица1[2],$D22)</f>
        <v>0</v>
      </c>
      <c r="AM22" s="251">
        <f>152.1</f>
        <v>152.1</v>
      </c>
      <c r="AN22" s="249">
        <f t="shared" si="2"/>
        <v>0</v>
      </c>
      <c r="AO22" s="249">
        <f>SUMIFS(Таблица1[12],Таблица1[2],$D22)</f>
        <v>152.1</v>
      </c>
      <c r="AP22" s="249">
        <f>SUMIFS(Таблица1[13],Таблица1[2],$D22)</f>
        <v>0</v>
      </c>
      <c r="AQ22" s="61">
        <f>402</f>
        <v>402</v>
      </c>
      <c r="AR22" s="61">
        <f t="shared" si="3"/>
        <v>402</v>
      </c>
      <c r="AS22" s="60">
        <f>SUMIFS(Таблица1[14],Таблица1[2],$D22)</f>
        <v>0</v>
      </c>
      <c r="AT22" s="60">
        <f>SUMIFS(Таблица1[15],Таблица1[2],$D22)</f>
        <v>0</v>
      </c>
      <c r="AU22" s="61">
        <v>1277</v>
      </c>
      <c r="AV22" s="61">
        <f t="shared" si="4"/>
        <v>1277</v>
      </c>
      <c r="AW22" s="60">
        <f>SUMIFS(Таблица1[16],Таблица1[2],$D22)</f>
        <v>0</v>
      </c>
      <c r="AX22" s="60">
        <f>SUMIFS(Таблица1[17],Таблица1[2],$D22)</f>
        <v>0</v>
      </c>
      <c r="AY22" s="263"/>
      <c r="AZ22" s="264"/>
      <c r="BA22" s="296">
        <v>0</v>
      </c>
      <c r="BB22" s="296">
        <f t="shared" si="14"/>
        <v>0</v>
      </c>
      <c r="BC22" s="296">
        <v>0</v>
      </c>
      <c r="BD22" s="296">
        <v>0</v>
      </c>
      <c r="BE22" s="285"/>
      <c r="BF22" s="259">
        <v>1755</v>
      </c>
      <c r="BG22" s="260">
        <v>16674</v>
      </c>
      <c r="BH22" s="62" t="s">
        <v>936</v>
      </c>
      <c r="BI22" s="62" t="s">
        <v>935</v>
      </c>
      <c r="BJ22" s="62"/>
      <c r="BK22" s="267"/>
      <c r="BL22" s="267"/>
      <c r="BM22" s="267" t="s">
        <v>1649</v>
      </c>
      <c r="BN22" s="268"/>
      <c r="BO22" s="62">
        <v>32</v>
      </c>
      <c r="BP22" s="63">
        <v>30292</v>
      </c>
      <c r="BQ22" s="64" t="s">
        <v>1131</v>
      </c>
      <c r="BR22" s="372" t="s">
        <v>2747</v>
      </c>
      <c r="BS22" s="62"/>
      <c r="BT22" s="323"/>
      <c r="BU22" s="62"/>
      <c r="BV22" s="323"/>
      <c r="BW22" s="62"/>
      <c r="BX22" s="336">
        <v>46</v>
      </c>
      <c r="BY22" s="336"/>
    </row>
    <row r="23" spans="1:77" ht="13.15" hidden="1" customHeight="1" outlineLevel="1" x14ac:dyDescent="0.2">
      <c r="A23" s="50">
        <f t="shared" si="11"/>
        <v>18</v>
      </c>
      <c r="B23" s="51">
        <v>4</v>
      </c>
      <c r="C23" s="51">
        <v>6</v>
      </c>
      <c r="D23" s="18" t="s">
        <v>432</v>
      </c>
      <c r="E23" s="18">
        <v>10</v>
      </c>
      <c r="F23" s="18">
        <v>2</v>
      </c>
      <c r="G23" s="52">
        <v>1</v>
      </c>
      <c r="H23" s="237">
        <v>1</v>
      </c>
      <c r="I23" s="53">
        <v>1954</v>
      </c>
      <c r="J23" s="348">
        <v>4</v>
      </c>
      <c r="K23" s="346">
        <f t="shared" si="5"/>
        <v>5</v>
      </c>
      <c r="L23" s="346">
        <v>1</v>
      </c>
      <c r="M23" s="349">
        <v>4</v>
      </c>
      <c r="N23" s="255">
        <f t="shared" si="0"/>
        <v>3</v>
      </c>
      <c r="O23" s="310">
        <v>60</v>
      </c>
      <c r="P23" s="66">
        <v>9</v>
      </c>
      <c r="Q23" s="66"/>
      <c r="R23" s="66">
        <v>1</v>
      </c>
      <c r="S23" s="66">
        <v>39</v>
      </c>
      <c r="T23" s="66">
        <v>20</v>
      </c>
      <c r="U23" s="66">
        <v>0</v>
      </c>
      <c r="V23" s="66">
        <v>0</v>
      </c>
      <c r="W23" s="54">
        <v>0</v>
      </c>
      <c r="X23" s="55">
        <f>SUMIFS(Таблица3[Кол-во квартир],Таблица3[Адрес МКД],$D23)</f>
        <v>48</v>
      </c>
      <c r="Y23" s="56">
        <f t="shared" si="13"/>
        <v>5625.3</v>
      </c>
      <c r="Z23" s="253">
        <f>SUMIFS(Таблица3[Площадь жилая],Таблица3[Адрес МКД],$D23)</f>
        <v>3172.9</v>
      </c>
      <c r="AA23" s="261">
        <f>SUMIFS(Таблица3[Площадь нежилых помещений],Таблица3[Адрес МКД],$D23)</f>
        <v>817</v>
      </c>
      <c r="AB23" s="252">
        <f>SUMIFS(Таблица1[1],Таблица1[2],$D23)</f>
        <v>730.1</v>
      </c>
      <c r="AC23" s="57">
        <f t="shared" si="7"/>
        <v>730.1</v>
      </c>
      <c r="AD23" s="57">
        <f t="shared" si="8"/>
        <v>0</v>
      </c>
      <c r="AE23" s="58">
        <f>SUMIFS(Таблица1[8],Таблица1[2],$D23)+SUMIFS(Таблица1[18],Таблица1[2],$D23)</f>
        <v>578.1</v>
      </c>
      <c r="AF23" s="58">
        <f>SUMIFS(Таблица1[9],Таблица1[2],$D23)+SUMIFS(Таблица1[19],Таблица1[2],$D23)</f>
        <v>0</v>
      </c>
      <c r="AG23" s="59">
        <f t="shared" si="9"/>
        <v>1722.3</v>
      </c>
      <c r="AH23" s="59">
        <f t="shared" si="12"/>
        <v>1722.3</v>
      </c>
      <c r="AI23" s="60">
        <f>469-AM23</f>
        <v>317</v>
      </c>
      <c r="AJ23" s="60">
        <f t="shared" si="1"/>
        <v>317</v>
      </c>
      <c r="AK23" s="60">
        <f>SUMIFS(Таблица1[10],Таблица1[2],$D23)</f>
        <v>0</v>
      </c>
      <c r="AL23" s="60">
        <f>SUMIFS(Таблица1[11],Таблица1[2],$D23)</f>
        <v>0</v>
      </c>
      <c r="AM23" s="251">
        <f>40.6+152+46.3-40.6-46.3</f>
        <v>152</v>
      </c>
      <c r="AN23" s="249">
        <f t="shared" si="2"/>
        <v>0</v>
      </c>
      <c r="AO23" s="249">
        <f>SUMIFS(Таблица1[12],Таблица1[2],$D23)</f>
        <v>152</v>
      </c>
      <c r="AP23" s="249">
        <f>SUMIFS(Таблица1[13],Таблица1[2],$D23)</f>
        <v>0</v>
      </c>
      <c r="AQ23" s="61">
        <f>409.3</f>
        <v>409.3</v>
      </c>
      <c r="AR23" s="61">
        <f t="shared" si="3"/>
        <v>409.3</v>
      </c>
      <c r="AS23" s="60">
        <f>SUMIFS(Таблица1[14],Таблица1[2],$D23)</f>
        <v>0</v>
      </c>
      <c r="AT23" s="60">
        <f>SUMIFS(Таблица1[15],Таблица1[2],$D23)</f>
        <v>0</v>
      </c>
      <c r="AU23" s="61">
        <v>996</v>
      </c>
      <c r="AV23" s="61">
        <f t="shared" si="4"/>
        <v>996</v>
      </c>
      <c r="AW23" s="60">
        <f>SUMIFS(Таблица1[16],Таблица1[2],$D23)</f>
        <v>0</v>
      </c>
      <c r="AX23" s="60">
        <f>SUMIFS(Таблица1[17],Таблица1[2],$D23)</f>
        <v>0</v>
      </c>
      <c r="AY23" s="263"/>
      <c r="AZ23" s="264"/>
      <c r="BA23" s="296">
        <v>0</v>
      </c>
      <c r="BB23" s="296">
        <f t="shared" si="14"/>
        <v>0</v>
      </c>
      <c r="BC23" s="296">
        <v>0</v>
      </c>
      <c r="BD23" s="296">
        <v>0</v>
      </c>
      <c r="BE23" s="285"/>
      <c r="BF23" s="259">
        <v>1963</v>
      </c>
      <c r="BG23" s="260">
        <v>17266</v>
      </c>
      <c r="BH23" s="62" t="s">
        <v>936</v>
      </c>
      <c r="BI23" s="62" t="s">
        <v>935</v>
      </c>
      <c r="BJ23" s="62"/>
      <c r="BK23" s="267"/>
      <c r="BL23" s="267"/>
      <c r="BM23" s="267" t="s">
        <v>1649</v>
      </c>
      <c r="BN23" s="268"/>
      <c r="BO23" s="62">
        <v>27</v>
      </c>
      <c r="BP23" s="63">
        <v>28682</v>
      </c>
      <c r="BQ23" s="64" t="s">
        <v>1131</v>
      </c>
      <c r="BR23" s="372" t="s">
        <v>2747</v>
      </c>
      <c r="BS23" s="62"/>
      <c r="BT23" s="323"/>
      <c r="BU23" s="62"/>
      <c r="BV23" s="323"/>
      <c r="BW23" s="62"/>
      <c r="BX23" s="336">
        <v>46</v>
      </c>
      <c r="BY23" s="336"/>
    </row>
    <row r="24" spans="1:77" ht="13.15" hidden="1" customHeight="1" outlineLevel="1" x14ac:dyDescent="0.2">
      <c r="A24" s="50">
        <f t="shared" si="11"/>
        <v>19</v>
      </c>
      <c r="B24" s="51">
        <v>5</v>
      </c>
      <c r="C24" s="51">
        <v>7</v>
      </c>
      <c r="D24" s="18" t="s">
        <v>501</v>
      </c>
      <c r="E24" s="18">
        <v>11</v>
      </c>
      <c r="F24" s="18">
        <v>2</v>
      </c>
      <c r="G24" s="52">
        <v>1</v>
      </c>
      <c r="H24" s="237">
        <v>1</v>
      </c>
      <c r="I24" s="53">
        <v>1954</v>
      </c>
      <c r="J24" s="348">
        <v>4</v>
      </c>
      <c r="K24" s="346">
        <f t="shared" si="5"/>
        <v>4</v>
      </c>
      <c r="L24" s="346">
        <v>0</v>
      </c>
      <c r="M24" s="349">
        <v>2</v>
      </c>
      <c r="N24" s="255">
        <f t="shared" si="0"/>
        <v>4</v>
      </c>
      <c r="O24" s="310">
        <v>32</v>
      </c>
      <c r="P24" s="66">
        <v>2</v>
      </c>
      <c r="Q24" s="66"/>
      <c r="R24" s="66">
        <v>6</v>
      </c>
      <c r="S24" s="66">
        <v>16</v>
      </c>
      <c r="T24" s="66">
        <v>10</v>
      </c>
      <c r="U24" s="66">
        <v>0</v>
      </c>
      <c r="V24" s="66">
        <v>0</v>
      </c>
      <c r="W24" s="54">
        <v>0</v>
      </c>
      <c r="X24" s="55">
        <f>SUMIFS(Таблица3[Кол-во квартир],Таблица3[Адрес МКД],$D24)</f>
        <v>26</v>
      </c>
      <c r="Y24" s="56">
        <f t="shared" si="13"/>
        <v>2541.1400000000003</v>
      </c>
      <c r="Z24" s="253">
        <f>SUMIFS(Таблица3[Площадь жилая],Таблица3[Адрес МКД],$D24)</f>
        <v>1709</v>
      </c>
      <c r="AA24" s="261">
        <f>SUMIFS(Таблица3[Площадь нежилых помещений],Таблица3[Адрес МКД],$D24)</f>
        <v>83.4</v>
      </c>
      <c r="AB24" s="252">
        <f>SUMIFS(Таблица1[1],Таблица1[2],$D24)</f>
        <v>83.4</v>
      </c>
      <c r="AC24" s="57">
        <f t="shared" si="7"/>
        <v>83.4</v>
      </c>
      <c r="AD24" s="57">
        <f t="shared" si="8"/>
        <v>0</v>
      </c>
      <c r="AE24" s="58">
        <f>SUMIFS(Таблица1[8],Таблица1[2],$D24)+SUMIFS(Таблица1[18],Таблица1[2],$D24)</f>
        <v>83.4</v>
      </c>
      <c r="AF24" s="58">
        <f>SUMIFS(Таблица1[9],Таблица1[2],$D24)+SUMIFS(Таблица1[19],Таблица1[2],$D24)</f>
        <v>0</v>
      </c>
      <c r="AG24" s="59">
        <f t="shared" si="9"/>
        <v>748.74</v>
      </c>
      <c r="AH24" s="59">
        <f t="shared" si="12"/>
        <v>748.74</v>
      </c>
      <c r="AI24" s="60">
        <f>0-AM24</f>
        <v>0</v>
      </c>
      <c r="AJ24" s="60">
        <f t="shared" si="1"/>
        <v>0</v>
      </c>
      <c r="AK24" s="60">
        <f>SUMIFS(Таблица1[10],Таблица1[2],$D24)</f>
        <v>0</v>
      </c>
      <c r="AL24" s="60">
        <f>SUMIFS(Таблица1[11],Таблица1[2],$D24)</f>
        <v>0</v>
      </c>
      <c r="AM24" s="251">
        <v>0</v>
      </c>
      <c r="AN24" s="249">
        <f t="shared" si="2"/>
        <v>0</v>
      </c>
      <c r="AO24" s="249">
        <f>SUMIFS(Таблица1[12],Таблица1[2],$D24)</f>
        <v>0</v>
      </c>
      <c r="AP24" s="249">
        <f>SUMIFS(Таблица1[13],Таблица1[2],$D24)</f>
        <v>0</v>
      </c>
      <c r="AQ24" s="61">
        <f>175.6</f>
        <v>175.6</v>
      </c>
      <c r="AR24" s="61">
        <f t="shared" si="3"/>
        <v>175.6</v>
      </c>
      <c r="AS24" s="60">
        <f>SUMIFS(Таблица1[14],Таблица1[2],$D24)</f>
        <v>0</v>
      </c>
      <c r="AT24" s="60">
        <f>SUMIFS(Таблица1[15],Таблица1[2],$D24)</f>
        <v>0</v>
      </c>
      <c r="AU24" s="61">
        <v>573.14</v>
      </c>
      <c r="AV24" s="61">
        <f t="shared" si="4"/>
        <v>573.14</v>
      </c>
      <c r="AW24" s="60">
        <f>SUMIFS(Таблица1[16],Таблица1[2],$D24)</f>
        <v>0</v>
      </c>
      <c r="AX24" s="60">
        <f>SUMIFS(Таблица1[17],Таблица1[2],$D24)</f>
        <v>0</v>
      </c>
      <c r="AY24" s="263"/>
      <c r="AZ24" s="264"/>
      <c r="BA24" s="296">
        <v>0</v>
      </c>
      <c r="BB24" s="296">
        <f t="shared" si="14"/>
        <v>0</v>
      </c>
      <c r="BC24" s="296">
        <v>0</v>
      </c>
      <c r="BD24" s="296">
        <v>0</v>
      </c>
      <c r="BE24" s="285"/>
      <c r="BF24" s="259">
        <v>0</v>
      </c>
      <c r="BG24" s="260">
        <v>8371</v>
      </c>
      <c r="BH24" s="62" t="s">
        <v>936</v>
      </c>
      <c r="BI24" s="62" t="s">
        <v>935</v>
      </c>
      <c r="BJ24" s="62"/>
      <c r="BK24" s="267"/>
      <c r="BL24" s="267"/>
      <c r="BM24" s="267" t="s">
        <v>1649</v>
      </c>
      <c r="BN24" s="268"/>
      <c r="BO24" s="62">
        <v>20</v>
      </c>
      <c r="BP24" s="63">
        <v>28783</v>
      </c>
      <c r="BQ24" s="64" t="s">
        <v>1131</v>
      </c>
      <c r="BR24" s="372" t="s">
        <v>2747</v>
      </c>
      <c r="BS24" s="62"/>
      <c r="BT24" s="323"/>
      <c r="BU24" s="62"/>
      <c r="BV24" s="323"/>
      <c r="BW24" s="62"/>
      <c r="BX24" s="336">
        <v>25</v>
      </c>
      <c r="BY24" s="336"/>
    </row>
    <row r="25" spans="1:77" ht="13.15" hidden="1" customHeight="1" outlineLevel="1" x14ac:dyDescent="0.2">
      <c r="A25" s="50">
        <f t="shared" si="11"/>
        <v>20</v>
      </c>
      <c r="B25" s="51">
        <v>5</v>
      </c>
      <c r="C25" s="51">
        <v>8</v>
      </c>
      <c r="D25" s="18" t="s">
        <v>433</v>
      </c>
      <c r="E25" s="18">
        <v>10</v>
      </c>
      <c r="F25" s="18">
        <v>2</v>
      </c>
      <c r="G25" s="52">
        <v>1</v>
      </c>
      <c r="H25" s="237">
        <v>1</v>
      </c>
      <c r="I25" s="53">
        <v>1954</v>
      </c>
      <c r="J25" s="348">
        <v>4</v>
      </c>
      <c r="K25" s="346">
        <f t="shared" si="5"/>
        <v>4</v>
      </c>
      <c r="L25" s="346">
        <v>0</v>
      </c>
      <c r="M25" s="349">
        <v>2</v>
      </c>
      <c r="N25" s="255">
        <f t="shared" si="0"/>
        <v>0</v>
      </c>
      <c r="O25" s="310">
        <v>32</v>
      </c>
      <c r="P25" s="66">
        <v>4</v>
      </c>
      <c r="Q25" s="66"/>
      <c r="R25" s="66">
        <v>6</v>
      </c>
      <c r="S25" s="66">
        <v>16</v>
      </c>
      <c r="T25" s="66">
        <v>10</v>
      </c>
      <c r="U25" s="66">
        <v>0</v>
      </c>
      <c r="V25" s="66">
        <v>0</v>
      </c>
      <c r="W25" s="54">
        <v>0</v>
      </c>
      <c r="X25" s="55">
        <f>SUMIFS(Таблица3[Кол-во квартир],Таблица3[Адрес МКД],$D25)</f>
        <v>28</v>
      </c>
      <c r="Y25" s="56">
        <f t="shared" si="13"/>
        <v>2595.1999999999998</v>
      </c>
      <c r="Z25" s="253">
        <f>SUMIFS(Таблица3[Площадь жилая],Таблица3[Адрес МКД],$D25)</f>
        <v>1618.9</v>
      </c>
      <c r="AA25" s="261">
        <f>SUMIFS(Таблица3[Площадь нежилых помещений],Таблица3[Адрес МКД],$D25)</f>
        <v>216</v>
      </c>
      <c r="AB25" s="252">
        <f>SUMIFS(Таблица1[1],Таблица1[2],$D25)</f>
        <v>216</v>
      </c>
      <c r="AC25" s="57">
        <f t="shared" si="7"/>
        <v>216</v>
      </c>
      <c r="AD25" s="57">
        <f t="shared" si="8"/>
        <v>0</v>
      </c>
      <c r="AE25" s="58">
        <f>SUMIFS(Таблица1[8],Таблица1[2],$D25)+SUMIFS(Таблица1[18],Таблица1[2],$D25)</f>
        <v>216</v>
      </c>
      <c r="AF25" s="58">
        <f>SUMIFS(Таблица1[9],Таблица1[2],$D25)+SUMIFS(Таблица1[19],Таблица1[2],$D25)</f>
        <v>0</v>
      </c>
      <c r="AG25" s="59">
        <f t="shared" si="9"/>
        <v>760.3</v>
      </c>
      <c r="AH25" s="59">
        <f t="shared" si="12"/>
        <v>760.3</v>
      </c>
      <c r="AI25" s="60">
        <f>0-AM25</f>
        <v>0</v>
      </c>
      <c r="AJ25" s="60">
        <f t="shared" si="1"/>
        <v>0</v>
      </c>
      <c r="AK25" s="60">
        <f>SUMIFS(Таблица1[10],Таблица1[2],$D25)</f>
        <v>0</v>
      </c>
      <c r="AL25" s="60">
        <f>SUMIFS(Таблица1[11],Таблица1[2],$D25)</f>
        <v>0</v>
      </c>
      <c r="AM25" s="251">
        <v>0</v>
      </c>
      <c r="AN25" s="249">
        <f t="shared" si="2"/>
        <v>0</v>
      </c>
      <c r="AO25" s="249">
        <f>SUMIFS(Таблица1[12],Таблица1[2],$D25)</f>
        <v>0</v>
      </c>
      <c r="AP25" s="249">
        <f>SUMIFS(Таблица1[13],Таблица1[2],$D25)</f>
        <v>0</v>
      </c>
      <c r="AQ25" s="61">
        <f>180.5</f>
        <v>180.5</v>
      </c>
      <c r="AR25" s="61">
        <f t="shared" si="3"/>
        <v>180.5</v>
      </c>
      <c r="AS25" s="60">
        <f>SUMIFS(Таблица1[14],Таблица1[2],$D25)</f>
        <v>0</v>
      </c>
      <c r="AT25" s="60">
        <f>SUMIFS(Таблица1[15],Таблица1[2],$D25)</f>
        <v>0</v>
      </c>
      <c r="AU25" s="61">
        <v>579.79999999999995</v>
      </c>
      <c r="AV25" s="61">
        <f t="shared" si="4"/>
        <v>579.79999999999995</v>
      </c>
      <c r="AW25" s="60">
        <f>SUMIFS(Таблица1[16],Таблица1[2],$D25)</f>
        <v>0</v>
      </c>
      <c r="AX25" s="60">
        <f>SUMIFS(Таблица1[17],Таблица1[2],$D25)</f>
        <v>0</v>
      </c>
      <c r="AY25" s="263"/>
      <c r="AZ25" s="264"/>
      <c r="BA25" s="296">
        <v>0</v>
      </c>
      <c r="BB25" s="296">
        <f t="shared" si="14"/>
        <v>0</v>
      </c>
      <c r="BC25" s="296">
        <v>0</v>
      </c>
      <c r="BD25" s="296">
        <v>0</v>
      </c>
      <c r="BE25" s="285"/>
      <c r="BF25" s="259">
        <v>0</v>
      </c>
      <c r="BG25" s="260">
        <v>8944</v>
      </c>
      <c r="BH25" s="62" t="s">
        <v>936</v>
      </c>
      <c r="BI25" s="62" t="s">
        <v>935</v>
      </c>
      <c r="BJ25" s="62"/>
      <c r="BK25" s="267"/>
      <c r="BL25" s="267"/>
      <c r="BM25" s="267" t="s">
        <v>1649</v>
      </c>
      <c r="BN25" s="268"/>
      <c r="BO25" s="62">
        <v>27</v>
      </c>
      <c r="BP25" s="63">
        <v>28681</v>
      </c>
      <c r="BQ25" s="64" t="s">
        <v>1131</v>
      </c>
      <c r="BR25" s="372" t="s">
        <v>2747</v>
      </c>
      <c r="BS25" s="62"/>
      <c r="BT25" s="323"/>
      <c r="BU25" s="62"/>
      <c r="BV25" s="323"/>
      <c r="BW25" s="62"/>
      <c r="BX25" s="338"/>
      <c r="BY25" s="336"/>
    </row>
    <row r="26" spans="1:77" ht="13.15" hidden="1" customHeight="1" outlineLevel="1" x14ac:dyDescent="0.2">
      <c r="A26" s="50">
        <f t="shared" si="11"/>
        <v>21</v>
      </c>
      <c r="B26" s="51">
        <v>6</v>
      </c>
      <c r="C26" s="51">
        <v>9</v>
      </c>
      <c r="D26" s="18" t="s">
        <v>502</v>
      </c>
      <c r="E26" s="18">
        <v>11</v>
      </c>
      <c r="F26" s="18">
        <v>2</v>
      </c>
      <c r="G26" s="52">
        <v>1</v>
      </c>
      <c r="H26" s="237">
        <v>1</v>
      </c>
      <c r="I26" s="53">
        <v>1954</v>
      </c>
      <c r="J26" s="350">
        <v>4.5</v>
      </c>
      <c r="K26" s="345">
        <v>5.6</v>
      </c>
      <c r="L26" s="346">
        <v>1</v>
      </c>
      <c r="M26" s="349">
        <v>4</v>
      </c>
      <c r="N26" s="255">
        <f t="shared" si="0"/>
        <v>3</v>
      </c>
      <c r="O26" s="310">
        <v>62</v>
      </c>
      <c r="P26" s="66">
        <v>8</v>
      </c>
      <c r="Q26" s="66"/>
      <c r="R26" s="66">
        <v>1</v>
      </c>
      <c r="S26" s="66">
        <v>30</v>
      </c>
      <c r="T26" s="66">
        <v>28</v>
      </c>
      <c r="U26" s="66">
        <v>3</v>
      </c>
      <c r="V26" s="66">
        <v>0</v>
      </c>
      <c r="W26" s="54">
        <v>0</v>
      </c>
      <c r="X26" s="55">
        <f>SUMIFS(Таблица3[Кол-во квартир],Таблица3[Адрес МКД],$D26)</f>
        <v>51</v>
      </c>
      <c r="Y26" s="56">
        <f t="shared" si="13"/>
        <v>6645.98</v>
      </c>
      <c r="Z26" s="253">
        <f>SUMIFS(Таблица3[Площадь жилая],Таблица3[Адрес МКД],$D26)</f>
        <v>3798.74</v>
      </c>
      <c r="AA26" s="261">
        <f>SUMIFS(Таблица3[Площадь нежилых помещений],Таблица3[Адрес МКД],$D26)</f>
        <v>813.1</v>
      </c>
      <c r="AB26" s="252">
        <f>SUMIFS(Таблица1[1],Таблица1[2],$D26)</f>
        <v>824.1</v>
      </c>
      <c r="AC26" s="57">
        <f t="shared" si="7"/>
        <v>813.19999999999993</v>
      </c>
      <c r="AD26" s="57">
        <f t="shared" si="8"/>
        <v>10.9</v>
      </c>
      <c r="AE26" s="58">
        <f>SUMIFS(Таблица1[8],Таблица1[2],$D26)+SUMIFS(Таблица1[18],Таблица1[2],$D26)</f>
        <v>461.5</v>
      </c>
      <c r="AF26" s="58">
        <f>SUMIFS(Таблица1[9],Таблица1[2],$D26)+SUMIFS(Таблица1[19],Таблица1[2],$D26)</f>
        <v>0</v>
      </c>
      <c r="AG26" s="59">
        <f t="shared" si="9"/>
        <v>2023.1399999999999</v>
      </c>
      <c r="AH26" s="59">
        <f t="shared" si="12"/>
        <v>2034.04</v>
      </c>
      <c r="AI26" s="60">
        <f>1113.6-AM26</f>
        <v>883.3</v>
      </c>
      <c r="AJ26" s="60">
        <f t="shared" si="1"/>
        <v>774.3</v>
      </c>
      <c r="AK26" s="60">
        <f>SUMIFS(Таблица1[10],Таблица1[2],$D26)</f>
        <v>109</v>
      </c>
      <c r="AL26" s="60">
        <f>SUMIFS(Таблица1[11],Таблица1[2],$D26)</f>
        <v>0</v>
      </c>
      <c r="AM26" s="251">
        <v>230.3</v>
      </c>
      <c r="AN26" s="249">
        <f t="shared" si="2"/>
        <v>0</v>
      </c>
      <c r="AO26" s="249">
        <f>SUMIFS(Таблица1[12],Таблица1[2],$D26)</f>
        <v>230.3</v>
      </c>
      <c r="AP26" s="249">
        <f>SUMIFS(Таблица1[13],Таблица1[2],$D26)</f>
        <v>0</v>
      </c>
      <c r="AQ26" s="61">
        <f>490.5</f>
        <v>490.5</v>
      </c>
      <c r="AR26" s="61">
        <f t="shared" si="3"/>
        <v>467.20000000000005</v>
      </c>
      <c r="AS26" s="60">
        <f>SUMIFS(Таблица1[14],Таблица1[2],$D26)</f>
        <v>12.4</v>
      </c>
      <c r="AT26" s="60">
        <f>SUMIFS(Таблица1[15],Таблица1[2],$D26)</f>
        <v>10.9</v>
      </c>
      <c r="AU26" s="61">
        <v>781.64</v>
      </c>
      <c r="AV26" s="61">
        <f t="shared" si="4"/>
        <v>781.64</v>
      </c>
      <c r="AW26" s="60">
        <f>SUMIFS(Таблица1[16],Таблица1[2],$D26)</f>
        <v>0</v>
      </c>
      <c r="AX26" s="60">
        <f>SUMIFS(Таблица1[17],Таблица1[2],$D26)</f>
        <v>0</v>
      </c>
      <c r="AY26" s="263"/>
      <c r="AZ26" s="264"/>
      <c r="BA26" s="296">
        <v>0</v>
      </c>
      <c r="BB26" s="296">
        <f t="shared" si="14"/>
        <v>0</v>
      </c>
      <c r="BC26" s="296">
        <v>0</v>
      </c>
      <c r="BD26" s="296">
        <v>0</v>
      </c>
      <c r="BE26" s="285"/>
      <c r="BF26" s="259">
        <v>3712</v>
      </c>
      <c r="BG26" s="260">
        <f>12857+4222+2106</f>
        <v>19185</v>
      </c>
      <c r="BH26" s="62" t="s">
        <v>939</v>
      </c>
      <c r="BI26" s="62" t="s">
        <v>935</v>
      </c>
      <c r="BJ26" s="62"/>
      <c r="BK26" s="267"/>
      <c r="BL26" s="267"/>
      <c r="BM26" s="267" t="s">
        <v>1649</v>
      </c>
      <c r="BN26" s="268"/>
      <c r="BO26" s="62">
        <v>31</v>
      </c>
      <c r="BP26" s="63">
        <v>28783</v>
      </c>
      <c r="BQ26" s="64" t="s">
        <v>1131</v>
      </c>
      <c r="BR26" s="372" t="s">
        <v>2747</v>
      </c>
      <c r="BS26" s="62"/>
      <c r="BT26" s="323"/>
      <c r="BU26" s="62"/>
      <c r="BV26" s="323"/>
      <c r="BW26" s="62"/>
      <c r="BX26" s="338"/>
      <c r="BY26" s="336"/>
    </row>
    <row r="27" spans="1:77" ht="13.15" hidden="1" customHeight="1" outlineLevel="1" x14ac:dyDescent="0.2">
      <c r="A27" s="50">
        <f t="shared" si="11"/>
        <v>22</v>
      </c>
      <c r="B27" s="51">
        <v>6</v>
      </c>
      <c r="C27" s="51">
        <v>10</v>
      </c>
      <c r="D27" s="18" t="s">
        <v>434</v>
      </c>
      <c r="E27" s="18">
        <v>10</v>
      </c>
      <c r="F27" s="18">
        <v>2</v>
      </c>
      <c r="G27" s="52">
        <v>2</v>
      </c>
      <c r="H27" s="237">
        <v>2</v>
      </c>
      <c r="I27" s="53">
        <v>1954</v>
      </c>
      <c r="J27" s="350">
        <v>4.5</v>
      </c>
      <c r="K27" s="345">
        <v>5.6</v>
      </c>
      <c r="L27" s="346">
        <v>1</v>
      </c>
      <c r="M27" s="349">
        <v>4</v>
      </c>
      <c r="N27" s="255">
        <f t="shared" si="0"/>
        <v>1</v>
      </c>
      <c r="O27" s="310">
        <v>58</v>
      </c>
      <c r="P27" s="66">
        <v>7</v>
      </c>
      <c r="Q27" s="66"/>
      <c r="R27" s="66">
        <v>2</v>
      </c>
      <c r="S27" s="66">
        <v>26</v>
      </c>
      <c r="T27" s="66">
        <v>27</v>
      </c>
      <c r="U27" s="66">
        <v>2</v>
      </c>
      <c r="V27" s="66">
        <v>1</v>
      </c>
      <c r="W27" s="54">
        <v>0</v>
      </c>
      <c r="X27" s="55">
        <f>SUMIFS(Таблица3[Кол-во квартир],Таблица3[Адрес МКД],$D27)</f>
        <v>50</v>
      </c>
      <c r="Y27" s="56">
        <f t="shared" si="13"/>
        <v>6763.6</v>
      </c>
      <c r="Z27" s="253">
        <f>SUMIFS(Таблица3[Площадь жилая],Таблица3[Адрес МКД],$D27)</f>
        <v>3553.2</v>
      </c>
      <c r="AA27" s="261">
        <f>SUMIFS(Таблица3[Площадь нежилых помещений],Таблица3[Адрес МКД],$D27)</f>
        <v>926.9</v>
      </c>
      <c r="AB27" s="252">
        <f>SUMIFS(Таблица1[1],Таблица1[2],$D27)</f>
        <v>1238.9000000000001</v>
      </c>
      <c r="AC27" s="57">
        <f t="shared" si="7"/>
        <v>1226.2</v>
      </c>
      <c r="AD27" s="57">
        <f t="shared" si="8"/>
        <v>12.7</v>
      </c>
      <c r="AE27" s="58">
        <f>SUMIFS(Таблица1[8],Таблица1[2],$D27)+SUMIFS(Таблица1[18],Таблица1[2],$D27)</f>
        <v>759.7</v>
      </c>
      <c r="AF27" s="58">
        <f>SUMIFS(Таблица1[9],Таблица1[2],$D27)+SUMIFS(Таблица1[19],Таблица1[2],$D27)</f>
        <v>0</v>
      </c>
      <c r="AG27" s="59">
        <f t="shared" si="9"/>
        <v>1971.5</v>
      </c>
      <c r="AH27" s="59">
        <f t="shared" si="12"/>
        <v>1984.2</v>
      </c>
      <c r="AI27" s="60">
        <f>703.7-AM27</f>
        <v>237.20000000000005</v>
      </c>
      <c r="AJ27" s="60">
        <f t="shared" si="1"/>
        <v>237.20000000000005</v>
      </c>
      <c r="AK27" s="60">
        <f>SUMIFS(Таблица1[10],Таблица1[2],$D27)</f>
        <v>0</v>
      </c>
      <c r="AL27" s="60">
        <f>SUMIFS(Таблица1[11],Таблица1[2],$D27)</f>
        <v>0</v>
      </c>
      <c r="AM27" s="251">
        <f>167.2+299.3</f>
        <v>466.5</v>
      </c>
      <c r="AN27" s="249">
        <f t="shared" si="2"/>
        <v>0</v>
      </c>
      <c r="AO27" s="249">
        <f>SUMIFS(Таблица1[12],Таблица1[2],$D27)</f>
        <v>466.5</v>
      </c>
      <c r="AP27" s="249">
        <f>SUMIFS(Таблица1[13],Таблица1[2],$D27)</f>
        <v>0</v>
      </c>
      <c r="AQ27" s="61">
        <f>445.5+11.2</f>
        <v>456.7</v>
      </c>
      <c r="AR27" s="61">
        <f t="shared" si="3"/>
        <v>444</v>
      </c>
      <c r="AS27" s="60">
        <f>SUMIFS(Таблица1[14],Таблица1[2],$D27)</f>
        <v>0</v>
      </c>
      <c r="AT27" s="60">
        <f>SUMIFS(Таблица1[15],Таблица1[2],$D27)</f>
        <v>12.7</v>
      </c>
      <c r="AU27" s="61">
        <v>1290.3</v>
      </c>
      <c r="AV27" s="61">
        <f t="shared" si="4"/>
        <v>1290.3</v>
      </c>
      <c r="AW27" s="60">
        <f>SUMIFS(Таблица1[16],Таблица1[2],$D27)</f>
        <v>0</v>
      </c>
      <c r="AX27" s="60">
        <f>SUMIFS(Таблица1[17],Таблица1[2],$D27)</f>
        <v>0</v>
      </c>
      <c r="AY27" s="263"/>
      <c r="AZ27" s="264"/>
      <c r="BA27" s="296">
        <v>0</v>
      </c>
      <c r="BB27" s="296">
        <f t="shared" si="14"/>
        <v>0</v>
      </c>
      <c r="BC27" s="296">
        <v>0</v>
      </c>
      <c r="BD27" s="296">
        <v>0</v>
      </c>
      <c r="BE27" s="285"/>
      <c r="BF27" s="259">
        <f>494+709+63+1738+1260</f>
        <v>4264</v>
      </c>
      <c r="BG27" s="260">
        <f>8608+4316+4231+2098</f>
        <v>19253</v>
      </c>
      <c r="BH27" s="62" t="s">
        <v>936</v>
      </c>
      <c r="BI27" s="62" t="s">
        <v>935</v>
      </c>
      <c r="BJ27" s="62"/>
      <c r="BK27" s="267"/>
      <c r="BL27" s="267"/>
      <c r="BM27" s="267" t="s">
        <v>1649</v>
      </c>
      <c r="BN27" s="268"/>
      <c r="BO27" s="62">
        <v>19</v>
      </c>
      <c r="BP27" s="63">
        <v>30297</v>
      </c>
      <c r="BQ27" s="64" t="s">
        <v>1131</v>
      </c>
      <c r="BR27" s="372" t="s">
        <v>2747</v>
      </c>
      <c r="BS27" s="62"/>
      <c r="BT27" s="323"/>
      <c r="BU27" s="62"/>
      <c r="BV27" s="323"/>
      <c r="BW27" s="62"/>
      <c r="BX27" s="338"/>
      <c r="BY27" s="336"/>
    </row>
    <row r="28" spans="1:77" ht="13.15" hidden="1" customHeight="1" outlineLevel="1" x14ac:dyDescent="0.2">
      <c r="A28" s="50">
        <f t="shared" si="11"/>
        <v>23</v>
      </c>
      <c r="B28" s="68">
        <v>1</v>
      </c>
      <c r="C28" s="51">
        <v>3</v>
      </c>
      <c r="D28" s="18" t="s">
        <v>351</v>
      </c>
      <c r="E28" s="18">
        <v>9</v>
      </c>
      <c r="F28" s="18">
        <v>1</v>
      </c>
      <c r="G28" s="52">
        <v>1</v>
      </c>
      <c r="H28" s="237">
        <v>1</v>
      </c>
      <c r="I28" s="53">
        <v>1948</v>
      </c>
      <c r="J28" s="348">
        <v>2</v>
      </c>
      <c r="K28" s="346">
        <f t="shared" si="5"/>
        <v>3</v>
      </c>
      <c r="L28" s="346">
        <v>1</v>
      </c>
      <c r="M28" s="349">
        <v>2</v>
      </c>
      <c r="N28" s="255">
        <f t="shared" si="0"/>
        <v>0</v>
      </c>
      <c r="O28" s="310">
        <v>16</v>
      </c>
      <c r="P28" s="66">
        <v>1</v>
      </c>
      <c r="Q28" s="66"/>
      <c r="R28" s="66">
        <v>4</v>
      </c>
      <c r="S28" s="66">
        <v>8</v>
      </c>
      <c r="T28" s="66">
        <v>4</v>
      </c>
      <c r="U28" s="66">
        <v>0</v>
      </c>
      <c r="V28" s="66">
        <v>0</v>
      </c>
      <c r="W28" s="54">
        <v>0</v>
      </c>
      <c r="X28" s="55">
        <f>SUMIFS(Таблица3[Кол-во квартир],Таблица3[Адрес МКД],$D28)</f>
        <v>15</v>
      </c>
      <c r="Y28" s="56">
        <f t="shared" si="13"/>
        <v>1735</v>
      </c>
      <c r="Z28" s="253">
        <f>SUMIFS(Таблица3[Площадь жилая],Таблица3[Адрес МКД],$D28)</f>
        <v>693.7</v>
      </c>
      <c r="AA28" s="261">
        <f>SUMIFS(Таблица3[Площадь нежилых помещений],Таблица3[Адрес МКД],$D28)</f>
        <v>270.39999999999998</v>
      </c>
      <c r="AB28" s="252">
        <f>SUMIFS(Таблица1[1],Таблица1[2],$D28)</f>
        <v>272.8</v>
      </c>
      <c r="AC28" s="57">
        <f t="shared" si="7"/>
        <v>272.8</v>
      </c>
      <c r="AD28" s="57">
        <f t="shared" si="8"/>
        <v>0</v>
      </c>
      <c r="AE28" s="58">
        <f>SUMIFS(Таблица1[8],Таблица1[2],$D28)+SUMIFS(Таблица1[18],Таблица1[2],$D28)</f>
        <v>56.5</v>
      </c>
      <c r="AF28" s="58">
        <f>SUMIFS(Таблица1[9],Таблица1[2],$D28)+SUMIFS(Таблица1[19],Таблица1[2],$D28)</f>
        <v>0</v>
      </c>
      <c r="AG28" s="59">
        <f t="shared" si="9"/>
        <v>770.9</v>
      </c>
      <c r="AH28" s="59">
        <f t="shared" si="12"/>
        <v>770.9</v>
      </c>
      <c r="AI28" s="60">
        <f>391.4-AM28</f>
        <v>177.49999999999997</v>
      </c>
      <c r="AJ28" s="60">
        <f t="shared" si="1"/>
        <v>177.49999999999997</v>
      </c>
      <c r="AK28" s="60">
        <f>SUMIFS(Таблица1[10],Таблица1[2],$D28)</f>
        <v>0</v>
      </c>
      <c r="AL28" s="60">
        <f>SUMIFS(Таблица1[11],Таблица1[2],$D28)</f>
        <v>0</v>
      </c>
      <c r="AM28" s="251">
        <v>213.9</v>
      </c>
      <c r="AN28" s="249">
        <f t="shared" si="2"/>
        <v>-2.4000000000000057</v>
      </c>
      <c r="AO28" s="249">
        <f>SUMIFS(Таблица1[12],Таблица1[2],$D28)</f>
        <v>216.3</v>
      </c>
      <c r="AP28" s="249">
        <f>SUMIFS(Таблица1[13],Таблица1[2],$D28)</f>
        <v>0</v>
      </c>
      <c r="AQ28" s="61">
        <f>89.9+30</f>
        <v>119.9</v>
      </c>
      <c r="AR28" s="61">
        <f t="shared" si="3"/>
        <v>119.9</v>
      </c>
      <c r="AS28" s="60">
        <f>SUMIFS(Таблица1[14],Таблица1[2],$D28)</f>
        <v>0</v>
      </c>
      <c r="AT28" s="60">
        <f>SUMIFS(Таблица1[15],Таблица1[2],$D28)</f>
        <v>0</v>
      </c>
      <c r="AU28" s="61">
        <v>473.5</v>
      </c>
      <c r="AV28" s="61">
        <f t="shared" si="4"/>
        <v>473.5</v>
      </c>
      <c r="AW28" s="60">
        <f>SUMIFS(Таблица1[16],Таблица1[2],$D28)</f>
        <v>0</v>
      </c>
      <c r="AX28" s="60">
        <f>SUMIFS(Таблица1[17],Таблица1[2],$D28)</f>
        <v>0</v>
      </c>
      <c r="AY28" s="263"/>
      <c r="AZ28" s="264"/>
      <c r="BA28" s="296">
        <v>0</v>
      </c>
      <c r="BB28" s="296">
        <f t="shared" si="14"/>
        <v>0</v>
      </c>
      <c r="BC28" s="296">
        <v>0</v>
      </c>
      <c r="BD28" s="296">
        <v>0</v>
      </c>
      <c r="BE28" s="285"/>
      <c r="BF28" s="259">
        <v>1369</v>
      </c>
      <c r="BG28" s="260">
        <v>3458</v>
      </c>
      <c r="BH28" s="62" t="s">
        <v>936</v>
      </c>
      <c r="BI28" s="62" t="s">
        <v>935</v>
      </c>
      <c r="BJ28" s="62"/>
      <c r="BK28" s="267"/>
      <c r="BL28" s="267" t="s">
        <v>1649</v>
      </c>
      <c r="BM28" s="267"/>
      <c r="BN28" s="268"/>
      <c r="BO28" s="62">
        <v>45</v>
      </c>
      <c r="BP28" s="63">
        <v>40805</v>
      </c>
      <c r="BQ28" s="64" t="s">
        <v>1131</v>
      </c>
      <c r="BR28" s="372" t="s">
        <v>2747</v>
      </c>
      <c r="BS28" s="62"/>
      <c r="BT28" s="323"/>
      <c r="BU28" s="62"/>
      <c r="BV28" s="323"/>
      <c r="BW28" s="62"/>
      <c r="BX28" s="336">
        <v>27</v>
      </c>
      <c r="BY28" s="336"/>
    </row>
    <row r="29" spans="1:77" ht="13.15" hidden="1" customHeight="1" outlineLevel="1" x14ac:dyDescent="0.2">
      <c r="A29" s="50">
        <f t="shared" si="11"/>
        <v>24</v>
      </c>
      <c r="B29" s="68">
        <v>1</v>
      </c>
      <c r="C29" s="51">
        <v>4</v>
      </c>
      <c r="D29" s="18" t="s">
        <v>429</v>
      </c>
      <c r="E29" s="18">
        <v>10</v>
      </c>
      <c r="F29" s="18">
        <v>1</v>
      </c>
      <c r="G29" s="52">
        <v>1</v>
      </c>
      <c r="H29" s="237">
        <v>1</v>
      </c>
      <c r="I29" s="53">
        <v>1948</v>
      </c>
      <c r="J29" s="348">
        <v>2</v>
      </c>
      <c r="K29" s="346">
        <f t="shared" si="5"/>
        <v>3</v>
      </c>
      <c r="L29" s="346">
        <v>1</v>
      </c>
      <c r="M29" s="349">
        <v>2</v>
      </c>
      <c r="N29" s="255">
        <f t="shared" si="0"/>
        <v>0</v>
      </c>
      <c r="O29" s="310">
        <v>16</v>
      </c>
      <c r="P29" s="66">
        <v>1</v>
      </c>
      <c r="Q29" s="66"/>
      <c r="R29" s="66">
        <v>4</v>
      </c>
      <c r="S29" s="66">
        <v>8</v>
      </c>
      <c r="T29" s="66">
        <v>4</v>
      </c>
      <c r="U29" s="66">
        <v>0</v>
      </c>
      <c r="V29" s="66">
        <v>0</v>
      </c>
      <c r="W29" s="54">
        <v>0</v>
      </c>
      <c r="X29" s="55">
        <f>SUMIFS(Таблица3[Кол-во квартир],Таблица3[Адрес МКД],$D29)</f>
        <v>15</v>
      </c>
      <c r="Y29" s="56">
        <f t="shared" si="13"/>
        <v>1745.9</v>
      </c>
      <c r="Z29" s="253">
        <f>SUMIFS(Таблица3[Площадь жилая],Таблица3[Адрес МКД],$D29)</f>
        <v>720.2</v>
      </c>
      <c r="AA29" s="261">
        <f>SUMIFS(Таблица3[Площадь нежилых помещений],Таблица3[Адрес МКД],$D29)</f>
        <v>262.10000000000002</v>
      </c>
      <c r="AB29" s="252">
        <f>SUMIFS(Таблица1[1],Таблица1[2],$D29)</f>
        <v>262.10000000000002</v>
      </c>
      <c r="AC29" s="57">
        <f t="shared" si="7"/>
        <v>262.10000000000002</v>
      </c>
      <c r="AD29" s="57">
        <f t="shared" si="8"/>
        <v>0</v>
      </c>
      <c r="AE29" s="58">
        <f>SUMIFS(Таблица1[8],Таблица1[2],$D29)+SUMIFS(Таблица1[18],Таблица1[2],$D29)</f>
        <v>52.2</v>
      </c>
      <c r="AF29" s="58">
        <f>SUMIFS(Таблица1[9],Таблица1[2],$D29)+SUMIFS(Таблица1[19],Таблица1[2],$D29)</f>
        <v>0</v>
      </c>
      <c r="AG29" s="59">
        <f t="shared" si="9"/>
        <v>763.6</v>
      </c>
      <c r="AH29" s="59">
        <f t="shared" si="12"/>
        <v>763.6</v>
      </c>
      <c r="AI29" s="60">
        <f>385.8-AM29</f>
        <v>175.9</v>
      </c>
      <c r="AJ29" s="60">
        <f t="shared" si="1"/>
        <v>175.9</v>
      </c>
      <c r="AK29" s="60">
        <f>SUMIFS(Таблица1[10],Таблица1[2],$D29)</f>
        <v>0</v>
      </c>
      <c r="AL29" s="60">
        <f>SUMIFS(Таблица1[11],Таблица1[2],$D29)</f>
        <v>0</v>
      </c>
      <c r="AM29" s="251">
        <f>209.9</f>
        <v>209.9</v>
      </c>
      <c r="AN29" s="249">
        <f t="shared" si="2"/>
        <v>0</v>
      </c>
      <c r="AO29" s="249">
        <f>SUMIFS(Таблица1[12],Таблица1[2],$D29)</f>
        <v>209.9</v>
      </c>
      <c r="AP29" s="249">
        <f>SUMIFS(Таблица1[13],Таблица1[2],$D29)</f>
        <v>0</v>
      </c>
      <c r="AQ29" s="61">
        <f>108.4</f>
        <v>108.4</v>
      </c>
      <c r="AR29" s="61">
        <f t="shared" si="3"/>
        <v>108.4</v>
      </c>
      <c r="AS29" s="60">
        <f>SUMIFS(Таблица1[14],Таблица1[2],$D29)</f>
        <v>0</v>
      </c>
      <c r="AT29" s="60">
        <f>SUMIFS(Таблица1[15],Таблица1[2],$D29)</f>
        <v>0</v>
      </c>
      <c r="AU29" s="61">
        <v>479.3</v>
      </c>
      <c r="AV29" s="61">
        <f t="shared" si="4"/>
        <v>479.3</v>
      </c>
      <c r="AW29" s="60">
        <f>SUMIFS(Таблица1[16],Таблица1[2],$D29)</f>
        <v>0</v>
      </c>
      <c r="AX29" s="60">
        <f>SUMIFS(Таблица1[17],Таблица1[2],$D29)</f>
        <v>0</v>
      </c>
      <c r="AY29" s="263"/>
      <c r="AZ29" s="264"/>
      <c r="BA29" s="296">
        <v>0</v>
      </c>
      <c r="BB29" s="296">
        <f t="shared" si="14"/>
        <v>0</v>
      </c>
      <c r="BC29" s="296">
        <v>0</v>
      </c>
      <c r="BD29" s="296">
        <v>0</v>
      </c>
      <c r="BE29" s="285"/>
      <c r="BF29" s="259">
        <v>1443</v>
      </c>
      <c r="BG29" s="260">
        <v>3307</v>
      </c>
      <c r="BH29" s="62" t="s">
        <v>936</v>
      </c>
      <c r="BI29" s="62" t="s">
        <v>935</v>
      </c>
      <c r="BJ29" s="62"/>
      <c r="BK29" s="267"/>
      <c r="BL29" s="267"/>
      <c r="BM29" s="267" t="s">
        <v>1649</v>
      </c>
      <c r="BN29" s="268"/>
      <c r="BO29" s="62">
        <v>30</v>
      </c>
      <c r="BP29" s="63">
        <v>30333</v>
      </c>
      <c r="BQ29" s="64" t="s">
        <v>1131</v>
      </c>
      <c r="BR29" s="372" t="s">
        <v>2747</v>
      </c>
      <c r="BS29" s="62"/>
      <c r="BT29" s="323"/>
      <c r="BU29" s="62"/>
      <c r="BV29" s="323"/>
      <c r="BW29" s="62"/>
      <c r="BX29" s="336">
        <v>27</v>
      </c>
      <c r="BY29" s="336"/>
    </row>
    <row r="30" spans="1:77" ht="13.15" hidden="1" customHeight="1" outlineLevel="1" x14ac:dyDescent="0.2">
      <c r="A30" s="50">
        <f t="shared" si="11"/>
        <v>25</v>
      </c>
      <c r="B30" s="68">
        <v>2</v>
      </c>
      <c r="C30" s="51">
        <v>5</v>
      </c>
      <c r="D30" s="18" t="s">
        <v>352</v>
      </c>
      <c r="E30" s="18">
        <v>9</v>
      </c>
      <c r="F30" s="18">
        <v>1</v>
      </c>
      <c r="G30" s="52">
        <v>1</v>
      </c>
      <c r="H30" s="237">
        <v>1</v>
      </c>
      <c r="I30" s="53">
        <v>1950</v>
      </c>
      <c r="J30" s="348">
        <v>3</v>
      </c>
      <c r="K30" s="346">
        <f t="shared" si="5"/>
        <v>4</v>
      </c>
      <c r="L30" s="346">
        <v>1</v>
      </c>
      <c r="M30" s="349">
        <v>2</v>
      </c>
      <c r="N30" s="255">
        <f t="shared" si="0"/>
        <v>0</v>
      </c>
      <c r="O30" s="310">
        <v>24</v>
      </c>
      <c r="P30" s="66">
        <v>6</v>
      </c>
      <c r="Q30" s="66"/>
      <c r="R30" s="66">
        <v>12</v>
      </c>
      <c r="S30" s="66">
        <v>6</v>
      </c>
      <c r="T30" s="66">
        <v>6</v>
      </c>
      <c r="U30" s="66">
        <v>0</v>
      </c>
      <c r="V30" s="66">
        <v>0</v>
      </c>
      <c r="W30" s="54">
        <v>0</v>
      </c>
      <c r="X30" s="55">
        <f>SUMIFS(Таблица3[Кол-во квартир],Таблица3[Адрес МКД],$D30)</f>
        <v>18</v>
      </c>
      <c r="Y30" s="56">
        <f t="shared" si="13"/>
        <v>1836.1999999999998</v>
      </c>
      <c r="Z30" s="253">
        <f>SUMIFS(Таблица3[Площадь жилая],Таблица3[Адрес МКД],$D30)</f>
        <v>765.3</v>
      </c>
      <c r="AA30" s="261">
        <f>SUMIFS(Таблица3[Площадь нежилых помещений],Таблица3[Адрес МКД],$D30)</f>
        <v>256.3</v>
      </c>
      <c r="AB30" s="252">
        <f>SUMIFS(Таблица1[1],Таблица1[2],$D30)</f>
        <v>256.3</v>
      </c>
      <c r="AC30" s="57">
        <f t="shared" si="7"/>
        <v>256.3</v>
      </c>
      <c r="AD30" s="57">
        <f t="shared" si="8"/>
        <v>0</v>
      </c>
      <c r="AE30" s="58">
        <f>SUMIFS(Таблица1[8],Таблица1[2],$D30)+SUMIFS(Таблица1[18],Таблица1[2],$D30)</f>
        <v>256.3</v>
      </c>
      <c r="AF30" s="58">
        <f>SUMIFS(Таблица1[9],Таблица1[2],$D30)+SUMIFS(Таблица1[19],Таблица1[2],$D30)</f>
        <v>0</v>
      </c>
      <c r="AG30" s="59">
        <f t="shared" si="9"/>
        <v>814.6</v>
      </c>
      <c r="AH30" s="59">
        <f t="shared" si="12"/>
        <v>814.6</v>
      </c>
      <c r="AI30" s="60">
        <f>244.9-AM30</f>
        <v>244.9</v>
      </c>
      <c r="AJ30" s="60">
        <f t="shared" si="1"/>
        <v>244.9</v>
      </c>
      <c r="AK30" s="60">
        <f>SUMIFS(Таблица1[10],Таблица1[2],$D30)</f>
        <v>0</v>
      </c>
      <c r="AL30" s="60">
        <f>SUMIFS(Таблица1[11],Таблица1[2],$D30)</f>
        <v>0</v>
      </c>
      <c r="AM30" s="251">
        <v>0</v>
      </c>
      <c r="AN30" s="249">
        <f t="shared" si="2"/>
        <v>0</v>
      </c>
      <c r="AO30" s="249">
        <f>SUMIFS(Таблица1[12],Таблица1[2],$D30)</f>
        <v>0</v>
      </c>
      <c r="AP30" s="249">
        <f>SUMIFS(Таблица1[13],Таблица1[2],$D30)</f>
        <v>0</v>
      </c>
      <c r="AQ30" s="61">
        <f>131.3</f>
        <v>131.30000000000001</v>
      </c>
      <c r="AR30" s="61">
        <f t="shared" si="3"/>
        <v>131.30000000000001</v>
      </c>
      <c r="AS30" s="60">
        <f>SUMIFS(Таблица1[14],Таблица1[2],$D30)</f>
        <v>0</v>
      </c>
      <c r="AT30" s="60">
        <f>SUMIFS(Таблица1[15],Таблица1[2],$D30)</f>
        <v>0</v>
      </c>
      <c r="AU30" s="61">
        <v>438.4</v>
      </c>
      <c r="AV30" s="61">
        <f t="shared" si="4"/>
        <v>438.4</v>
      </c>
      <c r="AW30" s="60">
        <f>SUMIFS(Таблица1[16],Таблица1[2],$D30)</f>
        <v>0</v>
      </c>
      <c r="AX30" s="60">
        <f>SUMIFS(Таблица1[17],Таблица1[2],$D30)</f>
        <v>0</v>
      </c>
      <c r="AY30" s="263"/>
      <c r="AZ30" s="264"/>
      <c r="BA30" s="296">
        <v>0</v>
      </c>
      <c r="BB30" s="296">
        <f t="shared" si="14"/>
        <v>0</v>
      </c>
      <c r="BC30" s="296">
        <v>0</v>
      </c>
      <c r="BD30" s="296">
        <v>0</v>
      </c>
      <c r="BE30" s="285"/>
      <c r="BF30" s="259">
        <v>1324</v>
      </c>
      <c r="BG30" s="260">
        <v>4518</v>
      </c>
      <c r="BH30" s="62" t="s">
        <v>936</v>
      </c>
      <c r="BI30" s="62" t="s">
        <v>935</v>
      </c>
      <c r="BJ30" s="62"/>
      <c r="BK30" s="267"/>
      <c r="BL30" s="267" t="s">
        <v>1649</v>
      </c>
      <c r="BM30" s="267"/>
      <c r="BN30" s="268"/>
      <c r="BO30" s="62">
        <v>21</v>
      </c>
      <c r="BP30" s="63">
        <v>27957</v>
      </c>
      <c r="BQ30" s="64" t="s">
        <v>1131</v>
      </c>
      <c r="BR30" s="372" t="s">
        <v>2747</v>
      </c>
      <c r="BS30" s="62"/>
      <c r="BT30" s="323"/>
      <c r="BU30" s="62"/>
      <c r="BV30" s="323"/>
      <c r="BW30" s="62"/>
      <c r="BX30" s="336">
        <v>25</v>
      </c>
      <c r="BY30" s="336"/>
    </row>
    <row r="31" spans="1:77" ht="13.15" hidden="1" customHeight="1" outlineLevel="1" x14ac:dyDescent="0.2">
      <c r="A31" s="50">
        <f t="shared" si="11"/>
        <v>26</v>
      </c>
      <c r="B31" s="51">
        <v>3</v>
      </c>
      <c r="C31" s="51">
        <v>10</v>
      </c>
      <c r="D31" s="18" t="s">
        <v>1141</v>
      </c>
      <c r="E31" s="299" t="s">
        <v>888</v>
      </c>
      <c r="F31" s="299">
        <v>5</v>
      </c>
      <c r="G31" s="52">
        <v>1</v>
      </c>
      <c r="H31" s="333"/>
      <c r="I31" s="65">
        <v>1946</v>
      </c>
      <c r="J31" s="349">
        <v>2</v>
      </c>
      <c r="K31" s="346">
        <f t="shared" si="5"/>
        <v>3</v>
      </c>
      <c r="L31" s="346">
        <v>1</v>
      </c>
      <c r="M31" s="349">
        <v>2</v>
      </c>
      <c r="N31" s="255">
        <f t="shared" si="0"/>
        <v>0</v>
      </c>
      <c r="O31" s="310">
        <v>16</v>
      </c>
      <c r="P31" s="66">
        <v>0</v>
      </c>
      <c r="Q31" s="66"/>
      <c r="R31" s="66">
        <v>12</v>
      </c>
      <c r="S31" s="66">
        <v>4</v>
      </c>
      <c r="T31" s="66">
        <v>0</v>
      </c>
      <c r="U31" s="66">
        <v>0</v>
      </c>
      <c r="V31" s="66">
        <v>0</v>
      </c>
      <c r="W31" s="54">
        <v>0</v>
      </c>
      <c r="X31" s="55">
        <f>SUMIFS(Таблица3[Кол-во квартир],Таблица3[Адрес МКД],$D31)</f>
        <v>16</v>
      </c>
      <c r="Y31" s="56">
        <f t="shared" si="13"/>
        <v>1056.6099999999999</v>
      </c>
      <c r="Z31" s="253">
        <f>SUMIFS(Таблица3[Площадь жилая],Таблица3[Адрес МКД],$D31)</f>
        <v>524.4</v>
      </c>
      <c r="AA31" s="261">
        <f>SUMIFS(Таблица3[Площадь нежилых помещений],Таблица3[Адрес МКД],$D31)</f>
        <v>0</v>
      </c>
      <c r="AB31" s="252">
        <f>SUMIFS(Таблица1[1],Таблица1[2],$D31)</f>
        <v>0</v>
      </c>
      <c r="AC31" s="57">
        <f t="shared" si="7"/>
        <v>0</v>
      </c>
      <c r="AD31" s="57">
        <f t="shared" si="8"/>
        <v>0</v>
      </c>
      <c r="AE31" s="58">
        <f>SUMIFS(Таблица1[8],Таблица1[2],$D31)+SUMIFS(Таблица1[18],Таблица1[2],$D31)</f>
        <v>0</v>
      </c>
      <c r="AF31" s="58">
        <f>SUMIFS(Таблица1[9],Таблица1[2],$D31)+SUMIFS(Таблица1[19],Таблица1[2],$D31)</f>
        <v>0</v>
      </c>
      <c r="AG31" s="59">
        <f t="shared" si="9"/>
        <v>532.20999999999992</v>
      </c>
      <c r="AH31" s="59">
        <f>AJ31+AL31+AR31+AT31+AV31+AX31+AZ31</f>
        <v>532.20999999999992</v>
      </c>
      <c r="AI31" s="60">
        <f>127.1-AM31</f>
        <v>127.1</v>
      </c>
      <c r="AJ31" s="60">
        <f t="shared" si="1"/>
        <v>127.1</v>
      </c>
      <c r="AK31" s="60">
        <f>SUMIFS(Таблица1[10],Таблица1[2],$D31)</f>
        <v>0</v>
      </c>
      <c r="AL31" s="60">
        <f>SUMIFS(Таблица1[11],Таблица1[2],$D31)</f>
        <v>0</v>
      </c>
      <c r="AM31" s="251">
        <v>0</v>
      </c>
      <c r="AN31" s="249">
        <f t="shared" si="2"/>
        <v>0</v>
      </c>
      <c r="AO31" s="249">
        <f>SUMIFS(Таблица1[12],Таблица1[2],$D31)</f>
        <v>0</v>
      </c>
      <c r="AP31" s="249">
        <f>SUMIFS(Таблица1[13],Таблица1[2],$D31)</f>
        <v>0</v>
      </c>
      <c r="AQ31" s="61">
        <f>57</f>
        <v>57</v>
      </c>
      <c r="AR31" s="61">
        <f t="shared" si="3"/>
        <v>57</v>
      </c>
      <c r="AS31" s="60">
        <f>SUMIFS(Таблица1[14],Таблица1[2],$D31)</f>
        <v>0</v>
      </c>
      <c r="AT31" s="60">
        <f>SUMIFS(Таблица1[15],Таблица1[2],$D31)</f>
        <v>0</v>
      </c>
      <c r="AU31" s="61">
        <v>335.21</v>
      </c>
      <c r="AV31" s="61">
        <f t="shared" si="4"/>
        <v>335.21</v>
      </c>
      <c r="AW31" s="60">
        <f>SUMIFS(Таблица1[16],Таблица1[2],$D31)</f>
        <v>0</v>
      </c>
      <c r="AX31" s="60">
        <f>SUMIFS(Таблица1[17],Таблица1[2],$D31)</f>
        <v>0</v>
      </c>
      <c r="AY31" s="263"/>
      <c r="AZ31" s="264">
        <v>12.9</v>
      </c>
      <c r="BA31" s="296">
        <v>0</v>
      </c>
      <c r="BB31" s="296">
        <f t="shared" si="14"/>
        <v>0</v>
      </c>
      <c r="BC31" s="296">
        <v>0</v>
      </c>
      <c r="BD31" s="296">
        <v>0</v>
      </c>
      <c r="BE31" s="285"/>
      <c r="BF31" s="259">
        <v>437</v>
      </c>
      <c r="BG31" s="260">
        <v>2393</v>
      </c>
      <c r="BH31" s="62" t="s">
        <v>936</v>
      </c>
      <c r="BI31" s="62" t="s">
        <v>935</v>
      </c>
      <c r="BJ31" s="62"/>
      <c r="BK31" s="267"/>
      <c r="BL31" s="267" t="s">
        <v>1649</v>
      </c>
      <c r="BM31" s="267"/>
      <c r="BN31" s="268"/>
      <c r="BO31" s="62">
        <v>30</v>
      </c>
      <c r="BP31" s="63">
        <v>31022</v>
      </c>
      <c r="BQ31" s="64" t="s">
        <v>1131</v>
      </c>
      <c r="BR31" s="372" t="s">
        <v>2747</v>
      </c>
      <c r="BS31" s="62"/>
      <c r="BT31" s="323"/>
      <c r="BU31" s="62"/>
      <c r="BV31" s="323"/>
      <c r="BW31" s="62"/>
      <c r="BX31" s="336">
        <v>15</v>
      </c>
      <c r="BY31" s="336" t="s">
        <v>1649</v>
      </c>
    </row>
    <row r="32" spans="1:77" ht="13.15" hidden="1" customHeight="1" outlineLevel="1" x14ac:dyDescent="0.2">
      <c r="A32" s="50">
        <f t="shared" si="11"/>
        <v>27</v>
      </c>
      <c r="B32" s="51">
        <v>7</v>
      </c>
      <c r="C32" s="51">
        <v>11</v>
      </c>
      <c r="D32" s="18" t="s">
        <v>503</v>
      </c>
      <c r="E32" s="18">
        <v>11</v>
      </c>
      <c r="F32" s="18">
        <v>2</v>
      </c>
      <c r="G32" s="52">
        <v>1</v>
      </c>
      <c r="H32" s="237">
        <v>1</v>
      </c>
      <c r="I32" s="53">
        <v>1956</v>
      </c>
      <c r="J32" s="350">
        <v>5.7</v>
      </c>
      <c r="K32" s="345">
        <v>6.7</v>
      </c>
      <c r="L32" s="346">
        <v>1</v>
      </c>
      <c r="M32" s="349">
        <v>3</v>
      </c>
      <c r="N32" s="255">
        <f t="shared" si="0"/>
        <v>-2</v>
      </c>
      <c r="O32" s="310">
        <v>65</v>
      </c>
      <c r="P32" s="66">
        <v>2</v>
      </c>
      <c r="Q32" s="66"/>
      <c r="R32" s="66">
        <v>4</v>
      </c>
      <c r="S32" s="66">
        <v>29</v>
      </c>
      <c r="T32" s="66">
        <v>20</v>
      </c>
      <c r="U32" s="66">
        <v>12</v>
      </c>
      <c r="V32" s="66">
        <v>0</v>
      </c>
      <c r="W32" s="54">
        <v>0</v>
      </c>
      <c r="X32" s="55">
        <f>SUMIFS(Таблица3[Кол-во квартир],Таблица3[Адрес МКД],$D32)</f>
        <v>65</v>
      </c>
      <c r="Y32" s="56">
        <f t="shared" si="13"/>
        <v>7162.5</v>
      </c>
      <c r="Z32" s="253">
        <f>SUMIFS(Таблица3[Площадь жилая],Таблица3[Адрес МКД],$D32)</f>
        <v>4570</v>
      </c>
      <c r="AA32" s="261">
        <f>SUMIFS(Таблица3[Площадь нежилых помещений],Таблица3[Адрес МКД],$D32)</f>
        <v>682.2</v>
      </c>
      <c r="AB32" s="252">
        <f>SUMIFS(Таблица1[1],Таблица1[2],$D32)</f>
        <v>682.2</v>
      </c>
      <c r="AC32" s="57">
        <f t="shared" si="7"/>
        <v>682.2</v>
      </c>
      <c r="AD32" s="57">
        <f t="shared" si="8"/>
        <v>0</v>
      </c>
      <c r="AE32" s="58">
        <f>SUMIFS(Таблица1[8],Таблица1[2],$D32)+SUMIFS(Таблица1[18],Таблица1[2],$D32)</f>
        <v>470.4</v>
      </c>
      <c r="AF32" s="58">
        <f>SUMIFS(Таблица1[9],Таблица1[2],$D32)+SUMIFS(Таблица1[19],Таблица1[2],$D32)</f>
        <v>0</v>
      </c>
      <c r="AG32" s="59">
        <f t="shared" si="9"/>
        <v>1910.3</v>
      </c>
      <c r="AH32" s="59">
        <f t="shared" si="12"/>
        <v>1910.3</v>
      </c>
      <c r="AI32" s="60">
        <f>400.8-AM32</f>
        <v>189</v>
      </c>
      <c r="AJ32" s="60">
        <f t="shared" si="1"/>
        <v>189</v>
      </c>
      <c r="AK32" s="60">
        <f>SUMIFS(Таблица1[10],Таблица1[2],$D32)</f>
        <v>0</v>
      </c>
      <c r="AL32" s="60">
        <f>SUMIFS(Таблица1[11],Таблица1[2],$D32)</f>
        <v>0</v>
      </c>
      <c r="AM32" s="251">
        <f>211.8</f>
        <v>211.8</v>
      </c>
      <c r="AN32" s="249">
        <f t="shared" si="2"/>
        <v>0</v>
      </c>
      <c r="AO32" s="249">
        <f>SUMIFS(Таблица1[12],Таблица1[2],$D32)</f>
        <v>211.8</v>
      </c>
      <c r="AP32" s="249">
        <f>SUMIFS(Таблица1[13],Таблица1[2],$D32)</f>
        <v>0</v>
      </c>
      <c r="AQ32" s="61">
        <f>500.7</f>
        <v>500.7</v>
      </c>
      <c r="AR32" s="61">
        <f t="shared" si="3"/>
        <v>500.7</v>
      </c>
      <c r="AS32" s="60">
        <f>SUMIFS(Таблица1[14],Таблица1[2],$D32)</f>
        <v>0</v>
      </c>
      <c r="AT32" s="60">
        <f>SUMIFS(Таблица1[15],Таблица1[2],$D32)</f>
        <v>0</v>
      </c>
      <c r="AU32" s="61">
        <v>1220.5999999999999</v>
      </c>
      <c r="AV32" s="61">
        <f t="shared" si="4"/>
        <v>1220.5999999999999</v>
      </c>
      <c r="AW32" s="60">
        <f>SUMIFS(Таблица1[16],Таблица1[2],$D32)</f>
        <v>0</v>
      </c>
      <c r="AX32" s="60">
        <f>SUMIFS(Таблица1[17],Таблица1[2],$D32)</f>
        <v>0</v>
      </c>
      <c r="AY32" s="263"/>
      <c r="AZ32" s="264"/>
      <c r="BA32" s="296">
        <v>0</v>
      </c>
      <c r="BB32" s="296">
        <f t="shared" si="14"/>
        <v>0</v>
      </c>
      <c r="BC32" s="296">
        <v>0</v>
      </c>
      <c r="BD32" s="296">
        <v>0</v>
      </c>
      <c r="BE32" s="285" t="s">
        <v>1649</v>
      </c>
      <c r="BF32" s="259">
        <v>1899</v>
      </c>
      <c r="BG32" s="260">
        <f>4206+4206+4412+4412+4453+2000+2000</f>
        <v>25689</v>
      </c>
      <c r="BH32" s="62" t="s">
        <v>936</v>
      </c>
      <c r="BI32" s="62" t="s">
        <v>935</v>
      </c>
      <c r="BJ32" s="62" t="s">
        <v>944</v>
      </c>
      <c r="BK32" s="267"/>
      <c r="BL32" s="267"/>
      <c r="BM32" s="267" t="s">
        <v>1649</v>
      </c>
      <c r="BN32" s="268">
        <v>1</v>
      </c>
      <c r="BO32" s="62">
        <v>41</v>
      </c>
      <c r="BP32" s="63">
        <v>41261</v>
      </c>
      <c r="BQ32" s="64" t="s">
        <v>1131</v>
      </c>
      <c r="BR32" s="372" t="s">
        <v>2747</v>
      </c>
      <c r="BS32" s="62"/>
      <c r="BT32" s="323"/>
      <c r="BU32" s="62"/>
      <c r="BV32" s="323"/>
      <c r="BW32" s="62"/>
      <c r="BX32" s="336">
        <v>48</v>
      </c>
      <c r="BY32" s="336"/>
    </row>
    <row r="33" spans="1:77" ht="13.15" hidden="1" customHeight="1" outlineLevel="1" x14ac:dyDescent="0.2">
      <c r="A33" s="50">
        <f t="shared" si="11"/>
        <v>28</v>
      </c>
      <c r="B33" s="51">
        <v>14</v>
      </c>
      <c r="C33" s="51">
        <v>12</v>
      </c>
      <c r="D33" s="18" t="s">
        <v>510</v>
      </c>
      <c r="E33" s="18">
        <v>11</v>
      </c>
      <c r="F33" s="18">
        <v>2</v>
      </c>
      <c r="G33" s="52">
        <v>1</v>
      </c>
      <c r="H33" s="237">
        <v>1</v>
      </c>
      <c r="I33" s="53">
        <v>1952</v>
      </c>
      <c r="J33" s="348">
        <v>3</v>
      </c>
      <c r="K33" s="346">
        <f t="shared" si="5"/>
        <v>4</v>
      </c>
      <c r="L33" s="346">
        <v>1</v>
      </c>
      <c r="M33" s="349">
        <v>3</v>
      </c>
      <c r="N33" s="255">
        <f t="shared" si="0"/>
        <v>0</v>
      </c>
      <c r="O33" s="310">
        <v>26</v>
      </c>
      <c r="P33" s="66">
        <v>3</v>
      </c>
      <c r="Q33" s="66"/>
      <c r="R33" s="66">
        <v>0</v>
      </c>
      <c r="S33" s="66">
        <v>24</v>
      </c>
      <c r="T33" s="66">
        <v>2</v>
      </c>
      <c r="U33" s="66">
        <v>0</v>
      </c>
      <c r="V33" s="66">
        <v>0</v>
      </c>
      <c r="W33" s="54">
        <v>0</v>
      </c>
      <c r="X33" s="55">
        <f>SUMIFS(Таблица3[Кол-во квартир],Таблица3[Адрес МКД],$D33)</f>
        <v>23</v>
      </c>
      <c r="Y33" s="56">
        <f t="shared" si="13"/>
        <v>2485.8100000000004</v>
      </c>
      <c r="Z33" s="253">
        <f>SUMIFS(Таблица3[Площадь жилая],Таблица3[Адрес МКД],$D33)</f>
        <v>1134.7</v>
      </c>
      <c r="AA33" s="261">
        <f>SUMIFS(Таблица3[Площадь нежилых помещений],Таблица3[Адрес МКД],$D33)</f>
        <v>174.5</v>
      </c>
      <c r="AB33" s="252">
        <f>SUMIFS(Таблица1[1],Таблица1[2],$D33)</f>
        <v>174.5</v>
      </c>
      <c r="AC33" s="57">
        <f t="shared" si="7"/>
        <v>174.5</v>
      </c>
      <c r="AD33" s="57">
        <f t="shared" si="8"/>
        <v>0</v>
      </c>
      <c r="AE33" s="58">
        <f>SUMIFS(Таблица1[8],Таблица1[2],$D33)+SUMIFS(Таблица1[18],Таблица1[2],$D33)</f>
        <v>174.5</v>
      </c>
      <c r="AF33" s="58">
        <f>SUMIFS(Таблица1[9],Таблица1[2],$D33)+SUMIFS(Таблица1[19],Таблица1[2],$D33)</f>
        <v>0</v>
      </c>
      <c r="AG33" s="59">
        <f t="shared" si="9"/>
        <v>1176.6100000000001</v>
      </c>
      <c r="AH33" s="59">
        <f t="shared" si="12"/>
        <v>1176.6100000000001</v>
      </c>
      <c r="AI33" s="60">
        <f>329.1-AM33</f>
        <v>329.1</v>
      </c>
      <c r="AJ33" s="60">
        <f t="shared" si="1"/>
        <v>329.1</v>
      </c>
      <c r="AK33" s="60">
        <f>SUMIFS(Таблица1[10],Таблица1[2],$D33)</f>
        <v>0</v>
      </c>
      <c r="AL33" s="60">
        <f>SUMIFS(Таблица1[11],Таблица1[2],$D33)</f>
        <v>0</v>
      </c>
      <c r="AM33" s="251">
        <v>0</v>
      </c>
      <c r="AN33" s="249">
        <f t="shared" si="2"/>
        <v>0</v>
      </c>
      <c r="AO33" s="249">
        <f>SUMIFS(Таблица1[12],Таблица1[2],$D33)</f>
        <v>0</v>
      </c>
      <c r="AP33" s="249">
        <f>SUMIFS(Таблица1[13],Таблица1[2],$D33)</f>
        <v>0</v>
      </c>
      <c r="AQ33" s="61">
        <f>250.5</f>
        <v>250.5</v>
      </c>
      <c r="AR33" s="61">
        <f t="shared" si="3"/>
        <v>250.5</v>
      </c>
      <c r="AS33" s="60">
        <f>SUMIFS(Таблица1[14],Таблица1[2],$D33)</f>
        <v>0</v>
      </c>
      <c r="AT33" s="60">
        <f>SUMIFS(Таблица1[15],Таблица1[2],$D33)</f>
        <v>0</v>
      </c>
      <c r="AU33" s="61">
        <v>597.01</v>
      </c>
      <c r="AV33" s="61">
        <f t="shared" si="4"/>
        <v>597.01</v>
      </c>
      <c r="AW33" s="60">
        <f>SUMIFS(Таблица1[16],Таблица1[2],$D33)</f>
        <v>0</v>
      </c>
      <c r="AX33" s="60">
        <f>SUMIFS(Таблица1[17],Таблица1[2],$D33)</f>
        <v>0</v>
      </c>
      <c r="AY33" s="263"/>
      <c r="AZ33" s="264"/>
      <c r="BA33" s="296">
        <v>0</v>
      </c>
      <c r="BB33" s="296">
        <f t="shared" si="14"/>
        <v>0</v>
      </c>
      <c r="BC33" s="296">
        <v>0</v>
      </c>
      <c r="BD33" s="296">
        <v>0</v>
      </c>
      <c r="BE33" s="285"/>
      <c r="BF33" s="259">
        <v>1727</v>
      </c>
      <c r="BG33" s="260">
        <f>6283+47</f>
        <v>6330</v>
      </c>
      <c r="BH33" s="62" t="s">
        <v>936</v>
      </c>
      <c r="BI33" s="62" t="s">
        <v>935</v>
      </c>
      <c r="BJ33" s="62"/>
      <c r="BK33" s="267"/>
      <c r="BL33" s="267"/>
      <c r="BM33" s="267" t="s">
        <v>1649</v>
      </c>
      <c r="BN33" s="268"/>
      <c r="BO33" s="62">
        <v>31</v>
      </c>
      <c r="BP33" s="63">
        <v>28562</v>
      </c>
      <c r="BQ33" s="64" t="s">
        <v>1131</v>
      </c>
      <c r="BR33" s="372" t="s">
        <v>2747</v>
      </c>
      <c r="BS33" s="62"/>
      <c r="BT33" s="323"/>
      <c r="BU33" s="62"/>
      <c r="BV33" s="323"/>
      <c r="BW33" s="62"/>
      <c r="BX33" s="336">
        <v>28</v>
      </c>
      <c r="BY33" s="336"/>
    </row>
    <row r="34" spans="1:77" ht="13.15" hidden="1" customHeight="1" outlineLevel="1" x14ac:dyDescent="0.2">
      <c r="A34" s="50">
        <f t="shared" si="11"/>
        <v>29</v>
      </c>
      <c r="B34" s="51">
        <v>15</v>
      </c>
      <c r="C34" s="51">
        <v>13</v>
      </c>
      <c r="D34" s="18" t="s">
        <v>511</v>
      </c>
      <c r="E34" s="18">
        <v>11</v>
      </c>
      <c r="F34" s="18">
        <v>2</v>
      </c>
      <c r="G34" s="52">
        <v>1</v>
      </c>
      <c r="H34" s="237">
        <v>1</v>
      </c>
      <c r="I34" s="53">
        <v>1954</v>
      </c>
      <c r="J34" s="348">
        <v>4</v>
      </c>
      <c r="K34" s="346">
        <f t="shared" si="5"/>
        <v>5</v>
      </c>
      <c r="L34" s="346">
        <v>1</v>
      </c>
      <c r="M34" s="349">
        <v>4</v>
      </c>
      <c r="N34" s="255">
        <f t="shared" si="0"/>
        <v>5</v>
      </c>
      <c r="O34" s="310">
        <v>56</v>
      </c>
      <c r="P34" s="66">
        <v>0</v>
      </c>
      <c r="Q34" s="66"/>
      <c r="R34" s="66">
        <v>1</v>
      </c>
      <c r="S34" s="66">
        <v>37</v>
      </c>
      <c r="T34" s="66">
        <v>18</v>
      </c>
      <c r="U34" s="66">
        <v>0</v>
      </c>
      <c r="V34" s="66">
        <v>0</v>
      </c>
      <c r="W34" s="54">
        <v>0</v>
      </c>
      <c r="X34" s="55">
        <f>SUMIFS(Таблица3[Кол-во квартир],Таблица3[Адрес МКД],$D34)</f>
        <v>51</v>
      </c>
      <c r="Y34" s="56">
        <f t="shared" si="13"/>
        <v>5693.7</v>
      </c>
      <c r="Z34" s="253">
        <f>SUMIFS(Таблица3[Площадь жилая],Таблица3[Адрес МКД],$D34)</f>
        <v>3374.7</v>
      </c>
      <c r="AA34" s="261">
        <f>SUMIFS(Таблица3[Площадь нежилых помещений],Таблица3[Адрес МКД],$D34)</f>
        <v>511.8</v>
      </c>
      <c r="AB34" s="252">
        <f>SUMIFS(Таблица1[1],Таблица1[2],$D34)</f>
        <v>578.5</v>
      </c>
      <c r="AC34" s="57">
        <f t="shared" si="7"/>
        <v>578.5</v>
      </c>
      <c r="AD34" s="57">
        <f t="shared" si="8"/>
        <v>0</v>
      </c>
      <c r="AE34" s="58">
        <f>SUMIFS(Таблица1[8],Таблица1[2],$D34)+SUMIFS(Таблица1[18],Таблица1[2],$D34)</f>
        <v>359.6</v>
      </c>
      <c r="AF34" s="58">
        <f>SUMIFS(Таблица1[9],Таблица1[2],$D34)+SUMIFS(Таблица1[19],Таблица1[2],$D34)</f>
        <v>0</v>
      </c>
      <c r="AG34" s="59">
        <f>AJ34+AR34+AV34+AZ34+BE34+BB34</f>
        <v>1740.5</v>
      </c>
      <c r="AH34" s="59">
        <f>AJ34+AL34+AR34+AT34+AV34+AX34+BE34+BB34+BD34</f>
        <v>1740.5</v>
      </c>
      <c r="AI34" s="60">
        <f>357.3-AM34</f>
        <v>205.10000000000002</v>
      </c>
      <c r="AJ34" s="60">
        <f>AI34-AK34-AL34</f>
        <v>138.40000000000003</v>
      </c>
      <c r="AK34" s="60">
        <f>SUMIFS(Таблица1[10],Таблица1[2],$D34)</f>
        <v>66.7</v>
      </c>
      <c r="AL34" s="60">
        <f>SUMIFS(Таблица1[11],Таблица1[2],$D34)</f>
        <v>0</v>
      </c>
      <c r="AM34" s="251">
        <f>152.2</f>
        <v>152.19999999999999</v>
      </c>
      <c r="AN34" s="249">
        <f>AM34-AO34-AP34</f>
        <v>0</v>
      </c>
      <c r="AO34" s="249">
        <f>SUMIFS(Таблица1[12],Таблица1[2],$D34)</f>
        <v>152.19999999999999</v>
      </c>
      <c r="AP34" s="249">
        <f>SUMIFS(Таблица1[13],Таблица1[2],$D34)</f>
        <v>0</v>
      </c>
      <c r="AQ34" s="61">
        <f>398.9</f>
        <v>398.9</v>
      </c>
      <c r="AR34" s="61">
        <f t="shared" si="3"/>
        <v>398.9</v>
      </c>
      <c r="AS34" s="60">
        <f>SUMIFS(Таблица1[14],Таблица1[2],$D34)</f>
        <v>0</v>
      </c>
      <c r="AT34" s="60">
        <f>SUMIFS(Таблица1[15],Таблица1[2],$D34)</f>
        <v>0</v>
      </c>
      <c r="AU34" s="61">
        <v>1164</v>
      </c>
      <c r="AV34" s="61">
        <f t="shared" si="4"/>
        <v>1164</v>
      </c>
      <c r="AW34" s="60">
        <f>SUMIFS(Таблица1[16],Таблица1[2],$D34)</f>
        <v>0</v>
      </c>
      <c r="AX34" s="60">
        <f>SUMIFS(Таблица1[17],Таблица1[2],$D34)</f>
        <v>0</v>
      </c>
      <c r="AY34" s="263">
        <f>Нежилые!G204</f>
        <v>66.7</v>
      </c>
      <c r="AZ34" s="264"/>
      <c r="BA34" s="296">
        <v>29.2</v>
      </c>
      <c r="BB34" s="296">
        <f>BA34-BC34-BD34</f>
        <v>0</v>
      </c>
      <c r="BC34" s="296">
        <f>Нежилые!I205</f>
        <v>29.2</v>
      </c>
      <c r="BD34" s="296">
        <v>0</v>
      </c>
      <c r="BE34" s="285">
        <v>39.200000000000003</v>
      </c>
      <c r="BF34" s="259">
        <v>1714</v>
      </c>
      <c r="BG34" s="260">
        <f>16883+64</f>
        <v>16947</v>
      </c>
      <c r="BH34" s="62" t="s">
        <v>936</v>
      </c>
      <c r="BI34" s="62" t="s">
        <v>935</v>
      </c>
      <c r="BJ34" s="62"/>
      <c r="BK34" s="267"/>
      <c r="BL34" s="267"/>
      <c r="BM34" s="267" t="s">
        <v>1649</v>
      </c>
      <c r="BN34" s="268"/>
      <c r="BO34" s="62">
        <v>46</v>
      </c>
      <c r="BP34" s="63">
        <v>44243</v>
      </c>
      <c r="BQ34" s="64" t="s">
        <v>1131</v>
      </c>
      <c r="BR34" s="372" t="s">
        <v>2747</v>
      </c>
      <c r="BS34" s="62"/>
      <c r="BT34" s="323"/>
      <c r="BU34" s="62"/>
      <c r="BV34" s="323"/>
      <c r="BW34" s="62"/>
      <c r="BX34" s="336">
        <v>44</v>
      </c>
      <c r="BY34" s="336"/>
    </row>
    <row r="35" spans="1:77" ht="13.15" hidden="1" customHeight="1" outlineLevel="1" x14ac:dyDescent="0.2">
      <c r="A35" s="50">
        <f t="shared" si="11"/>
        <v>30</v>
      </c>
      <c r="B35" s="51">
        <v>16</v>
      </c>
      <c r="C35" s="51">
        <v>14</v>
      </c>
      <c r="D35" s="18" t="s">
        <v>512</v>
      </c>
      <c r="E35" s="18">
        <v>11</v>
      </c>
      <c r="F35" s="18">
        <v>2</v>
      </c>
      <c r="G35" s="52">
        <v>1</v>
      </c>
      <c r="H35" s="237">
        <v>1</v>
      </c>
      <c r="I35" s="53">
        <v>1952</v>
      </c>
      <c r="J35" s="348">
        <v>4</v>
      </c>
      <c r="K35" s="346">
        <f t="shared" si="5"/>
        <v>5</v>
      </c>
      <c r="L35" s="346">
        <v>1</v>
      </c>
      <c r="M35" s="349">
        <v>4</v>
      </c>
      <c r="N35" s="255">
        <f t="shared" si="0"/>
        <v>4</v>
      </c>
      <c r="O35" s="310">
        <v>46</v>
      </c>
      <c r="P35" s="66">
        <v>1</v>
      </c>
      <c r="Q35" s="66"/>
      <c r="R35" s="66">
        <v>0</v>
      </c>
      <c r="S35" s="66">
        <v>42</v>
      </c>
      <c r="T35" s="66">
        <v>4</v>
      </c>
      <c r="U35" s="66">
        <v>0</v>
      </c>
      <c r="V35" s="66">
        <v>0</v>
      </c>
      <c r="W35" s="54">
        <v>0</v>
      </c>
      <c r="X35" s="55">
        <f>SUMIFS(Таблица3[Кол-во квартир],Таблица3[Адрес МКД],$D35)</f>
        <v>41</v>
      </c>
      <c r="Y35" s="56">
        <f t="shared" si="13"/>
        <v>4145.8899999999994</v>
      </c>
      <c r="Z35" s="253">
        <f>SUMIFS(Таблица3[Площадь жилая],Таблица3[Адрес МКД],$D35)</f>
        <v>2336.1</v>
      </c>
      <c r="AA35" s="261">
        <f>SUMIFS(Таблица3[Площадь нежилых помещений],Таблица3[Адрес МКД],$D35)</f>
        <v>212.7</v>
      </c>
      <c r="AB35" s="252">
        <f>SUMIFS(Таблица1[1],Таблица1[2],$D35)</f>
        <v>212.7</v>
      </c>
      <c r="AC35" s="57">
        <f t="shared" si="7"/>
        <v>212.7</v>
      </c>
      <c r="AD35" s="57">
        <f t="shared" si="8"/>
        <v>0</v>
      </c>
      <c r="AE35" s="58">
        <f>SUMIFS(Таблица1[8],Таблица1[2],$D35)+SUMIFS(Таблица1[18],Таблица1[2],$D35)</f>
        <v>69</v>
      </c>
      <c r="AF35" s="58">
        <f>SUMIFS(Таблица1[9],Таблица1[2],$D35)+SUMIFS(Таблица1[19],Таблица1[2],$D35)</f>
        <v>0</v>
      </c>
      <c r="AG35" s="59">
        <f t="shared" si="9"/>
        <v>1597.0900000000001</v>
      </c>
      <c r="AH35" s="59">
        <f t="shared" si="12"/>
        <v>1597.0900000000001</v>
      </c>
      <c r="AI35" s="60">
        <f>480.1-AM35</f>
        <v>349.6</v>
      </c>
      <c r="AJ35" s="60">
        <f t="shared" si="1"/>
        <v>349.6</v>
      </c>
      <c r="AK35" s="60">
        <f>SUMIFS(Таблица1[10],Таблица1[2],$D35)</f>
        <v>0</v>
      </c>
      <c r="AL35" s="60">
        <f>SUMIFS(Таблица1[11],Таблица1[2],$D35)</f>
        <v>0</v>
      </c>
      <c r="AM35" s="251">
        <f>130.5</f>
        <v>130.5</v>
      </c>
      <c r="AN35" s="249">
        <f t="shared" si="2"/>
        <v>0</v>
      </c>
      <c r="AO35" s="249">
        <f>SUMIFS(Таблица1[12],Таблица1[2],$D35)</f>
        <v>130.5</v>
      </c>
      <c r="AP35" s="249">
        <f>SUMIFS(Таблица1[13],Таблица1[2],$D35)</f>
        <v>0</v>
      </c>
      <c r="AQ35" s="61">
        <f>462.1</f>
        <v>462.1</v>
      </c>
      <c r="AR35" s="61">
        <f t="shared" si="3"/>
        <v>448.90000000000003</v>
      </c>
      <c r="AS35" s="60">
        <f>SUMIFS(Таблица1[14],Таблица1[2],$D35)</f>
        <v>13.2</v>
      </c>
      <c r="AT35" s="60">
        <f>SUMIFS(Таблица1[15],Таблица1[2],$D35)</f>
        <v>0</v>
      </c>
      <c r="AU35" s="61">
        <v>798.59</v>
      </c>
      <c r="AV35" s="61">
        <f t="shared" si="4"/>
        <v>798.59</v>
      </c>
      <c r="AW35" s="60">
        <f>SUMIFS(Таблица1[16],Таблица1[2],$D35)</f>
        <v>0</v>
      </c>
      <c r="AX35" s="60">
        <f>SUMIFS(Таблица1[17],Таблица1[2],$D35)</f>
        <v>0</v>
      </c>
      <c r="AY35" s="263"/>
      <c r="AZ35" s="264"/>
      <c r="BA35" s="296">
        <v>0</v>
      </c>
      <c r="BB35" s="296">
        <f t="shared" si="14"/>
        <v>0</v>
      </c>
      <c r="BC35" s="296">
        <v>0</v>
      </c>
      <c r="BD35" s="296">
        <v>0</v>
      </c>
      <c r="BE35" s="285"/>
      <c r="BF35" s="259">
        <v>2181</v>
      </c>
      <c r="BG35" s="260">
        <v>11490</v>
      </c>
      <c r="BH35" s="62" t="s">
        <v>936</v>
      </c>
      <c r="BI35" s="62" t="s">
        <v>935</v>
      </c>
      <c r="BJ35" s="62"/>
      <c r="BK35" s="267"/>
      <c r="BL35" s="267"/>
      <c r="BM35" s="267" t="s">
        <v>1649</v>
      </c>
      <c r="BN35" s="268"/>
      <c r="BO35" s="62">
        <v>32</v>
      </c>
      <c r="BP35" s="63">
        <v>28563</v>
      </c>
      <c r="BQ35" s="64" t="s">
        <v>1131</v>
      </c>
      <c r="BR35" s="372" t="s">
        <v>2747</v>
      </c>
      <c r="BS35" s="62"/>
      <c r="BT35" s="323"/>
      <c r="BU35" s="62"/>
      <c r="BV35" s="323"/>
      <c r="BW35" s="62"/>
      <c r="BX35" s="336">
        <v>36</v>
      </c>
      <c r="BY35" s="336"/>
    </row>
    <row r="36" spans="1:77" ht="13.15" hidden="1" customHeight="1" outlineLevel="1" x14ac:dyDescent="0.2">
      <c r="A36" s="50">
        <f t="shared" si="11"/>
        <v>31</v>
      </c>
      <c r="B36" s="51">
        <v>17</v>
      </c>
      <c r="C36" s="51">
        <v>15</v>
      </c>
      <c r="D36" s="18" t="s">
        <v>513</v>
      </c>
      <c r="E36" s="18">
        <v>11</v>
      </c>
      <c r="F36" s="18">
        <v>2</v>
      </c>
      <c r="G36" s="52">
        <v>1</v>
      </c>
      <c r="H36" s="237">
        <v>1</v>
      </c>
      <c r="I36" s="53">
        <v>1952</v>
      </c>
      <c r="J36" s="348">
        <v>3</v>
      </c>
      <c r="K36" s="346">
        <f t="shared" si="5"/>
        <v>4</v>
      </c>
      <c r="L36" s="346">
        <v>1</v>
      </c>
      <c r="M36" s="349">
        <v>3</v>
      </c>
      <c r="N36" s="255">
        <f t="shared" si="0"/>
        <v>0</v>
      </c>
      <c r="O36" s="310">
        <v>26</v>
      </c>
      <c r="P36" s="66">
        <v>4</v>
      </c>
      <c r="Q36" s="66"/>
      <c r="R36" s="66">
        <v>0</v>
      </c>
      <c r="S36" s="66">
        <v>24</v>
      </c>
      <c r="T36" s="66">
        <v>2</v>
      </c>
      <c r="U36" s="66">
        <v>0</v>
      </c>
      <c r="V36" s="66">
        <v>0</v>
      </c>
      <c r="W36" s="54">
        <v>0</v>
      </c>
      <c r="X36" s="55">
        <f>SUMIFS(Таблица3[Кол-во квартир],Таблица3[Адрес МКД],$D36)</f>
        <v>22</v>
      </c>
      <c r="Y36" s="56">
        <f t="shared" si="13"/>
        <v>2538.16</v>
      </c>
      <c r="Z36" s="253">
        <f>SUMIFS(Таблица3[Площадь жилая],Таблица3[Адрес МКД],$D36)</f>
        <v>1090.3</v>
      </c>
      <c r="AA36" s="261">
        <f>SUMIFS(Таблица3[Площадь нежилых помещений],Таблица3[Адрес МКД],$D36)</f>
        <v>240.4</v>
      </c>
      <c r="AB36" s="252">
        <f>SUMIFS(Таблица1[1],Таблица1[2],$D36)</f>
        <v>251.2</v>
      </c>
      <c r="AC36" s="57">
        <f t="shared" si="7"/>
        <v>240.39999999999998</v>
      </c>
      <c r="AD36" s="57">
        <f t="shared" si="8"/>
        <v>10.8</v>
      </c>
      <c r="AE36" s="58">
        <f>SUMIFS(Таблица1[8],Таблица1[2],$D36)+SUMIFS(Таблица1[18],Таблица1[2],$D36)</f>
        <v>240.39999999999998</v>
      </c>
      <c r="AF36" s="58">
        <f>SUMIFS(Таблица1[9],Таблица1[2],$D36)+SUMIFS(Таблица1[19],Таблица1[2],$D36)</f>
        <v>0</v>
      </c>
      <c r="AG36" s="59">
        <f t="shared" si="9"/>
        <v>1196.6600000000001</v>
      </c>
      <c r="AH36" s="59">
        <f t="shared" si="12"/>
        <v>1207.46</v>
      </c>
      <c r="AI36" s="60">
        <f>346.8-AM36</f>
        <v>346.8</v>
      </c>
      <c r="AJ36" s="60">
        <f t="shared" si="1"/>
        <v>346.8</v>
      </c>
      <c r="AK36" s="60">
        <f>SUMIFS(Таблица1[10],Таблица1[2],$D36)</f>
        <v>0</v>
      </c>
      <c r="AL36" s="60">
        <f>SUMIFS(Таблица1[11],Таблица1[2],$D36)</f>
        <v>0</v>
      </c>
      <c r="AM36" s="251">
        <v>0</v>
      </c>
      <c r="AN36" s="249">
        <f t="shared" si="2"/>
        <v>0</v>
      </c>
      <c r="AO36" s="249">
        <f>SUMIFS(Таблица1[12],Таблица1[2],$D36)</f>
        <v>0</v>
      </c>
      <c r="AP36" s="249">
        <f>SUMIFS(Таблица1[13],Таблица1[2],$D36)</f>
        <v>0</v>
      </c>
      <c r="AQ36" s="61">
        <f>259.7</f>
        <v>259.7</v>
      </c>
      <c r="AR36" s="61">
        <f t="shared" si="3"/>
        <v>248.89999999999998</v>
      </c>
      <c r="AS36" s="60">
        <f>SUMIFS(Таблица1[14],Таблица1[2],$D36)</f>
        <v>0</v>
      </c>
      <c r="AT36" s="60">
        <f>SUMIFS(Таблица1[15],Таблица1[2],$D36)</f>
        <v>10.8</v>
      </c>
      <c r="AU36" s="61">
        <v>600.96</v>
      </c>
      <c r="AV36" s="61">
        <f t="shared" si="4"/>
        <v>600.96</v>
      </c>
      <c r="AW36" s="60">
        <f>SUMIFS(Таблица1[16],Таблица1[2],$D36)</f>
        <v>0</v>
      </c>
      <c r="AX36" s="60">
        <f>SUMIFS(Таблица1[17],Таблица1[2],$D36)</f>
        <v>0</v>
      </c>
      <c r="AY36" s="263"/>
      <c r="AZ36" s="264"/>
      <c r="BA36" s="296">
        <v>0</v>
      </c>
      <c r="BB36" s="296">
        <f t="shared" si="14"/>
        <v>0</v>
      </c>
      <c r="BC36" s="296">
        <v>0</v>
      </c>
      <c r="BD36" s="296">
        <v>0</v>
      </c>
      <c r="BE36" s="285"/>
      <c r="BF36" s="259">
        <v>1535</v>
      </c>
      <c r="BG36" s="260">
        <f>4174+2083</f>
        <v>6257</v>
      </c>
      <c r="BH36" s="62" t="s">
        <v>936</v>
      </c>
      <c r="BI36" s="62" t="s">
        <v>935</v>
      </c>
      <c r="BJ36" s="62"/>
      <c r="BK36" s="267"/>
      <c r="BL36" s="267"/>
      <c r="BM36" s="267" t="s">
        <v>1649</v>
      </c>
      <c r="BN36" s="268"/>
      <c r="BO36" s="62">
        <v>40</v>
      </c>
      <c r="BP36" s="63">
        <v>32175</v>
      </c>
      <c r="BQ36" s="64" t="s">
        <v>1131</v>
      </c>
      <c r="BR36" s="372" t="s">
        <v>2747</v>
      </c>
      <c r="BS36" s="62"/>
      <c r="BT36" s="323"/>
      <c r="BU36" s="62"/>
      <c r="BV36" s="323"/>
      <c r="BW36" s="62"/>
      <c r="BX36" s="338"/>
      <c r="BY36" s="336"/>
    </row>
    <row r="37" spans="1:77" ht="13.15" hidden="1" customHeight="1" outlineLevel="1" x14ac:dyDescent="0.2">
      <c r="A37" s="50">
        <f t="shared" si="11"/>
        <v>32</v>
      </c>
      <c r="B37" s="51">
        <v>7</v>
      </c>
      <c r="C37" s="51">
        <v>16</v>
      </c>
      <c r="D37" s="18" t="s">
        <v>435</v>
      </c>
      <c r="E37" s="18">
        <v>10</v>
      </c>
      <c r="F37" s="18">
        <v>2</v>
      </c>
      <c r="G37" s="52">
        <v>1</v>
      </c>
      <c r="H37" s="237">
        <v>1</v>
      </c>
      <c r="I37" s="53">
        <v>1954</v>
      </c>
      <c r="J37" s="348">
        <v>4</v>
      </c>
      <c r="K37" s="346">
        <f t="shared" si="5"/>
        <v>5</v>
      </c>
      <c r="L37" s="346">
        <v>1</v>
      </c>
      <c r="M37" s="349">
        <v>3</v>
      </c>
      <c r="N37" s="255">
        <f t="shared" si="0"/>
        <v>1</v>
      </c>
      <c r="O37" s="310">
        <v>44</v>
      </c>
      <c r="P37" s="66">
        <v>3</v>
      </c>
      <c r="Q37" s="66"/>
      <c r="R37" s="66">
        <v>1</v>
      </c>
      <c r="S37" s="66">
        <v>27</v>
      </c>
      <c r="T37" s="66">
        <v>16</v>
      </c>
      <c r="U37" s="66">
        <v>0</v>
      </c>
      <c r="V37" s="66">
        <v>0</v>
      </c>
      <c r="W37" s="54">
        <v>0</v>
      </c>
      <c r="X37" s="55">
        <f>SUMIFS(Таблица3[Кол-во квартир],Таблица3[Адрес МКД],$D37)</f>
        <v>40</v>
      </c>
      <c r="Y37" s="56">
        <f t="shared" si="13"/>
        <v>4230.3</v>
      </c>
      <c r="Z37" s="253">
        <f>SUMIFS(Таблица3[Площадь жилая],Таблица3[Адрес МКД],$D37)</f>
        <v>2535.4</v>
      </c>
      <c r="AA37" s="261">
        <f>SUMIFS(Таблица3[Площадь нежилых помещений],Таблица3[Адрес МКД],$D37)</f>
        <v>390</v>
      </c>
      <c r="AB37" s="252">
        <f>SUMIFS(Таблица1[1],Таблица1[2],$D37)</f>
        <v>401</v>
      </c>
      <c r="AC37" s="57">
        <f t="shared" si="7"/>
        <v>390</v>
      </c>
      <c r="AD37" s="57">
        <f t="shared" si="8"/>
        <v>11</v>
      </c>
      <c r="AE37" s="58">
        <f>SUMIFS(Таблица1[8],Таблица1[2],$D37)+SUMIFS(Таблица1[18],Таблица1[2],$D37)</f>
        <v>195</v>
      </c>
      <c r="AF37" s="58">
        <f>SUMIFS(Таблица1[9],Таблица1[2],$D37)+SUMIFS(Таблица1[19],Таблица1[2],$D37)</f>
        <v>0</v>
      </c>
      <c r="AG37" s="59">
        <f t="shared" si="9"/>
        <v>1293.9000000000001</v>
      </c>
      <c r="AH37" s="59">
        <f t="shared" si="12"/>
        <v>1304.9000000000001</v>
      </c>
      <c r="AI37" s="60">
        <f>295.5-AM37</f>
        <v>100.5</v>
      </c>
      <c r="AJ37" s="60">
        <f t="shared" si="1"/>
        <v>100.5</v>
      </c>
      <c r="AK37" s="60">
        <f>SUMIFS(Таблица1[10],Таблица1[2],$D37)</f>
        <v>0</v>
      </c>
      <c r="AL37" s="60">
        <f>SUMIFS(Таблица1[11],Таблица1[2],$D37)</f>
        <v>0</v>
      </c>
      <c r="AM37" s="251">
        <f>195</f>
        <v>195</v>
      </c>
      <c r="AN37" s="249">
        <f t="shared" si="2"/>
        <v>0</v>
      </c>
      <c r="AO37" s="249">
        <f>SUMIFS(Таблица1[12],Таблица1[2],$D37)</f>
        <v>195</v>
      </c>
      <c r="AP37" s="249">
        <f>SUMIFS(Таблица1[13],Таблица1[2],$D37)</f>
        <v>0</v>
      </c>
      <c r="AQ37" s="61">
        <f>374.4</f>
        <v>374.4</v>
      </c>
      <c r="AR37" s="61">
        <f t="shared" si="3"/>
        <v>363.4</v>
      </c>
      <c r="AS37" s="60">
        <f>SUMIFS(Таблица1[14],Таблица1[2],$D37)</f>
        <v>0</v>
      </c>
      <c r="AT37" s="60">
        <f>SUMIFS(Таблица1[15],Таблица1[2],$D37)</f>
        <v>11</v>
      </c>
      <c r="AU37" s="61">
        <v>830</v>
      </c>
      <c r="AV37" s="61">
        <f t="shared" si="4"/>
        <v>830</v>
      </c>
      <c r="AW37" s="60">
        <f>SUMIFS(Таблица1[16],Таблица1[2],$D37)</f>
        <v>0</v>
      </c>
      <c r="AX37" s="60">
        <f>SUMIFS(Таблица1[17],Таблица1[2],$D37)</f>
        <v>0</v>
      </c>
      <c r="AY37" s="263"/>
      <c r="AZ37" s="264"/>
      <c r="BA37" s="296">
        <v>0</v>
      </c>
      <c r="BB37" s="296">
        <f t="shared" si="14"/>
        <v>0</v>
      </c>
      <c r="BC37" s="296">
        <v>0</v>
      </c>
      <c r="BD37" s="296">
        <v>0</v>
      </c>
      <c r="BE37" s="285"/>
      <c r="BF37" s="259">
        <v>1310</v>
      </c>
      <c r="BG37" s="260">
        <v>12230</v>
      </c>
      <c r="BH37" s="62" t="s">
        <v>936</v>
      </c>
      <c r="BI37" s="62" t="s">
        <v>935</v>
      </c>
      <c r="BJ37" s="62"/>
      <c r="BK37" s="267"/>
      <c r="BL37" s="267"/>
      <c r="BM37" s="267" t="s">
        <v>1649</v>
      </c>
      <c r="BN37" s="268"/>
      <c r="BO37" s="62">
        <v>35</v>
      </c>
      <c r="BP37" s="63">
        <v>32178</v>
      </c>
      <c r="BQ37" s="64" t="s">
        <v>1131</v>
      </c>
      <c r="BR37" s="372" t="s">
        <v>2747</v>
      </c>
      <c r="BS37" s="62"/>
      <c r="BT37" s="323"/>
      <c r="BU37" s="62"/>
      <c r="BV37" s="323"/>
      <c r="BW37" s="62"/>
      <c r="BX37" s="338"/>
      <c r="BY37" s="336"/>
    </row>
    <row r="38" spans="1:77" ht="13.15" hidden="1" customHeight="1" outlineLevel="1" x14ac:dyDescent="0.2">
      <c r="A38" s="50">
        <f t="shared" si="11"/>
        <v>33</v>
      </c>
      <c r="B38" s="51">
        <v>8</v>
      </c>
      <c r="C38" s="51">
        <v>17</v>
      </c>
      <c r="D38" s="18" t="s">
        <v>436</v>
      </c>
      <c r="E38" s="18">
        <v>10</v>
      </c>
      <c r="F38" s="18">
        <v>2</v>
      </c>
      <c r="G38" s="52">
        <v>1</v>
      </c>
      <c r="H38" s="237">
        <v>1</v>
      </c>
      <c r="I38" s="53">
        <v>1954</v>
      </c>
      <c r="J38" s="348">
        <v>4</v>
      </c>
      <c r="K38" s="346">
        <f t="shared" si="5"/>
        <v>5</v>
      </c>
      <c r="L38" s="346">
        <v>1</v>
      </c>
      <c r="M38" s="349">
        <v>4</v>
      </c>
      <c r="N38" s="255">
        <f t="shared" si="0"/>
        <v>0</v>
      </c>
      <c r="O38" s="310">
        <v>56</v>
      </c>
      <c r="P38" s="66">
        <v>0</v>
      </c>
      <c r="Q38" s="66"/>
      <c r="R38" s="66">
        <v>1</v>
      </c>
      <c r="S38" s="66">
        <v>37</v>
      </c>
      <c r="T38" s="66">
        <v>18</v>
      </c>
      <c r="U38" s="66">
        <v>0</v>
      </c>
      <c r="V38" s="66">
        <v>0</v>
      </c>
      <c r="W38" s="54">
        <v>0</v>
      </c>
      <c r="X38" s="55">
        <f>SUMIFS(Таблица3[Кол-во квартир],Таблица3[Адрес МКД],$D38)</f>
        <v>56</v>
      </c>
      <c r="Y38" s="56">
        <f t="shared" si="13"/>
        <v>5482.7500000000009</v>
      </c>
      <c r="Z38" s="253">
        <f>SUMIFS(Таблица3[Площадь жилая],Таблица3[Адрес МКД],$D38)</f>
        <v>3636.55</v>
      </c>
      <c r="AA38" s="261">
        <f>SUMIFS(Таблица3[Площадь нежилых помещений],Таблица3[Адрес МКД],$D38)</f>
        <v>284.8</v>
      </c>
      <c r="AB38" s="252">
        <f>SUMIFS(Таблица1[1],Таблица1[2],$D38)</f>
        <v>321.8</v>
      </c>
      <c r="AC38" s="57">
        <f>AE38+AK38+AO38+AS38+AW38</f>
        <v>272.3</v>
      </c>
      <c r="AD38" s="57">
        <f t="shared" si="8"/>
        <v>49.5</v>
      </c>
      <c r="AE38" s="58">
        <f>SUMIFS(Таблица1[8],Таблица1[2],$D38)+SUMIFS(Таблица1[18],Таблица1[2],$D38)</f>
        <v>53.8</v>
      </c>
      <c r="AF38" s="58">
        <f>SUMIFS(Таблица1[9],Таблица1[2],$D38)+SUMIFS(Таблица1[19],Таблица1[2],$D38)</f>
        <v>49.5</v>
      </c>
      <c r="AG38" s="59">
        <f>AJ38+AR38+AV38+AZ38+BB38</f>
        <v>1523.1</v>
      </c>
      <c r="AH38" s="59">
        <f>AJ38+AL38+AR38+AT38+AV38+AX38+BB38+BD38</f>
        <v>1523.1</v>
      </c>
      <c r="AI38" s="60">
        <f>346.4-AM38</f>
        <v>192.29999999999995</v>
      </c>
      <c r="AJ38" s="60">
        <f t="shared" si="1"/>
        <v>126.59999999999995</v>
      </c>
      <c r="AK38" s="60">
        <f>SUMIFS(Таблица1[10],Таблица1[2],$D38)</f>
        <v>65.7</v>
      </c>
      <c r="AL38" s="60">
        <f>SUMIFS(Таблица1[11],Таблица1[2],$D38)</f>
        <v>0</v>
      </c>
      <c r="AM38" s="251">
        <f>231-41.7-35.2</f>
        <v>154.10000000000002</v>
      </c>
      <c r="AN38" s="249">
        <f t="shared" si="2"/>
        <v>1.3000000000000114</v>
      </c>
      <c r="AO38" s="249">
        <f>SUMIFS(Таблица1[12],Таблица1[2],$D38)</f>
        <v>152.80000000000001</v>
      </c>
      <c r="AP38" s="249">
        <f>SUMIFS(Таблица1[13],Таблица1[2],$D38)</f>
        <v>0</v>
      </c>
      <c r="AQ38" s="61">
        <f>423</f>
        <v>423</v>
      </c>
      <c r="AR38" s="61">
        <f t="shared" si="3"/>
        <v>423</v>
      </c>
      <c r="AS38" s="60">
        <f>SUMIFS(Таблица1[14],Таблица1[2],$D38)</f>
        <v>0</v>
      </c>
      <c r="AT38" s="60">
        <f>SUMIFS(Таблица1[15],Таблица1[2],$D38)</f>
        <v>0</v>
      </c>
      <c r="AU38" s="61">
        <v>973.5</v>
      </c>
      <c r="AV38" s="61">
        <f t="shared" si="4"/>
        <v>973.5</v>
      </c>
      <c r="AW38" s="60">
        <f>SUMIFS(Таблица1[16],Таблица1[2],$D38)</f>
        <v>0</v>
      </c>
      <c r="AX38" s="60">
        <f>SUMIFS(Таблица1[17],Таблица1[2],$D38)</f>
        <v>0</v>
      </c>
      <c r="AY38" s="263">
        <f>Нежилые!G223</f>
        <v>65.7</v>
      </c>
      <c r="AZ38" s="264"/>
      <c r="BA38" s="296">
        <v>27.7</v>
      </c>
      <c r="BB38" s="296">
        <f t="shared" si="14"/>
        <v>0</v>
      </c>
      <c r="BC38" s="296">
        <f>Нежилые!I224</f>
        <v>27.7</v>
      </c>
      <c r="BD38" s="296">
        <v>0</v>
      </c>
      <c r="BE38" s="285"/>
      <c r="BF38" s="259">
        <v>1454</v>
      </c>
      <c r="BG38" s="260">
        <v>16592</v>
      </c>
      <c r="BH38" s="62" t="s">
        <v>936</v>
      </c>
      <c r="BI38" s="62" t="s">
        <v>935</v>
      </c>
      <c r="BJ38" s="62"/>
      <c r="BK38" s="267"/>
      <c r="BL38" s="267"/>
      <c r="BM38" s="267" t="s">
        <v>1649</v>
      </c>
      <c r="BN38" s="268"/>
      <c r="BO38" s="62">
        <v>27</v>
      </c>
      <c r="BP38" s="63">
        <v>28682</v>
      </c>
      <c r="BQ38" s="64" t="s">
        <v>1131</v>
      </c>
      <c r="BR38" s="372" t="s">
        <v>2747</v>
      </c>
      <c r="BS38" s="62"/>
      <c r="BT38" s="323"/>
      <c r="BU38" s="62"/>
      <c r="BV38" s="323"/>
      <c r="BW38" s="62"/>
      <c r="BX38" s="336">
        <v>46</v>
      </c>
      <c r="BY38" s="336"/>
    </row>
    <row r="39" spans="1:77" ht="13.15" hidden="1" customHeight="1" outlineLevel="1" x14ac:dyDescent="0.2">
      <c r="A39" s="50">
        <f t="shared" si="11"/>
        <v>34</v>
      </c>
      <c r="B39" s="51">
        <v>9</v>
      </c>
      <c r="C39" s="51">
        <v>18</v>
      </c>
      <c r="D39" s="18" t="s">
        <v>437</v>
      </c>
      <c r="E39" s="18">
        <v>10</v>
      </c>
      <c r="F39" s="18">
        <v>2</v>
      </c>
      <c r="G39" s="52">
        <v>1</v>
      </c>
      <c r="H39" s="237">
        <v>1</v>
      </c>
      <c r="I39" s="53">
        <v>1952</v>
      </c>
      <c r="J39" s="348">
        <v>4</v>
      </c>
      <c r="K39" s="346">
        <f t="shared" si="5"/>
        <v>5</v>
      </c>
      <c r="L39" s="346">
        <v>1</v>
      </c>
      <c r="M39" s="349">
        <v>4</v>
      </c>
      <c r="N39" s="255">
        <f t="shared" si="0"/>
        <v>2</v>
      </c>
      <c r="O39" s="310">
        <v>54</v>
      </c>
      <c r="P39" s="66">
        <v>1</v>
      </c>
      <c r="Q39" s="66"/>
      <c r="R39" s="66">
        <v>0</v>
      </c>
      <c r="S39" s="66">
        <v>41</v>
      </c>
      <c r="T39" s="66">
        <v>13</v>
      </c>
      <c r="U39" s="66">
        <v>0</v>
      </c>
      <c r="V39" s="66">
        <v>0</v>
      </c>
      <c r="W39" s="54">
        <v>0</v>
      </c>
      <c r="X39" s="55">
        <f>SUMIFS(Таблица3[Кол-во квартир],Таблица3[Адрес МКД],$D39)</f>
        <v>51</v>
      </c>
      <c r="Y39" s="56">
        <f t="shared" si="13"/>
        <v>4019.6000000000004</v>
      </c>
      <c r="Z39" s="253">
        <f>SUMIFS(Таблица3[Площадь жилая],Таблица3[Адрес МКД],$D39)</f>
        <v>2926.9</v>
      </c>
      <c r="AA39" s="261">
        <f>SUMIFS(Таблица3[Площадь нежилых помещений],Таблица3[Адрес МКД],$D39)</f>
        <v>552.29999999999995</v>
      </c>
      <c r="AB39" s="252">
        <f>SUMIFS(Таблица1[1],Таблица1[2],$D39)</f>
        <v>552.30000000000007</v>
      </c>
      <c r="AC39" s="57">
        <f t="shared" si="7"/>
        <v>552.30000000000007</v>
      </c>
      <c r="AD39" s="57">
        <f t="shared" si="8"/>
        <v>0</v>
      </c>
      <c r="AE39" s="58">
        <f>SUMIFS(Таблица1[8],Таблица1[2],$D39)+SUMIFS(Таблица1[18],Таблица1[2],$D39)</f>
        <v>0</v>
      </c>
      <c r="AF39" s="58">
        <f>SUMIFS(Таблица1[9],Таблица1[2],$D39)+SUMIFS(Таблица1[19],Таблица1[2],$D39)</f>
        <v>0</v>
      </c>
      <c r="AG39" s="59">
        <f t="shared" si="9"/>
        <v>540.4</v>
      </c>
      <c r="AH39" s="59">
        <f t="shared" si="12"/>
        <v>540.4</v>
      </c>
      <c r="AI39" s="60">
        <f>610.7-AM39</f>
        <v>610.70000000000005</v>
      </c>
      <c r="AJ39" s="60">
        <f t="shared" si="1"/>
        <v>58.399999999999977</v>
      </c>
      <c r="AK39" s="60">
        <f>SUMIFS(Таблица1[10],Таблица1[2],$D39)</f>
        <v>552.30000000000007</v>
      </c>
      <c r="AL39" s="60">
        <f>SUMIFS(Таблица1[11],Таблица1[2],$D39)</f>
        <v>0</v>
      </c>
      <c r="AM39" s="251">
        <v>0</v>
      </c>
      <c r="AN39" s="249">
        <f t="shared" si="2"/>
        <v>0</v>
      </c>
      <c r="AO39" s="249">
        <f>SUMIFS(Таблица1[12],Таблица1[2],$D39)</f>
        <v>0</v>
      </c>
      <c r="AP39" s="249">
        <f>SUMIFS(Таблица1[13],Таблица1[2],$D39)</f>
        <v>0</v>
      </c>
      <c r="AQ39" s="61">
        <f>409.2</f>
        <v>409.2</v>
      </c>
      <c r="AR39" s="61">
        <f t="shared" si="3"/>
        <v>409.2</v>
      </c>
      <c r="AS39" s="60">
        <f>SUMIFS(Таблица1[14],Таблица1[2],$D39)</f>
        <v>0</v>
      </c>
      <c r="AT39" s="60">
        <f>SUMIFS(Таблица1[15],Таблица1[2],$D39)</f>
        <v>0</v>
      </c>
      <c r="AU39" s="61">
        <v>72.8</v>
      </c>
      <c r="AV39" s="61">
        <f t="shared" si="4"/>
        <v>72.8</v>
      </c>
      <c r="AW39" s="60">
        <f>SUMIFS(Таблица1[16],Таблица1[2],$D39)</f>
        <v>0</v>
      </c>
      <c r="AX39" s="60">
        <f>SUMIFS(Таблица1[17],Таблица1[2],$D39)</f>
        <v>0</v>
      </c>
      <c r="AY39" s="263"/>
      <c r="AZ39" s="264"/>
      <c r="BA39" s="296">
        <v>0</v>
      </c>
      <c r="BB39" s="296">
        <f t="shared" si="14"/>
        <v>0</v>
      </c>
      <c r="BC39" s="296">
        <v>0</v>
      </c>
      <c r="BD39" s="296">
        <v>0</v>
      </c>
      <c r="BE39" s="285"/>
      <c r="BF39" s="259">
        <v>3139</v>
      </c>
      <c r="BG39" s="260">
        <f>11074+3682</f>
        <v>14756</v>
      </c>
      <c r="BH39" s="62" t="s">
        <v>939</v>
      </c>
      <c r="BI39" s="62" t="s">
        <v>935</v>
      </c>
      <c r="BJ39" s="62"/>
      <c r="BK39" s="267"/>
      <c r="BL39" s="267"/>
      <c r="BM39" s="267" t="s">
        <v>1649</v>
      </c>
      <c r="BN39" s="268"/>
      <c r="BO39" s="62">
        <v>29</v>
      </c>
      <c r="BP39" s="63">
        <v>30996</v>
      </c>
      <c r="BQ39" s="64" t="s">
        <v>1131</v>
      </c>
      <c r="BR39" s="372" t="s">
        <v>2747</v>
      </c>
      <c r="BS39" s="62"/>
      <c r="BT39" s="323"/>
      <c r="BU39" s="62"/>
      <c r="BV39" s="323"/>
      <c r="BW39" s="62"/>
      <c r="BX39" s="336">
        <v>42</v>
      </c>
      <c r="BY39" s="336"/>
    </row>
    <row r="40" spans="1:77" ht="13.15" customHeight="1" outlineLevel="1" x14ac:dyDescent="0.2">
      <c r="A40" s="50">
        <f t="shared" si="11"/>
        <v>35</v>
      </c>
      <c r="B40" s="51">
        <v>9</v>
      </c>
      <c r="C40" s="51">
        <v>10</v>
      </c>
      <c r="D40" s="18" t="s">
        <v>561</v>
      </c>
      <c r="E40" s="18">
        <v>12</v>
      </c>
      <c r="F40" s="18">
        <v>4</v>
      </c>
      <c r="G40" s="52">
        <v>1</v>
      </c>
      <c r="H40" s="237">
        <v>1</v>
      </c>
      <c r="I40" s="53">
        <v>1955</v>
      </c>
      <c r="J40" s="348">
        <v>5</v>
      </c>
      <c r="K40" s="346">
        <f t="shared" si="5"/>
        <v>6</v>
      </c>
      <c r="L40" s="346">
        <v>1</v>
      </c>
      <c r="M40" s="349">
        <v>6</v>
      </c>
      <c r="N40" s="255">
        <f t="shared" si="0"/>
        <v>1</v>
      </c>
      <c r="O40" s="310">
        <v>114</v>
      </c>
      <c r="P40" s="66">
        <v>22</v>
      </c>
      <c r="Q40" s="66"/>
      <c r="R40" s="66">
        <v>8</v>
      </c>
      <c r="S40" s="66">
        <v>65</v>
      </c>
      <c r="T40" s="66">
        <v>38</v>
      </c>
      <c r="U40" s="66">
        <v>3</v>
      </c>
      <c r="V40" s="66">
        <v>0</v>
      </c>
      <c r="W40" s="54">
        <v>0</v>
      </c>
      <c r="X40" s="55">
        <f>SUMIFS(Таблица3[Кол-во квартир],Таблица3[Адрес МКД],$D40)</f>
        <v>91</v>
      </c>
      <c r="Y40" s="56">
        <f t="shared" si="13"/>
        <v>10598.02</v>
      </c>
      <c r="Z40" s="253">
        <f>SUMIFS(Таблица3[Площадь жилая],Таблица3[Адрес МКД],$D40)</f>
        <v>6015.7</v>
      </c>
      <c r="AA40" s="261">
        <f>SUMIFS(Таблица3[Площадь нежилых помещений],Таблица3[Адрес МКД],$D40)</f>
        <v>1817.4</v>
      </c>
      <c r="AB40" s="252">
        <f>SUMIFS(Таблица1[1],Таблица1[2],$D40)</f>
        <v>1826.4</v>
      </c>
      <c r="AC40" s="57">
        <f t="shared" si="7"/>
        <v>1817.4</v>
      </c>
      <c r="AD40" s="57">
        <f t="shared" si="8"/>
        <v>9</v>
      </c>
      <c r="AE40" s="58">
        <f>SUMIFS(Таблица1[8],Таблица1[2],$D40)+SUMIFS(Таблица1[18],Таблица1[2],$D40)</f>
        <v>1421.2</v>
      </c>
      <c r="AF40" s="58">
        <f>SUMIFS(Таблица1[9],Таблица1[2],$D40)+SUMIFS(Таблица1[19],Таблица1[2],$D40)</f>
        <v>0</v>
      </c>
      <c r="AG40" s="59">
        <f t="shared" si="9"/>
        <v>2755.92</v>
      </c>
      <c r="AH40" s="59">
        <f t="shared" si="12"/>
        <v>2764.92</v>
      </c>
      <c r="AI40" s="60">
        <f>766.7-AM40</f>
        <v>370.50000000000006</v>
      </c>
      <c r="AJ40" s="60">
        <f t="shared" si="1"/>
        <v>370.50000000000006</v>
      </c>
      <c r="AK40" s="60">
        <f>SUMIFS(Таблица1[10],Таблица1[2],$D40)</f>
        <v>0</v>
      </c>
      <c r="AL40" s="60">
        <f>SUMIFS(Таблица1[11],Таблица1[2],$D40)</f>
        <v>0</v>
      </c>
      <c r="AM40" s="251">
        <v>396.2</v>
      </c>
      <c r="AN40" s="249">
        <f t="shared" si="2"/>
        <v>0</v>
      </c>
      <c r="AO40" s="249">
        <f>SUMIFS(Таблица1[12],Таблица1[2],$D40)</f>
        <v>396.2</v>
      </c>
      <c r="AP40" s="249">
        <f>SUMIFS(Таблица1[13],Таблица1[2],$D40)</f>
        <v>0</v>
      </c>
      <c r="AQ40" s="61">
        <f>755.8</f>
        <v>755.8</v>
      </c>
      <c r="AR40" s="61">
        <f t="shared" si="3"/>
        <v>746.8</v>
      </c>
      <c r="AS40" s="60">
        <f>SUMIFS(Таблица1[14],Таблица1[2],$D40)</f>
        <v>0</v>
      </c>
      <c r="AT40" s="60">
        <f>SUMIFS(Таблица1[15],Таблица1[2],$D40)</f>
        <v>9</v>
      </c>
      <c r="AU40" s="61">
        <v>1638.62</v>
      </c>
      <c r="AV40" s="61">
        <f t="shared" si="4"/>
        <v>1638.62</v>
      </c>
      <c r="AW40" s="60">
        <f>SUMIFS(Таблица1[16],Таблица1[2],$D40)</f>
        <v>0</v>
      </c>
      <c r="AX40" s="60">
        <f>SUMIFS(Таблица1[17],Таблица1[2],$D40)</f>
        <v>0</v>
      </c>
      <c r="AY40" s="263"/>
      <c r="AZ40" s="264"/>
      <c r="BA40" s="296">
        <v>0</v>
      </c>
      <c r="BB40" s="296">
        <f t="shared" si="14"/>
        <v>0</v>
      </c>
      <c r="BC40" s="296">
        <v>0</v>
      </c>
      <c r="BD40" s="296">
        <v>0</v>
      </c>
      <c r="BE40" s="285"/>
      <c r="BF40" s="259">
        <v>4315</v>
      </c>
      <c r="BG40" s="260">
        <f>6699+26567</f>
        <v>33266</v>
      </c>
      <c r="BH40" s="62" t="s">
        <v>936</v>
      </c>
      <c r="BI40" s="62" t="s">
        <v>935</v>
      </c>
      <c r="BJ40" s="62"/>
      <c r="BK40" s="267"/>
      <c r="BL40" s="267"/>
      <c r="BM40" s="267" t="s">
        <v>1649</v>
      </c>
      <c r="BN40" s="268"/>
      <c r="BO40" s="62">
        <v>25</v>
      </c>
      <c r="BP40" s="63">
        <v>28706</v>
      </c>
      <c r="BQ40" s="64" t="s">
        <v>1131</v>
      </c>
      <c r="BR40" s="372" t="s">
        <v>2747</v>
      </c>
      <c r="BS40" s="62"/>
      <c r="BT40" s="323"/>
      <c r="BU40" s="62"/>
      <c r="BV40" s="323"/>
      <c r="BW40" s="62"/>
      <c r="BX40" s="336">
        <v>49</v>
      </c>
      <c r="BY40" s="336"/>
    </row>
    <row r="41" spans="1:77" ht="13.15" hidden="1" customHeight="1" outlineLevel="1" x14ac:dyDescent="0.2">
      <c r="A41" s="50">
        <f t="shared" si="11"/>
        <v>36</v>
      </c>
      <c r="B41" s="51">
        <v>10</v>
      </c>
      <c r="C41" s="51">
        <v>19</v>
      </c>
      <c r="D41" s="18" t="s">
        <v>438</v>
      </c>
      <c r="E41" s="18">
        <v>10</v>
      </c>
      <c r="F41" s="18">
        <v>2</v>
      </c>
      <c r="G41" s="52">
        <v>1</v>
      </c>
      <c r="H41" s="237">
        <v>1</v>
      </c>
      <c r="I41" s="53">
        <v>1952</v>
      </c>
      <c r="J41" s="350">
        <v>4.5</v>
      </c>
      <c r="K41" s="345">
        <v>5.6</v>
      </c>
      <c r="L41" s="346">
        <v>1</v>
      </c>
      <c r="M41" s="349">
        <v>3</v>
      </c>
      <c r="N41" s="255">
        <f t="shared" si="0"/>
        <v>1</v>
      </c>
      <c r="O41" s="310">
        <v>39</v>
      </c>
      <c r="P41" s="66">
        <v>8</v>
      </c>
      <c r="Q41" s="66"/>
      <c r="R41" s="66">
        <v>0</v>
      </c>
      <c r="S41" s="66">
        <v>29</v>
      </c>
      <c r="T41" s="66">
        <v>10</v>
      </c>
      <c r="U41" s="66">
        <v>0</v>
      </c>
      <c r="V41" s="66">
        <v>0</v>
      </c>
      <c r="W41" s="54">
        <v>0</v>
      </c>
      <c r="X41" s="55">
        <f>SUMIFS(Таблица3[Кол-во квартир],Таблица3[Адрес МКД],$D41)</f>
        <v>30</v>
      </c>
      <c r="Y41" s="56">
        <f t="shared" si="13"/>
        <v>3772.5</v>
      </c>
      <c r="Z41" s="253">
        <f>SUMIFS(Таблица3[Площадь жилая],Таблица3[Адрес МКД],$D41)</f>
        <v>1815.3</v>
      </c>
      <c r="AA41" s="261">
        <f>SUMIFS(Таблица3[Площадь нежилых помещений],Таблица3[Адрес МКД],$D41)</f>
        <v>540.9</v>
      </c>
      <c r="AB41" s="252">
        <f>SUMIFS(Таблица1[1],Таблица1[2],$D41)</f>
        <v>608.1</v>
      </c>
      <c r="AC41" s="57">
        <f>AE41+AK41+AO41+AS41+AW41</f>
        <v>540.9</v>
      </c>
      <c r="AD41" s="57">
        <f t="shared" si="8"/>
        <v>67.2</v>
      </c>
      <c r="AE41" s="58">
        <f>SUMIFS(Таблица1[8],Таблица1[2],$D41)+SUMIFS(Таблица1[18],Таблица1[2],$D41)</f>
        <v>401.49999999999994</v>
      </c>
      <c r="AF41" s="58">
        <f>SUMIFS(Таблица1[9],Таблица1[2],$D41)+SUMIFS(Таблица1[19],Таблица1[2],$D41)</f>
        <v>0</v>
      </c>
      <c r="AG41" s="59">
        <f t="shared" si="9"/>
        <v>1349.1</v>
      </c>
      <c r="AH41" s="59">
        <f t="shared" si="12"/>
        <v>1416.3</v>
      </c>
      <c r="AI41" s="60">
        <f>492.5-AM41</f>
        <v>492.5</v>
      </c>
      <c r="AJ41" s="60">
        <f t="shared" si="1"/>
        <v>285.90000000000003</v>
      </c>
      <c r="AK41" s="60">
        <f>SUMIFS(Таблица1[10],Таблица1[2],$D41)</f>
        <v>139.4</v>
      </c>
      <c r="AL41" s="60">
        <f>SUMIFS(Таблица1[11],Таблица1[2],$D41)</f>
        <v>67.2</v>
      </c>
      <c r="AM41" s="251">
        <v>0</v>
      </c>
      <c r="AN41" s="249">
        <f t="shared" si="2"/>
        <v>0</v>
      </c>
      <c r="AO41" s="249">
        <f>SUMIFS(Таблица1[12],Таблица1[2],$D41)</f>
        <v>0</v>
      </c>
      <c r="AP41" s="249">
        <f>SUMIFS(Таблица1[13],Таблица1[2],$D41)</f>
        <v>0</v>
      </c>
      <c r="AQ41" s="61">
        <f>383.2</f>
        <v>383.2</v>
      </c>
      <c r="AR41" s="61">
        <f t="shared" si="3"/>
        <v>383.2</v>
      </c>
      <c r="AS41" s="60">
        <f>SUMIFS(Таблица1[14],Таблица1[2],$D41)</f>
        <v>0</v>
      </c>
      <c r="AT41" s="60">
        <f>SUMIFS(Таблица1[15],Таблица1[2],$D41)</f>
        <v>0</v>
      </c>
      <c r="AU41" s="61">
        <v>680</v>
      </c>
      <c r="AV41" s="61">
        <f t="shared" si="4"/>
        <v>680</v>
      </c>
      <c r="AW41" s="60">
        <f>SUMIFS(Таблица1[16],Таблица1[2],$D41)</f>
        <v>0</v>
      </c>
      <c r="AX41" s="60">
        <f>SUMIFS(Таблица1[17],Таблица1[2],$D41)</f>
        <v>0</v>
      </c>
      <c r="AY41" s="263"/>
      <c r="AZ41" s="264"/>
      <c r="BA41" s="296">
        <v>0</v>
      </c>
      <c r="BB41" s="296">
        <f t="shared" si="14"/>
        <v>0</v>
      </c>
      <c r="BC41" s="296">
        <v>0</v>
      </c>
      <c r="BD41" s="296">
        <v>0</v>
      </c>
      <c r="BE41" s="285"/>
      <c r="BF41" s="259">
        <v>2042</v>
      </c>
      <c r="BG41" s="260">
        <f>9371+965</f>
        <v>10336</v>
      </c>
      <c r="BH41" s="62" t="s">
        <v>936</v>
      </c>
      <c r="BI41" s="62" t="s">
        <v>935</v>
      </c>
      <c r="BJ41" s="62"/>
      <c r="BK41" s="267"/>
      <c r="BL41" s="267"/>
      <c r="BM41" s="267" t="s">
        <v>1649</v>
      </c>
      <c r="BN41" s="268"/>
      <c r="BO41" s="62">
        <v>25</v>
      </c>
      <c r="BP41" s="63">
        <v>28013</v>
      </c>
      <c r="BQ41" s="64" t="s">
        <v>1131</v>
      </c>
      <c r="BR41" s="372" t="s">
        <v>2747</v>
      </c>
      <c r="BS41" s="62"/>
      <c r="BT41" s="323"/>
      <c r="BU41" s="62"/>
      <c r="BV41" s="323"/>
      <c r="BW41" s="62"/>
      <c r="BX41" s="336">
        <v>31</v>
      </c>
      <c r="BY41" s="336"/>
    </row>
    <row r="42" spans="1:77" ht="13.15" customHeight="1" outlineLevel="1" x14ac:dyDescent="0.2">
      <c r="A42" s="50">
        <f t="shared" si="11"/>
        <v>37</v>
      </c>
      <c r="B42" s="51">
        <v>10</v>
      </c>
      <c r="C42" s="51">
        <v>11</v>
      </c>
      <c r="D42" s="18" t="s">
        <v>562</v>
      </c>
      <c r="E42" s="18">
        <v>12</v>
      </c>
      <c r="F42" s="18">
        <v>4</v>
      </c>
      <c r="G42" s="52">
        <v>1</v>
      </c>
      <c r="H42" s="237">
        <v>1</v>
      </c>
      <c r="I42" s="53">
        <v>1955</v>
      </c>
      <c r="J42" s="348">
        <v>4</v>
      </c>
      <c r="K42" s="346">
        <f t="shared" si="5"/>
        <v>5</v>
      </c>
      <c r="L42" s="346">
        <v>1</v>
      </c>
      <c r="M42" s="349">
        <v>3</v>
      </c>
      <c r="N42" s="255">
        <f t="shared" si="0"/>
        <v>0</v>
      </c>
      <c r="O42" s="310">
        <v>44</v>
      </c>
      <c r="P42" s="66">
        <v>4</v>
      </c>
      <c r="Q42" s="66"/>
      <c r="R42" s="66">
        <v>1</v>
      </c>
      <c r="S42" s="66">
        <v>27</v>
      </c>
      <c r="T42" s="66">
        <v>16</v>
      </c>
      <c r="U42" s="66">
        <v>0</v>
      </c>
      <c r="V42" s="66">
        <v>0</v>
      </c>
      <c r="W42" s="54">
        <v>0</v>
      </c>
      <c r="X42" s="55">
        <f>SUMIFS(Таблица3[Кол-во квартир],Таблица3[Адрес МКД],$D42)</f>
        <v>40</v>
      </c>
      <c r="Y42" s="56">
        <f t="shared" si="13"/>
        <v>4193.0600000000004</v>
      </c>
      <c r="Z42" s="253">
        <f>SUMIFS(Таблица3[Площадь жилая],Таблица3[Адрес МКД],$D42)</f>
        <v>2488.4</v>
      </c>
      <c r="AA42" s="261">
        <f>SUMIFS(Таблица3[Площадь нежилых помещений],Таблица3[Адрес МКД],$D42)</f>
        <v>446</v>
      </c>
      <c r="AB42" s="252">
        <f>SUMIFS(Таблица1[1],Таблица1[2],$D42)</f>
        <v>446</v>
      </c>
      <c r="AC42" s="57">
        <f t="shared" si="7"/>
        <v>446</v>
      </c>
      <c r="AD42" s="57">
        <f t="shared" si="8"/>
        <v>0</v>
      </c>
      <c r="AE42" s="58">
        <f>SUMIFS(Таблица1[8],Таблица1[2],$D42)+SUMIFS(Таблица1[18],Таблица1[2],$D42)</f>
        <v>246</v>
      </c>
      <c r="AF42" s="58">
        <f>SUMIFS(Таблица1[9],Таблица1[2],$D42)+SUMIFS(Таблица1[19],Таблица1[2],$D42)</f>
        <v>0</v>
      </c>
      <c r="AG42" s="59">
        <f t="shared" si="9"/>
        <v>1258.6600000000001</v>
      </c>
      <c r="AH42" s="59">
        <f t="shared" si="12"/>
        <v>1258.6600000000001</v>
      </c>
      <c r="AI42" s="60">
        <f>299.8-AM42</f>
        <v>99.800000000000011</v>
      </c>
      <c r="AJ42" s="60">
        <f t="shared" si="1"/>
        <v>99.800000000000011</v>
      </c>
      <c r="AK42" s="60">
        <f>SUMIFS(Таблица1[10],Таблица1[2],$D42)</f>
        <v>0</v>
      </c>
      <c r="AL42" s="60">
        <f>SUMIFS(Таблица1[11],Таблица1[2],$D42)</f>
        <v>0</v>
      </c>
      <c r="AM42" s="251">
        <f>200</f>
        <v>200</v>
      </c>
      <c r="AN42" s="249">
        <f t="shared" si="2"/>
        <v>0</v>
      </c>
      <c r="AO42" s="249">
        <f>SUMIFS(Таблица1[12],Таблица1[2],$D42)</f>
        <v>200</v>
      </c>
      <c r="AP42" s="249">
        <f>SUMIFS(Таблица1[13],Таблица1[2],$D42)</f>
        <v>0</v>
      </c>
      <c r="AQ42" s="61">
        <f>312.6</f>
        <v>312.60000000000002</v>
      </c>
      <c r="AR42" s="61">
        <f t="shared" si="3"/>
        <v>312.60000000000002</v>
      </c>
      <c r="AS42" s="60">
        <f>SUMIFS(Таблица1[14],Таблица1[2],$D42)</f>
        <v>0</v>
      </c>
      <c r="AT42" s="60">
        <f>SUMIFS(Таблица1[15],Таблица1[2],$D42)</f>
        <v>0</v>
      </c>
      <c r="AU42" s="61">
        <v>846.26</v>
      </c>
      <c r="AV42" s="61">
        <f t="shared" si="4"/>
        <v>846.26</v>
      </c>
      <c r="AW42" s="60">
        <f>SUMIFS(Таблица1[16],Таблица1[2],$D42)</f>
        <v>0</v>
      </c>
      <c r="AX42" s="60">
        <f>SUMIFS(Таблица1[17],Таблица1[2],$D42)</f>
        <v>0</v>
      </c>
      <c r="AY42" s="263"/>
      <c r="AZ42" s="264"/>
      <c r="BA42" s="296">
        <v>0</v>
      </c>
      <c r="BB42" s="296">
        <f t="shared" si="14"/>
        <v>0</v>
      </c>
      <c r="BC42" s="296">
        <v>0</v>
      </c>
      <c r="BD42" s="296">
        <v>0</v>
      </c>
      <c r="BE42" s="285"/>
      <c r="BF42" s="259">
        <v>1439</v>
      </c>
      <c r="BG42" s="260">
        <f>12188+120</f>
        <v>12308</v>
      </c>
      <c r="BH42" s="62" t="s">
        <v>936</v>
      </c>
      <c r="BI42" s="62" t="s">
        <v>935</v>
      </c>
      <c r="BJ42" s="62" t="s">
        <v>1017</v>
      </c>
      <c r="BK42" s="267"/>
      <c r="BL42" s="267"/>
      <c r="BM42" s="267" t="s">
        <v>1649</v>
      </c>
      <c r="BN42" s="268"/>
      <c r="BO42" s="62">
        <v>40</v>
      </c>
      <c r="BP42" s="63">
        <v>30305</v>
      </c>
      <c r="BQ42" s="64" t="s">
        <v>1131</v>
      </c>
      <c r="BR42" s="372" t="s">
        <v>2747</v>
      </c>
      <c r="BS42" s="62"/>
      <c r="BT42" s="323"/>
      <c r="BU42" s="62"/>
      <c r="BV42" s="323"/>
      <c r="BW42" s="62"/>
      <c r="BX42" s="336">
        <v>40</v>
      </c>
      <c r="BY42" s="336"/>
    </row>
    <row r="43" spans="1:77" ht="13.15" customHeight="1" outlineLevel="1" x14ac:dyDescent="0.2">
      <c r="A43" s="50">
        <f t="shared" si="11"/>
        <v>38</v>
      </c>
      <c r="B43" s="51">
        <v>11</v>
      </c>
      <c r="C43" s="51">
        <v>12</v>
      </c>
      <c r="D43" s="18" t="s">
        <v>563</v>
      </c>
      <c r="E43" s="18">
        <v>12</v>
      </c>
      <c r="F43" s="18">
        <v>4</v>
      </c>
      <c r="G43" s="52">
        <v>1</v>
      </c>
      <c r="H43" s="237">
        <v>1</v>
      </c>
      <c r="I43" s="53">
        <v>1955</v>
      </c>
      <c r="J43" s="348">
        <v>4</v>
      </c>
      <c r="K43" s="346">
        <f t="shared" si="5"/>
        <v>5</v>
      </c>
      <c r="L43" s="346">
        <v>1</v>
      </c>
      <c r="M43" s="349">
        <v>3</v>
      </c>
      <c r="N43" s="255">
        <f t="shared" si="0"/>
        <v>0</v>
      </c>
      <c r="O43" s="310">
        <v>44</v>
      </c>
      <c r="P43" s="66">
        <v>5</v>
      </c>
      <c r="Q43" s="66"/>
      <c r="R43" s="66">
        <v>1</v>
      </c>
      <c r="S43" s="66">
        <v>27</v>
      </c>
      <c r="T43" s="66">
        <v>16</v>
      </c>
      <c r="U43" s="66">
        <v>0</v>
      </c>
      <c r="V43" s="66">
        <v>0</v>
      </c>
      <c r="W43" s="54">
        <v>0</v>
      </c>
      <c r="X43" s="55">
        <f>SUMIFS(Таблица3[Кол-во квартир],Таблица3[Адрес МКД],$D43)</f>
        <v>39</v>
      </c>
      <c r="Y43" s="56">
        <f t="shared" si="13"/>
        <v>4198.84</v>
      </c>
      <c r="Z43" s="253">
        <f>SUMIFS(Таблица3[Площадь жилая],Таблица3[Адрес МКД],$D43)</f>
        <v>2451.7000000000003</v>
      </c>
      <c r="AA43" s="261">
        <f>SUMIFS(Таблица3[Площадь нежилых помещений],Таблица3[Адрес МКД],$D43)</f>
        <v>486.7</v>
      </c>
      <c r="AB43" s="252">
        <f>SUMIFS(Таблица1[1],Таблица1[2],$D43)</f>
        <v>486.69999999999993</v>
      </c>
      <c r="AC43" s="57">
        <f t="shared" si="7"/>
        <v>486.69999999999993</v>
      </c>
      <c r="AD43" s="57">
        <f t="shared" si="8"/>
        <v>0</v>
      </c>
      <c r="AE43" s="58">
        <f>SUMIFS(Таблица1[8],Таблица1[2],$D43)+SUMIFS(Таблица1[18],Таблица1[2],$D43)</f>
        <v>285.29999999999995</v>
      </c>
      <c r="AF43" s="58">
        <f>SUMIFS(Таблица1[9],Таблица1[2],$D43)+SUMIFS(Таблица1[19],Таблица1[2],$D43)</f>
        <v>0</v>
      </c>
      <c r="AG43" s="59">
        <f t="shared" si="9"/>
        <v>1260.44</v>
      </c>
      <c r="AH43" s="59">
        <f t="shared" si="12"/>
        <v>1260.44</v>
      </c>
      <c r="AI43" s="60">
        <f>300.1-AM43</f>
        <v>98.700000000000017</v>
      </c>
      <c r="AJ43" s="60">
        <f t="shared" si="1"/>
        <v>98.700000000000017</v>
      </c>
      <c r="AK43" s="60">
        <f>SUMIFS(Таблица1[10],Таблица1[2],$D43)</f>
        <v>0</v>
      </c>
      <c r="AL43" s="60">
        <f>SUMIFS(Таблица1[11],Таблица1[2],$D43)</f>
        <v>0</v>
      </c>
      <c r="AM43" s="251">
        <f>201.4</f>
        <v>201.4</v>
      </c>
      <c r="AN43" s="249">
        <f t="shared" si="2"/>
        <v>0</v>
      </c>
      <c r="AO43" s="249">
        <f>SUMIFS(Таблица1[12],Таблица1[2],$D43)</f>
        <v>201.4</v>
      </c>
      <c r="AP43" s="249">
        <f>SUMIFS(Таблица1[13],Таблица1[2],$D43)</f>
        <v>0</v>
      </c>
      <c r="AQ43" s="61">
        <f>312.2</f>
        <v>312.2</v>
      </c>
      <c r="AR43" s="61">
        <f t="shared" si="3"/>
        <v>312.2</v>
      </c>
      <c r="AS43" s="60">
        <f>SUMIFS(Таблица1[14],Таблица1[2],$D43)</f>
        <v>0</v>
      </c>
      <c r="AT43" s="60">
        <f>SUMIFS(Таблица1[15],Таблица1[2],$D43)</f>
        <v>0</v>
      </c>
      <c r="AU43" s="61">
        <v>849.54</v>
      </c>
      <c r="AV43" s="61">
        <f t="shared" si="4"/>
        <v>849.54</v>
      </c>
      <c r="AW43" s="60">
        <f>SUMIFS(Таблица1[16],Таблица1[2],$D43)</f>
        <v>0</v>
      </c>
      <c r="AX43" s="60">
        <f>SUMIFS(Таблица1[17],Таблица1[2],$D43)</f>
        <v>0</v>
      </c>
      <c r="AY43" s="263"/>
      <c r="AZ43" s="264"/>
      <c r="BA43" s="296">
        <v>0</v>
      </c>
      <c r="BB43" s="296">
        <f t="shared" si="14"/>
        <v>0</v>
      </c>
      <c r="BC43" s="296">
        <v>0</v>
      </c>
      <c r="BD43" s="296">
        <v>0</v>
      </c>
      <c r="BE43" s="285"/>
      <c r="BF43" s="259">
        <v>1531</v>
      </c>
      <c r="BG43" s="260">
        <f>12162+110</f>
        <v>12272</v>
      </c>
      <c r="BH43" s="62" t="s">
        <v>936</v>
      </c>
      <c r="BI43" s="62" t="s">
        <v>935</v>
      </c>
      <c r="BJ43" s="62" t="s">
        <v>1017</v>
      </c>
      <c r="BK43" s="267"/>
      <c r="BL43" s="267"/>
      <c r="BM43" s="267" t="s">
        <v>1649</v>
      </c>
      <c r="BN43" s="268"/>
      <c r="BO43" s="62">
        <v>35</v>
      </c>
      <c r="BP43" s="63">
        <v>30305</v>
      </c>
      <c r="BQ43" s="64" t="s">
        <v>1131</v>
      </c>
      <c r="BR43" s="372" t="s">
        <v>2747</v>
      </c>
      <c r="BS43" s="62"/>
      <c r="BT43" s="323"/>
      <c r="BU43" s="62"/>
      <c r="BV43" s="323"/>
      <c r="BW43" s="62"/>
      <c r="BX43" s="336">
        <v>40</v>
      </c>
      <c r="BY43" s="336"/>
    </row>
    <row r="44" spans="1:77" ht="13.15" hidden="1" customHeight="1" outlineLevel="1" x14ac:dyDescent="0.2">
      <c r="A44" s="50">
        <f t="shared" si="11"/>
        <v>39</v>
      </c>
      <c r="B44" s="51">
        <v>8</v>
      </c>
      <c r="C44" s="51">
        <v>20</v>
      </c>
      <c r="D44" s="18" t="s">
        <v>504</v>
      </c>
      <c r="E44" s="18">
        <v>11</v>
      </c>
      <c r="F44" s="18">
        <v>2</v>
      </c>
      <c r="G44" s="52">
        <v>1</v>
      </c>
      <c r="H44" s="237">
        <v>1</v>
      </c>
      <c r="I44" s="53">
        <v>1955</v>
      </c>
      <c r="J44" s="348">
        <v>4</v>
      </c>
      <c r="K44" s="346">
        <f t="shared" si="5"/>
        <v>5</v>
      </c>
      <c r="L44" s="346">
        <v>1</v>
      </c>
      <c r="M44" s="349">
        <v>6</v>
      </c>
      <c r="N44" s="255">
        <f t="shared" si="0"/>
        <v>2</v>
      </c>
      <c r="O44" s="310">
        <v>84</v>
      </c>
      <c r="P44" s="66">
        <v>2</v>
      </c>
      <c r="Q44" s="66"/>
      <c r="R44" s="66">
        <v>10</v>
      </c>
      <c r="S44" s="66">
        <v>27</v>
      </c>
      <c r="T44" s="66">
        <v>36</v>
      </c>
      <c r="U44" s="66">
        <v>11</v>
      </c>
      <c r="V44" s="66">
        <v>0</v>
      </c>
      <c r="W44" s="54">
        <v>0</v>
      </c>
      <c r="X44" s="55">
        <f>SUMIFS(Таблица3[Кол-во квартир],Таблица3[Адрес МКД],$D44)</f>
        <v>80</v>
      </c>
      <c r="Y44" s="56">
        <f t="shared" si="13"/>
        <v>9098.369999999999</v>
      </c>
      <c r="Z44" s="253">
        <f>SUMIFS(Таблица3[Площадь жилая],Таблица3[Адрес МКД],$D44)</f>
        <v>5652.7999999999993</v>
      </c>
      <c r="AA44" s="261">
        <f>SUMIFS(Таблица3[Площадь нежилых помещений],Таблица3[Адрес МКД],$D44)</f>
        <v>980.3</v>
      </c>
      <c r="AB44" s="252">
        <f>SUMIFS(Таблица1[1],Таблица1[2],$D44)</f>
        <v>847</v>
      </c>
      <c r="AC44" s="57">
        <f t="shared" si="7"/>
        <v>847</v>
      </c>
      <c r="AD44" s="57">
        <f t="shared" si="8"/>
        <v>0</v>
      </c>
      <c r="AE44" s="58">
        <f>SUMIFS(Таблица1[8],Таблица1[2],$D44)+SUMIFS(Таблица1[18],Таблица1[2],$D44)</f>
        <v>118.9</v>
      </c>
      <c r="AF44" s="58">
        <f>SUMIFS(Таблица1[9],Таблица1[2],$D44)+SUMIFS(Таблица1[19],Таблица1[2],$D44)</f>
        <v>0</v>
      </c>
      <c r="AG44" s="59">
        <f t="shared" si="9"/>
        <v>2604.37</v>
      </c>
      <c r="AH44" s="59">
        <f t="shared" si="12"/>
        <v>2604.37</v>
      </c>
      <c r="AI44" s="60">
        <f>924.4-AM44</f>
        <v>667.19999999999982</v>
      </c>
      <c r="AJ44" s="60">
        <f t="shared" si="1"/>
        <v>202.0999999999998</v>
      </c>
      <c r="AK44" s="60">
        <f>SUMIFS(Таблица1[10],Таблица1[2],$D44)</f>
        <v>465.1</v>
      </c>
      <c r="AL44" s="60">
        <f>SUMIFS(Таблица1[11],Таблица1[2],$D44)</f>
        <v>0</v>
      </c>
      <c r="AM44" s="251">
        <f>396.3-75.1-7.2-37.4-15.7-3.7</f>
        <v>257.2000000000001</v>
      </c>
      <c r="AN44" s="249">
        <f t="shared" si="2"/>
        <v>-5.7999999999998977</v>
      </c>
      <c r="AO44" s="249">
        <f>SUMIFS(Таблица1[12],Таблица1[2],$D44)</f>
        <v>263</v>
      </c>
      <c r="AP44" s="249">
        <f>SUMIFS(Таблица1[13],Таблица1[2],$D44)</f>
        <v>0</v>
      </c>
      <c r="AQ44" s="61">
        <f>667.2</f>
        <v>667.2</v>
      </c>
      <c r="AR44" s="61">
        <f t="shared" si="3"/>
        <v>667.2</v>
      </c>
      <c r="AS44" s="60">
        <f>SUMIFS(Таблица1[14],Таблица1[2],$D44)</f>
        <v>0</v>
      </c>
      <c r="AT44" s="60">
        <f>SUMIFS(Таблица1[15],Таблица1[2],$D44)</f>
        <v>0</v>
      </c>
      <c r="AU44" s="61">
        <v>1735.07</v>
      </c>
      <c r="AV44" s="61">
        <f t="shared" si="4"/>
        <v>1735.07</v>
      </c>
      <c r="AW44" s="60">
        <f>SUMIFS(Таблица1[16],Таблица1[2],$D44)</f>
        <v>0</v>
      </c>
      <c r="AX44" s="60">
        <f>SUMIFS(Таблица1[17],Таблица1[2],$D44)</f>
        <v>0</v>
      </c>
      <c r="AY44" s="263"/>
      <c r="AZ44" s="264"/>
      <c r="BA44" s="296">
        <v>0</v>
      </c>
      <c r="BB44" s="296">
        <f t="shared" si="14"/>
        <v>0</v>
      </c>
      <c r="BC44" s="296">
        <v>0</v>
      </c>
      <c r="BD44" s="296">
        <v>0</v>
      </c>
      <c r="BE44" s="285"/>
      <c r="BF44" s="259">
        <f>1912+2172</f>
        <v>4084</v>
      </c>
      <c r="BG44" s="260">
        <f>12802+12833</f>
        <v>25635</v>
      </c>
      <c r="BH44" s="62" t="s">
        <v>936</v>
      </c>
      <c r="BI44" s="62" t="s">
        <v>935</v>
      </c>
      <c r="BJ44" s="62"/>
      <c r="BK44" s="267"/>
      <c r="BL44" s="267"/>
      <c r="BM44" s="267" t="s">
        <v>1649</v>
      </c>
      <c r="BN44" s="268"/>
      <c r="BO44" s="62">
        <v>34</v>
      </c>
      <c r="BP44" s="63">
        <v>33568</v>
      </c>
      <c r="BQ44" s="64" t="s">
        <v>1131</v>
      </c>
      <c r="BR44" s="372" t="s">
        <v>2747</v>
      </c>
      <c r="BS44" s="62"/>
      <c r="BT44" s="323"/>
      <c r="BU44" s="62"/>
      <c r="BV44" s="323"/>
      <c r="BW44" s="62"/>
      <c r="BX44" s="338"/>
      <c r="BY44" s="336"/>
    </row>
    <row r="45" spans="1:77" ht="13.15" hidden="1" customHeight="1" outlineLevel="1" x14ac:dyDescent="0.2">
      <c r="A45" s="50">
        <f t="shared" si="11"/>
        <v>40</v>
      </c>
      <c r="B45" s="51">
        <v>9</v>
      </c>
      <c r="C45" s="51">
        <v>21</v>
      </c>
      <c r="D45" s="18" t="s">
        <v>505</v>
      </c>
      <c r="E45" s="18">
        <v>11</v>
      </c>
      <c r="F45" s="18">
        <v>2</v>
      </c>
      <c r="G45" s="52">
        <v>1</v>
      </c>
      <c r="H45" s="237">
        <v>1</v>
      </c>
      <c r="I45" s="53">
        <v>1954</v>
      </c>
      <c r="J45" s="348">
        <v>4</v>
      </c>
      <c r="K45" s="346">
        <f t="shared" si="5"/>
        <v>5</v>
      </c>
      <c r="L45" s="346">
        <v>1</v>
      </c>
      <c r="M45" s="349">
        <v>4</v>
      </c>
      <c r="N45" s="255">
        <f t="shared" si="0"/>
        <v>3</v>
      </c>
      <c r="O45" s="310">
        <v>56</v>
      </c>
      <c r="P45" s="66">
        <v>0</v>
      </c>
      <c r="Q45" s="66"/>
      <c r="R45" s="66">
        <v>0</v>
      </c>
      <c r="S45" s="66">
        <v>18</v>
      </c>
      <c r="T45" s="66">
        <v>38</v>
      </c>
      <c r="U45" s="66">
        <v>0</v>
      </c>
      <c r="V45" s="66">
        <v>0</v>
      </c>
      <c r="W45" s="54">
        <v>0</v>
      </c>
      <c r="X45" s="55">
        <f>SUMIFS(Таблица3[Кол-во квартир],Таблица3[Адрес МКД],$D45)</f>
        <v>53</v>
      </c>
      <c r="Y45" s="56">
        <f t="shared" si="13"/>
        <v>5945.8</v>
      </c>
      <c r="Z45" s="253">
        <f>SUMIFS(Таблица3[Площадь жилая],Таблица3[Адрес МКД],$D45)</f>
        <v>3539.8</v>
      </c>
      <c r="AA45" s="261">
        <f>SUMIFS(Таблица3[Площадь нежилых помещений],Таблица3[Адрес МКД],$D45)</f>
        <v>462.2</v>
      </c>
      <c r="AB45" s="252">
        <f>SUMIFS(Таблица1[1],Таблица1[2],$D45)</f>
        <v>462.2</v>
      </c>
      <c r="AC45" s="57">
        <f t="shared" si="7"/>
        <v>462.2</v>
      </c>
      <c r="AD45" s="57">
        <f t="shared" si="8"/>
        <v>0</v>
      </c>
      <c r="AE45" s="58">
        <f>SUMIFS(Таблица1[8],Таблица1[2],$D45)+SUMIFS(Таблица1[18],Таблица1[2],$D45)</f>
        <v>210.5</v>
      </c>
      <c r="AF45" s="58">
        <f>SUMIFS(Таблица1[9],Таблица1[2],$D45)+SUMIFS(Таблица1[19],Таблица1[2],$D45)</f>
        <v>0</v>
      </c>
      <c r="AG45" s="59">
        <f t="shared" si="9"/>
        <v>1943.8000000000002</v>
      </c>
      <c r="AH45" s="59">
        <f t="shared" si="12"/>
        <v>1943.8000000000002</v>
      </c>
      <c r="AI45" s="60">
        <f>504.7-AM45</f>
        <v>276</v>
      </c>
      <c r="AJ45" s="60">
        <f t="shared" si="1"/>
        <v>276</v>
      </c>
      <c r="AK45" s="60">
        <f>SUMIFS(Таблица1[10],Таблица1[2],$D45)</f>
        <v>0</v>
      </c>
      <c r="AL45" s="60">
        <f>SUMIFS(Таблица1[11],Таблица1[2],$D45)</f>
        <v>0</v>
      </c>
      <c r="AM45" s="251">
        <f>228.7</f>
        <v>228.7</v>
      </c>
      <c r="AN45" s="249">
        <f t="shared" si="2"/>
        <v>0</v>
      </c>
      <c r="AO45" s="249">
        <f>SUMIFS(Таблица1[12],Таблица1[2],$D45)</f>
        <v>228.7</v>
      </c>
      <c r="AP45" s="249">
        <f>SUMIFS(Таблица1[13],Таблица1[2],$D45)</f>
        <v>0</v>
      </c>
      <c r="AQ45" s="61">
        <f>411.7+10.7</f>
        <v>422.4</v>
      </c>
      <c r="AR45" s="61">
        <f t="shared" si="3"/>
        <v>399.4</v>
      </c>
      <c r="AS45" s="60">
        <f>SUMIFS(Таблица1[14],Таблица1[2],$D45)</f>
        <v>23</v>
      </c>
      <c r="AT45" s="60">
        <f>SUMIFS(Таблица1[15],Таблица1[2],$D45)</f>
        <v>0</v>
      </c>
      <c r="AU45" s="61">
        <v>1268.4000000000001</v>
      </c>
      <c r="AV45" s="61">
        <f t="shared" si="4"/>
        <v>1268.4000000000001</v>
      </c>
      <c r="AW45" s="60">
        <f>SUMIFS(Таблица1[16],Таблица1[2],$D45)</f>
        <v>0</v>
      </c>
      <c r="AX45" s="60">
        <f>SUMIFS(Таблица1[17],Таблица1[2],$D45)</f>
        <v>0</v>
      </c>
      <c r="AY45" s="263"/>
      <c r="AZ45" s="264"/>
      <c r="BA45" s="296">
        <v>0</v>
      </c>
      <c r="BB45" s="296">
        <f t="shared" si="14"/>
        <v>0</v>
      </c>
      <c r="BC45" s="296">
        <v>0</v>
      </c>
      <c r="BD45" s="296">
        <v>0</v>
      </c>
      <c r="BE45" s="285"/>
      <c r="BF45" s="259">
        <f>543+1480+2932</f>
        <v>4955</v>
      </c>
      <c r="BG45" s="260">
        <f>16699</f>
        <v>16699</v>
      </c>
      <c r="BH45" s="62" t="s">
        <v>936</v>
      </c>
      <c r="BI45" s="62" t="s">
        <v>935</v>
      </c>
      <c r="BJ45" s="62"/>
      <c r="BK45" s="267"/>
      <c r="BL45" s="267"/>
      <c r="BM45" s="267" t="s">
        <v>1649</v>
      </c>
      <c r="BN45" s="268"/>
      <c r="BO45" s="62">
        <v>24</v>
      </c>
      <c r="BP45" s="63">
        <v>29922</v>
      </c>
      <c r="BQ45" s="64" t="s">
        <v>1131</v>
      </c>
      <c r="BR45" s="372" t="s">
        <v>2747</v>
      </c>
      <c r="BS45" s="62"/>
      <c r="BT45" s="323"/>
      <c r="BU45" s="62"/>
      <c r="BV45" s="323"/>
      <c r="BW45" s="62"/>
      <c r="BX45" s="336">
        <v>47</v>
      </c>
      <c r="BY45" s="336"/>
    </row>
    <row r="46" spans="1:77" ht="13.15" hidden="1" customHeight="1" outlineLevel="1" x14ac:dyDescent="0.2">
      <c r="A46" s="50">
        <f t="shared" si="11"/>
        <v>41</v>
      </c>
      <c r="B46" s="51">
        <v>10</v>
      </c>
      <c r="C46" s="51">
        <v>22</v>
      </c>
      <c r="D46" s="18" t="s">
        <v>506</v>
      </c>
      <c r="E46" s="18">
        <v>11</v>
      </c>
      <c r="F46" s="18">
        <v>2</v>
      </c>
      <c r="G46" s="52">
        <v>1</v>
      </c>
      <c r="H46" s="237">
        <v>1</v>
      </c>
      <c r="I46" s="53">
        <v>1954</v>
      </c>
      <c r="J46" s="348">
        <v>4</v>
      </c>
      <c r="K46" s="346">
        <f t="shared" si="5"/>
        <v>5</v>
      </c>
      <c r="L46" s="346">
        <v>1</v>
      </c>
      <c r="M46" s="349">
        <v>4</v>
      </c>
      <c r="N46" s="255">
        <f t="shared" si="0"/>
        <v>2</v>
      </c>
      <c r="O46" s="310">
        <v>56</v>
      </c>
      <c r="P46" s="66">
        <v>0</v>
      </c>
      <c r="Q46" s="66"/>
      <c r="R46" s="66">
        <v>1</v>
      </c>
      <c r="S46" s="66">
        <v>37</v>
      </c>
      <c r="T46" s="66">
        <v>18</v>
      </c>
      <c r="U46" s="66">
        <v>0</v>
      </c>
      <c r="V46" s="66">
        <v>0</v>
      </c>
      <c r="W46" s="54">
        <v>0</v>
      </c>
      <c r="X46" s="55">
        <f>SUMIFS(Таблица3[Кол-во квартир],Таблица3[Адрес МКД],$D46)</f>
        <v>54</v>
      </c>
      <c r="Y46" s="56">
        <f t="shared" si="13"/>
        <v>5698.08</v>
      </c>
      <c r="Z46" s="253">
        <f>SUMIFS(Таблица3[Площадь жилая],Таблица3[Адрес МКД],$D46)</f>
        <v>3565.2</v>
      </c>
      <c r="AA46" s="261">
        <f>SUMIFS(Таблица3[Площадь нежилых помещений],Таблица3[Адрес МКД],$D46)</f>
        <v>442</v>
      </c>
      <c r="AB46" s="252">
        <f>SUMIFS(Таблица1[1],Таблица1[2],$D46)</f>
        <v>506.7</v>
      </c>
      <c r="AC46" s="57">
        <f t="shared" si="7"/>
        <v>506.70000000000005</v>
      </c>
      <c r="AD46" s="57">
        <f t="shared" si="8"/>
        <v>0</v>
      </c>
      <c r="AE46" s="58">
        <f>SUMIFS(Таблица1[8],Таблица1[2],$D46)+SUMIFS(Таблица1[18],Таблица1[2],$D46)</f>
        <v>211.79999999999998</v>
      </c>
      <c r="AF46" s="58">
        <f>SUMIFS(Таблица1[9],Таблица1[2],$D46)+SUMIFS(Таблица1[19],Таблица1[2],$D46)</f>
        <v>0</v>
      </c>
      <c r="AG46" s="59">
        <f>AJ46+AR46+AV46+AZ46+BB46</f>
        <v>1626.1799999999998</v>
      </c>
      <c r="AH46" s="59">
        <f>AJ46+AL46+AR46+AT46+AV46+AX46+BB46+BD46</f>
        <v>1626.1799999999998</v>
      </c>
      <c r="AI46" s="60">
        <f>343.6-AM46</f>
        <v>113.40000000000003</v>
      </c>
      <c r="AJ46" s="60">
        <f t="shared" si="1"/>
        <v>48.700000000000031</v>
      </c>
      <c r="AK46" s="60">
        <f>SUMIFS(Таблица1[10],Таблица1[2],$D46)</f>
        <v>64.7</v>
      </c>
      <c r="AL46" s="60">
        <f>SUMIFS(Таблица1[11],Таблица1[2],$D46)</f>
        <v>0</v>
      </c>
      <c r="AM46" s="251">
        <f>230.2</f>
        <v>230.2</v>
      </c>
      <c r="AN46" s="249">
        <f t="shared" si="2"/>
        <v>-2.8421709430404007E-14</v>
      </c>
      <c r="AO46" s="249">
        <f>SUMIFS(Таблица1[12],Таблица1[2],$D46)</f>
        <v>230.20000000000002</v>
      </c>
      <c r="AP46" s="249">
        <f>SUMIFS(Таблица1[13],Таблица1[2],$D46)</f>
        <v>0</v>
      </c>
      <c r="AQ46" s="61">
        <f>404.4</f>
        <v>404.4</v>
      </c>
      <c r="AR46" s="61">
        <f t="shared" si="3"/>
        <v>404.4</v>
      </c>
      <c r="AS46" s="60">
        <f>SUMIFS(Таблица1[14],Таблица1[2],$D46)</f>
        <v>0</v>
      </c>
      <c r="AT46" s="60">
        <f>SUMIFS(Таблица1[15],Таблица1[2],$D46)</f>
        <v>0</v>
      </c>
      <c r="AU46" s="61">
        <v>1173.08</v>
      </c>
      <c r="AV46" s="61">
        <f t="shared" si="4"/>
        <v>1173.08</v>
      </c>
      <c r="AW46" s="60">
        <f>SUMIFS(Таблица1[16],Таблица1[2],$D46)</f>
        <v>0</v>
      </c>
      <c r="AX46" s="60">
        <f>SUMIFS(Таблица1[17],Таблица1[2],$D46)</f>
        <v>0</v>
      </c>
      <c r="AY46" s="263">
        <f>Нежилые!K175</f>
        <v>64.7</v>
      </c>
      <c r="AZ46" s="264"/>
      <c r="BA46" s="296">
        <v>29.2</v>
      </c>
      <c r="BB46" s="296">
        <f t="shared" si="14"/>
        <v>0</v>
      </c>
      <c r="BC46" s="296">
        <f>Нежилые!I176</f>
        <v>29.2</v>
      </c>
      <c r="BD46" s="296">
        <v>0</v>
      </c>
      <c r="BE46" s="285"/>
      <c r="BF46" s="259">
        <v>1528</v>
      </c>
      <c r="BG46" s="260">
        <f>16666+66</f>
        <v>16732</v>
      </c>
      <c r="BH46" s="62" t="s">
        <v>936</v>
      </c>
      <c r="BI46" s="62" t="s">
        <v>935</v>
      </c>
      <c r="BJ46" s="62"/>
      <c r="BK46" s="267"/>
      <c r="BL46" s="267"/>
      <c r="BM46" s="267" t="s">
        <v>1649</v>
      </c>
      <c r="BN46" s="268"/>
      <c r="BO46" s="62">
        <v>29</v>
      </c>
      <c r="BP46" s="63">
        <v>32246</v>
      </c>
      <c r="BQ46" s="64" t="s">
        <v>1131</v>
      </c>
      <c r="BR46" s="372" t="s">
        <v>2747</v>
      </c>
      <c r="BS46" s="62"/>
      <c r="BT46" s="323"/>
      <c r="BU46" s="62"/>
      <c r="BV46" s="323"/>
      <c r="BW46" s="62"/>
      <c r="BX46" s="336">
        <v>45</v>
      </c>
      <c r="BY46" s="336"/>
    </row>
    <row r="47" spans="1:77" ht="13.15" hidden="1" customHeight="1" outlineLevel="1" x14ac:dyDescent="0.2">
      <c r="A47" s="50">
        <f t="shared" si="11"/>
        <v>42</v>
      </c>
      <c r="B47" s="51">
        <v>11</v>
      </c>
      <c r="C47" s="51">
        <v>23</v>
      </c>
      <c r="D47" s="18" t="s">
        <v>507</v>
      </c>
      <c r="E47" s="18">
        <v>11</v>
      </c>
      <c r="F47" s="18">
        <v>2</v>
      </c>
      <c r="G47" s="52">
        <v>1</v>
      </c>
      <c r="H47" s="237">
        <v>1</v>
      </c>
      <c r="I47" s="53">
        <v>1951</v>
      </c>
      <c r="J47" s="349">
        <v>4</v>
      </c>
      <c r="K47" s="346">
        <f t="shared" si="5"/>
        <v>5</v>
      </c>
      <c r="L47" s="346">
        <v>1</v>
      </c>
      <c r="M47" s="349">
        <v>3</v>
      </c>
      <c r="N47" s="255">
        <f t="shared" si="0"/>
        <v>0</v>
      </c>
      <c r="O47" s="310">
        <v>39</v>
      </c>
      <c r="P47" s="66">
        <v>6</v>
      </c>
      <c r="Q47" s="66"/>
      <c r="R47" s="66">
        <v>0</v>
      </c>
      <c r="S47" s="66">
        <v>27</v>
      </c>
      <c r="T47" s="66">
        <v>12</v>
      </c>
      <c r="U47" s="66">
        <v>0</v>
      </c>
      <c r="V47" s="66">
        <v>0</v>
      </c>
      <c r="W47" s="54">
        <v>0</v>
      </c>
      <c r="X47" s="55">
        <f>SUMIFS(Таблица3[Кол-во квартир],Таблица3[Адрес МКД],$D47)</f>
        <v>33</v>
      </c>
      <c r="Y47" s="56">
        <f t="shared" si="13"/>
        <v>3461.5</v>
      </c>
      <c r="Z47" s="253">
        <f>SUMIFS(Таблица3[Площадь жилая],Таблица3[Адрес МКД],$D47)</f>
        <v>1905.1</v>
      </c>
      <c r="AA47" s="261">
        <f>SUMIFS(Таблица3[Площадь нежилых помещений],Таблица3[Адрес МКД],$D47)</f>
        <v>400.8</v>
      </c>
      <c r="AB47" s="252">
        <f>SUMIFS(Таблица1[1],Таблица1[2],$D47)</f>
        <v>414</v>
      </c>
      <c r="AC47" s="57">
        <f t="shared" si="7"/>
        <v>400.8</v>
      </c>
      <c r="AD47" s="57">
        <f t="shared" si="8"/>
        <v>13.2</v>
      </c>
      <c r="AE47" s="58">
        <f>SUMIFS(Таблица1[8],Таблица1[2],$D47)+SUMIFS(Таблица1[18],Таблица1[2],$D47)</f>
        <v>400.8</v>
      </c>
      <c r="AF47" s="58">
        <f>SUMIFS(Таблица1[9],Таблица1[2],$D47)+SUMIFS(Таблица1[19],Таблица1[2],$D47)</f>
        <v>13.2</v>
      </c>
      <c r="AG47" s="59">
        <f>AJ47+AR47+AV47+AZ47+BB47</f>
        <v>1142.4000000000001</v>
      </c>
      <c r="AH47" s="59">
        <f>AJ47+AL47+AR47+AT47+AV47+AX47+BB47+BD47</f>
        <v>1142.4000000000001</v>
      </c>
      <c r="AI47" s="60">
        <f>72.3-AM47</f>
        <v>72.3</v>
      </c>
      <c r="AJ47" s="60">
        <f t="shared" si="1"/>
        <v>72.3</v>
      </c>
      <c r="AK47" s="60">
        <f>SUMIFS(Таблица1[10],Таблица1[2],$D47)</f>
        <v>0</v>
      </c>
      <c r="AL47" s="60">
        <f>SUMIFS(Таблица1[11],Таблица1[2],$D47)</f>
        <v>0</v>
      </c>
      <c r="AM47" s="251">
        <v>0</v>
      </c>
      <c r="AN47" s="249">
        <f t="shared" si="2"/>
        <v>0</v>
      </c>
      <c r="AO47" s="249">
        <f>SUMIFS(Таблица1[12],Таблица1[2],$D47)</f>
        <v>0</v>
      </c>
      <c r="AP47" s="249">
        <f>SUMIFS(Таблица1[13],Таблица1[2],$D47)</f>
        <v>0</v>
      </c>
      <c r="AQ47" s="61">
        <f>271.6</f>
        <v>271.60000000000002</v>
      </c>
      <c r="AR47" s="61">
        <f t="shared" si="3"/>
        <v>271.60000000000002</v>
      </c>
      <c r="AS47" s="60">
        <f>SUMIFS(Таблица1[14],Таблица1[2],$D47)</f>
        <v>0</v>
      </c>
      <c r="AT47" s="60">
        <f>SUMIFS(Таблица1[15],Таблица1[2],$D47)</f>
        <v>0</v>
      </c>
      <c r="AU47" s="61">
        <v>798.5</v>
      </c>
      <c r="AV47" s="61">
        <f t="shared" si="4"/>
        <v>798.5</v>
      </c>
      <c r="AW47" s="60">
        <f>SUMIFS(Таблица1[16],Таблица1[2],$D47)</f>
        <v>0</v>
      </c>
      <c r="AX47" s="60">
        <f>SUMIFS(Таблица1[17],Таблица1[2],$D47)</f>
        <v>0</v>
      </c>
      <c r="AY47" s="263"/>
      <c r="AZ47" s="264"/>
      <c r="BA47" s="296">
        <v>26.3</v>
      </c>
      <c r="BB47" s="296">
        <f t="shared" si="14"/>
        <v>0</v>
      </c>
      <c r="BC47" s="296">
        <f>Нежилые!I184</f>
        <v>26.3</v>
      </c>
      <c r="BD47" s="296">
        <v>0</v>
      </c>
      <c r="BE47" s="285"/>
      <c r="BF47" s="259">
        <v>915</v>
      </c>
      <c r="BG47" s="260">
        <f>10468+78</f>
        <v>10546</v>
      </c>
      <c r="BH47" s="62" t="s">
        <v>936</v>
      </c>
      <c r="BI47" s="62" t="s">
        <v>935</v>
      </c>
      <c r="BJ47" s="62"/>
      <c r="BK47" s="267"/>
      <c r="BL47" s="267"/>
      <c r="BM47" s="267" t="s">
        <v>1649</v>
      </c>
      <c r="BN47" s="268"/>
      <c r="BO47" s="62">
        <v>25</v>
      </c>
      <c r="BP47" s="63">
        <v>30027</v>
      </c>
      <c r="BQ47" s="64" t="s">
        <v>1131</v>
      </c>
      <c r="BR47" s="372" t="s">
        <v>2747</v>
      </c>
      <c r="BS47" s="62"/>
      <c r="BT47" s="323"/>
      <c r="BU47" s="62"/>
      <c r="BV47" s="323"/>
      <c r="BW47" s="62"/>
      <c r="BX47" s="336">
        <v>36</v>
      </c>
      <c r="BY47" s="336"/>
    </row>
    <row r="48" spans="1:77" ht="13.15" hidden="1" customHeight="1" outlineLevel="1" x14ac:dyDescent="0.2">
      <c r="A48" s="50">
        <f t="shared" si="11"/>
        <v>43</v>
      </c>
      <c r="B48" s="51">
        <v>12</v>
      </c>
      <c r="C48" s="51">
        <v>24</v>
      </c>
      <c r="D48" s="18" t="s">
        <v>508</v>
      </c>
      <c r="E48" s="18">
        <v>11</v>
      </c>
      <c r="F48" s="18">
        <v>2</v>
      </c>
      <c r="G48" s="52">
        <v>1</v>
      </c>
      <c r="H48" s="237"/>
      <c r="I48" s="53">
        <v>1951</v>
      </c>
      <c r="J48" s="349">
        <v>3</v>
      </c>
      <c r="K48" s="346">
        <f t="shared" si="5"/>
        <v>4</v>
      </c>
      <c r="L48" s="346">
        <v>1</v>
      </c>
      <c r="M48" s="349">
        <v>2</v>
      </c>
      <c r="N48" s="255">
        <f t="shared" si="0"/>
        <v>0</v>
      </c>
      <c r="O48" s="310">
        <v>24</v>
      </c>
      <c r="P48" s="66">
        <v>0</v>
      </c>
      <c r="Q48" s="66"/>
      <c r="R48" s="66">
        <v>0</v>
      </c>
      <c r="S48" s="66">
        <v>18</v>
      </c>
      <c r="T48" s="66">
        <v>6</v>
      </c>
      <c r="U48" s="66">
        <v>0</v>
      </c>
      <c r="V48" s="66">
        <v>0</v>
      </c>
      <c r="W48" s="54">
        <v>0</v>
      </c>
      <c r="X48" s="55">
        <f>SUMIFS(Таблица3[Кол-во квартир],Таблица3[Адрес МКД],$D48)</f>
        <v>24</v>
      </c>
      <c r="Y48" s="56">
        <f t="shared" si="13"/>
        <v>2536.8000000000002</v>
      </c>
      <c r="Z48" s="253">
        <f>SUMIFS(Таблица3[Площадь жилая],Таблица3[Адрес МКД],$D48)</f>
        <v>1393.1</v>
      </c>
      <c r="AA48" s="261">
        <f>SUMIFS(Таблица3[Площадь нежилых помещений],Таблица3[Адрес МКД],$D48)</f>
        <v>168.9</v>
      </c>
      <c r="AB48" s="252">
        <f>SUMIFS(Таблица1[1],Таблица1[2],$D48)</f>
        <v>168.9</v>
      </c>
      <c r="AC48" s="57">
        <f t="shared" si="7"/>
        <v>168.9</v>
      </c>
      <c r="AD48" s="57">
        <f t="shared" si="8"/>
        <v>0</v>
      </c>
      <c r="AE48" s="58">
        <f>SUMIFS(Таблица1[8],Таблица1[2],$D48)+SUMIFS(Таблица1[18],Таблица1[2],$D48)</f>
        <v>0</v>
      </c>
      <c r="AF48" s="58">
        <f>SUMIFS(Таблица1[9],Таблица1[2],$D48)+SUMIFS(Таблица1[19],Таблица1[2],$D48)</f>
        <v>0</v>
      </c>
      <c r="AG48" s="59">
        <f t="shared" si="9"/>
        <v>974.80000000000007</v>
      </c>
      <c r="AH48" s="59">
        <f t="shared" si="12"/>
        <v>974.80000000000007</v>
      </c>
      <c r="AI48" s="60">
        <f>342.1-AM48</f>
        <v>173.20000000000002</v>
      </c>
      <c r="AJ48" s="60">
        <f t="shared" si="1"/>
        <v>173.20000000000002</v>
      </c>
      <c r="AK48" s="60">
        <f>SUMIFS(Таблица1[10],Таблица1[2],$D48)</f>
        <v>0</v>
      </c>
      <c r="AL48" s="60">
        <f>SUMIFS(Таблица1[11],Таблица1[2],$D48)</f>
        <v>0</v>
      </c>
      <c r="AM48" s="251">
        <f>168.9</f>
        <v>168.9</v>
      </c>
      <c r="AN48" s="249">
        <f t="shared" si="2"/>
        <v>0</v>
      </c>
      <c r="AO48" s="249">
        <f>SUMIFS(Таблица1[12],Таблица1[2],$D48)</f>
        <v>168.9</v>
      </c>
      <c r="AP48" s="249">
        <f>SUMIFS(Таблица1[13],Таблица1[2],$D48)</f>
        <v>0</v>
      </c>
      <c r="AQ48" s="61">
        <f>177.4</f>
        <v>177.4</v>
      </c>
      <c r="AR48" s="61">
        <f t="shared" si="3"/>
        <v>177.4</v>
      </c>
      <c r="AS48" s="60">
        <f>SUMIFS(Таблица1[14],Таблица1[2],$D48)</f>
        <v>0</v>
      </c>
      <c r="AT48" s="60">
        <f>SUMIFS(Таблица1[15],Таблица1[2],$D48)</f>
        <v>0</v>
      </c>
      <c r="AU48" s="61">
        <v>624.20000000000005</v>
      </c>
      <c r="AV48" s="61">
        <f t="shared" si="4"/>
        <v>624.20000000000005</v>
      </c>
      <c r="AW48" s="60">
        <f>SUMIFS(Таблица1[16],Таблица1[2],$D48)</f>
        <v>0</v>
      </c>
      <c r="AX48" s="60">
        <f>SUMIFS(Таблица1[17],Таблица1[2],$D48)</f>
        <v>0</v>
      </c>
      <c r="AY48" s="263"/>
      <c r="AZ48" s="264"/>
      <c r="BA48" s="296">
        <v>0</v>
      </c>
      <c r="BB48" s="296">
        <f t="shared" si="14"/>
        <v>0</v>
      </c>
      <c r="BC48" s="296">
        <v>0</v>
      </c>
      <c r="BD48" s="296">
        <v>0</v>
      </c>
      <c r="BE48" s="285"/>
      <c r="BF48" s="259">
        <v>1740</v>
      </c>
      <c r="BG48" s="260">
        <f>6142+40</f>
        <v>6182</v>
      </c>
      <c r="BH48" s="62" t="s">
        <v>936</v>
      </c>
      <c r="BI48" s="62" t="s">
        <v>935</v>
      </c>
      <c r="BJ48" s="62"/>
      <c r="BK48" s="267"/>
      <c r="BL48" s="267"/>
      <c r="BM48" s="267" t="s">
        <v>1649</v>
      </c>
      <c r="BN48" s="268"/>
      <c r="BO48" s="62">
        <v>25</v>
      </c>
      <c r="BP48" s="63">
        <v>30027</v>
      </c>
      <c r="BQ48" s="64" t="s">
        <v>1131</v>
      </c>
      <c r="BR48" s="372" t="s">
        <v>2747</v>
      </c>
      <c r="BS48" s="62"/>
      <c r="BT48" s="323"/>
      <c r="BU48" s="62"/>
      <c r="BV48" s="323"/>
      <c r="BW48" s="62"/>
      <c r="BX48" s="336">
        <v>24</v>
      </c>
      <c r="BY48" s="336"/>
    </row>
    <row r="49" spans="1:77" ht="13.15" hidden="1" customHeight="1" outlineLevel="1" x14ac:dyDescent="0.2">
      <c r="A49" s="50">
        <f t="shared" si="11"/>
        <v>44</v>
      </c>
      <c r="B49" s="51">
        <v>13</v>
      </c>
      <c r="C49" s="51">
        <v>25</v>
      </c>
      <c r="D49" s="18" t="s">
        <v>509</v>
      </c>
      <c r="E49" s="18">
        <v>11</v>
      </c>
      <c r="F49" s="18">
        <v>2</v>
      </c>
      <c r="G49" s="52">
        <v>1</v>
      </c>
      <c r="H49" s="237">
        <v>1</v>
      </c>
      <c r="I49" s="53">
        <v>1954</v>
      </c>
      <c r="J49" s="348">
        <v>4</v>
      </c>
      <c r="K49" s="346">
        <f t="shared" si="5"/>
        <v>5</v>
      </c>
      <c r="L49" s="346">
        <v>1</v>
      </c>
      <c r="M49" s="349">
        <v>4</v>
      </c>
      <c r="N49" s="255">
        <f t="shared" si="0"/>
        <v>3</v>
      </c>
      <c r="O49" s="310">
        <v>56</v>
      </c>
      <c r="P49" s="66">
        <v>0</v>
      </c>
      <c r="Q49" s="66"/>
      <c r="R49" s="66">
        <v>1</v>
      </c>
      <c r="S49" s="66">
        <v>37</v>
      </c>
      <c r="T49" s="66">
        <v>18</v>
      </c>
      <c r="U49" s="66">
        <v>0</v>
      </c>
      <c r="V49" s="66">
        <v>0</v>
      </c>
      <c r="W49" s="54">
        <v>0</v>
      </c>
      <c r="X49" s="55">
        <f>SUMIFS(Таблица3[Кол-во квартир],Таблица3[Адрес МКД],$D49)</f>
        <v>53</v>
      </c>
      <c r="Y49" s="56">
        <f t="shared" si="13"/>
        <v>5847.08</v>
      </c>
      <c r="Z49" s="253">
        <f>SUMIFS(Таблица3[Площадь жилая],Таблица3[Адрес МКД],$D49)</f>
        <v>3626.8</v>
      </c>
      <c r="AA49" s="261">
        <f>SUMIFS(Таблица3[Площадь нежилых помещений],Таблица3[Адрес МКД],$D49)</f>
        <v>386.2</v>
      </c>
      <c r="AB49" s="252">
        <f>SUMIFS(Таблица1[1],Таблица1[2],$D49)</f>
        <v>452.7</v>
      </c>
      <c r="AC49" s="57">
        <f t="shared" si="7"/>
        <v>452.7</v>
      </c>
      <c r="AD49" s="57">
        <f t="shared" si="8"/>
        <v>0</v>
      </c>
      <c r="AE49" s="58">
        <f>SUMIFS(Таблица1[8],Таблица1[2],$D49)+SUMIFS(Таблица1[18],Таблица1[2],$D49)</f>
        <v>233.00000000000003</v>
      </c>
      <c r="AF49" s="58">
        <f>SUMIFS(Таблица1[9],Таблица1[2],$D49)+SUMIFS(Таблица1[19],Таблица1[2],$D49)</f>
        <v>0</v>
      </c>
      <c r="AG49" s="59">
        <f t="shared" si="9"/>
        <v>1767.58</v>
      </c>
      <c r="AH49" s="59">
        <f t="shared" si="12"/>
        <v>1767.58</v>
      </c>
      <c r="AI49" s="60">
        <f>346.3-AM49</f>
        <v>193.10000000000002</v>
      </c>
      <c r="AJ49" s="60">
        <f t="shared" si="1"/>
        <v>126.60000000000002</v>
      </c>
      <c r="AK49" s="60">
        <f>SUMIFS(Таблица1[10],Таблица1[2],$D49)</f>
        <v>66.5</v>
      </c>
      <c r="AL49" s="60">
        <f>SUMIFS(Таблица1[11],Таблица1[2],$D49)</f>
        <v>0</v>
      </c>
      <c r="AM49" s="251">
        <f>153.2</f>
        <v>153.19999999999999</v>
      </c>
      <c r="AN49" s="249">
        <f t="shared" si="2"/>
        <v>0</v>
      </c>
      <c r="AO49" s="249">
        <f>SUMIFS(Таблица1[12],Таблица1[2],$D49)</f>
        <v>153.19999999999999</v>
      </c>
      <c r="AP49" s="249">
        <f>SUMIFS(Таблица1[13],Таблица1[2],$D49)</f>
        <v>0</v>
      </c>
      <c r="AQ49" s="61">
        <f>434.7</f>
        <v>434.7</v>
      </c>
      <c r="AR49" s="61">
        <f t="shared" si="3"/>
        <v>434.7</v>
      </c>
      <c r="AS49" s="60">
        <f>SUMIFS(Таблица1[14],Таблица1[2],$D49)</f>
        <v>0</v>
      </c>
      <c r="AT49" s="60">
        <f>SUMIFS(Таблица1[15],Таблица1[2],$D49)</f>
        <v>0</v>
      </c>
      <c r="AU49" s="61">
        <v>1206.28</v>
      </c>
      <c r="AV49" s="61">
        <f t="shared" si="4"/>
        <v>1206.28</v>
      </c>
      <c r="AW49" s="60">
        <f>SUMIFS(Таблица1[16],Таблица1[2],$D49)</f>
        <v>0</v>
      </c>
      <c r="AX49" s="60">
        <f>SUMIFS(Таблица1[17],Таблица1[2],$D49)</f>
        <v>0</v>
      </c>
      <c r="AY49" s="263">
        <f>Нежилые!G190</f>
        <v>66.5</v>
      </c>
      <c r="AZ49" s="264"/>
      <c r="BA49" s="296">
        <v>0</v>
      </c>
      <c r="BB49" s="296">
        <f t="shared" si="14"/>
        <v>0</v>
      </c>
      <c r="BC49" s="296">
        <v>0</v>
      </c>
      <c r="BD49" s="296">
        <v>0</v>
      </c>
      <c r="BE49" s="285"/>
      <c r="BF49" s="259">
        <v>1966</v>
      </c>
      <c r="BG49" s="260">
        <f>17222+63</f>
        <v>17285</v>
      </c>
      <c r="BH49" s="62" t="s">
        <v>936</v>
      </c>
      <c r="BI49" s="62" t="s">
        <v>935</v>
      </c>
      <c r="BJ49" s="62"/>
      <c r="BK49" s="267"/>
      <c r="BL49" s="267"/>
      <c r="BM49" s="267" t="s">
        <v>1649</v>
      </c>
      <c r="BN49" s="268"/>
      <c r="BO49" s="62">
        <v>44</v>
      </c>
      <c r="BP49" s="63">
        <v>44579</v>
      </c>
      <c r="BQ49" s="64" t="s">
        <v>1131</v>
      </c>
      <c r="BR49" s="372" t="s">
        <v>2747</v>
      </c>
      <c r="BS49" s="62"/>
      <c r="BT49" s="323"/>
      <c r="BU49" s="62"/>
      <c r="BV49" s="323"/>
      <c r="BW49" s="62"/>
      <c r="BX49" s="336">
        <v>44</v>
      </c>
      <c r="BY49" s="336"/>
    </row>
    <row r="50" spans="1:77" ht="13.15" hidden="1" customHeight="1" outlineLevel="1" x14ac:dyDescent="0.2">
      <c r="A50" s="50">
        <f t="shared" si="11"/>
        <v>45</v>
      </c>
      <c r="B50" s="51">
        <v>11</v>
      </c>
      <c r="C50" s="51">
        <v>6</v>
      </c>
      <c r="D50" s="18" t="s">
        <v>439</v>
      </c>
      <c r="E50" s="18">
        <v>10</v>
      </c>
      <c r="F50" s="18">
        <v>1</v>
      </c>
      <c r="G50" s="52">
        <v>1</v>
      </c>
      <c r="H50" s="237">
        <v>1</v>
      </c>
      <c r="I50" s="53">
        <v>1956</v>
      </c>
      <c r="J50" s="350">
        <v>4.5</v>
      </c>
      <c r="K50" s="345">
        <v>5.6</v>
      </c>
      <c r="L50" s="346">
        <v>1</v>
      </c>
      <c r="M50" s="349">
        <v>6</v>
      </c>
      <c r="N50" s="255">
        <f t="shared" si="0"/>
        <v>0</v>
      </c>
      <c r="O50" s="310">
        <v>97</v>
      </c>
      <c r="P50" s="66">
        <v>5</v>
      </c>
      <c r="Q50" s="66"/>
      <c r="R50" s="66">
        <v>6</v>
      </c>
      <c r="S50" s="66">
        <v>60</v>
      </c>
      <c r="T50" s="66">
        <v>31</v>
      </c>
      <c r="U50" s="66">
        <v>0</v>
      </c>
      <c r="V50" s="66">
        <v>0</v>
      </c>
      <c r="W50" s="54">
        <v>0</v>
      </c>
      <c r="X50" s="55">
        <f>SUMIFS(Таблица3[Кол-во квартир],Таблица3[Адрес МКД],$D50)</f>
        <v>92</v>
      </c>
      <c r="Y50" s="56">
        <f t="shared" si="13"/>
        <v>9476.4</v>
      </c>
      <c r="Z50" s="253">
        <f>SUMIFS(Таблица3[Площадь жилая],Таблица3[Адрес МКД],$D50)</f>
        <v>5525.7</v>
      </c>
      <c r="AA50" s="261">
        <f>SUMIFS(Таблица3[Площадь нежилых помещений],Таблица3[Адрес МКД],$D50)</f>
        <v>804.4</v>
      </c>
      <c r="AB50" s="252">
        <f>SUMIFS(Таблица1[1],Таблица1[2],$D50)</f>
        <v>897.8</v>
      </c>
      <c r="AC50" s="57">
        <f t="shared" si="7"/>
        <v>897.8</v>
      </c>
      <c r="AD50" s="57">
        <f t="shared" si="8"/>
        <v>0</v>
      </c>
      <c r="AE50" s="58">
        <f>SUMIFS(Таблица1[8],Таблица1[2],$D50)+SUMIFS(Таблица1[18],Таблица1[2],$D50)</f>
        <v>453.70000000000005</v>
      </c>
      <c r="AF50" s="58">
        <f>SUMIFS(Таблица1[9],Таблица1[2],$D50)+SUMIFS(Таблица1[19],Таблица1[2],$D50)</f>
        <v>0</v>
      </c>
      <c r="AG50" s="59">
        <f t="shared" si="9"/>
        <v>3052.9</v>
      </c>
      <c r="AH50" s="59">
        <f t="shared" si="12"/>
        <v>3052.9</v>
      </c>
      <c r="AI50" s="60">
        <f>1234.4-AM50</f>
        <v>993.2</v>
      </c>
      <c r="AJ50" s="60">
        <f t="shared" si="1"/>
        <v>790.30000000000007</v>
      </c>
      <c r="AK50" s="60">
        <f>SUMIFS(Таблица1[10],Таблица1[2],$D50)</f>
        <v>202.9</v>
      </c>
      <c r="AL50" s="60">
        <f>SUMIFS(Таблица1[11],Таблица1[2],$D50)</f>
        <v>0</v>
      </c>
      <c r="AM50" s="251">
        <f>241.2</f>
        <v>241.2</v>
      </c>
      <c r="AN50" s="249">
        <f t="shared" si="2"/>
        <v>0</v>
      </c>
      <c r="AO50" s="249">
        <f>SUMIFS(Таблица1[12],Таблица1[2],$D50)</f>
        <v>241.2</v>
      </c>
      <c r="AP50" s="249">
        <f>SUMIFS(Таблица1[13],Таблица1[2],$D50)</f>
        <v>0</v>
      </c>
      <c r="AQ50" s="61">
        <f>708.6</f>
        <v>708.6</v>
      </c>
      <c r="AR50" s="61">
        <f t="shared" si="3"/>
        <v>708.6</v>
      </c>
      <c r="AS50" s="60">
        <f>SUMIFS(Таблица1[14],Таблица1[2],$D50)</f>
        <v>0</v>
      </c>
      <c r="AT50" s="60">
        <f>SUMIFS(Таблица1[15],Таблица1[2],$D50)</f>
        <v>0</v>
      </c>
      <c r="AU50" s="61">
        <v>1554</v>
      </c>
      <c r="AV50" s="61">
        <f t="shared" si="4"/>
        <v>1554</v>
      </c>
      <c r="AW50" s="60">
        <f>SUMIFS(Таблица1[16],Таблица1[2],$D50)</f>
        <v>0</v>
      </c>
      <c r="AX50" s="60">
        <f>SUMIFS(Таблица1[17],Таблица1[2],$D50)</f>
        <v>0</v>
      </c>
      <c r="AY50" s="263">
        <f>Нежилые!G272</f>
        <v>93.4</v>
      </c>
      <c r="AZ50" s="264"/>
      <c r="BA50" s="296">
        <v>0</v>
      </c>
      <c r="BB50" s="296">
        <f t="shared" si="14"/>
        <v>0</v>
      </c>
      <c r="BC50" s="296">
        <v>0</v>
      </c>
      <c r="BD50" s="296">
        <v>0</v>
      </c>
      <c r="BE50" s="285"/>
      <c r="BF50" s="259">
        <v>5660</v>
      </c>
      <c r="BG50" s="260">
        <v>26067</v>
      </c>
      <c r="BH50" s="62" t="s">
        <v>940</v>
      </c>
      <c r="BI50" s="62" t="s">
        <v>935</v>
      </c>
      <c r="BJ50" s="62" t="s">
        <v>944</v>
      </c>
      <c r="BK50" s="267"/>
      <c r="BL50" s="267"/>
      <c r="BM50" s="267" t="s">
        <v>1649</v>
      </c>
      <c r="BN50" s="268"/>
      <c r="BO50" s="62">
        <v>20</v>
      </c>
      <c r="BP50" s="63">
        <v>31993</v>
      </c>
      <c r="BQ50" s="64" t="s">
        <v>1131</v>
      </c>
      <c r="BR50" s="372" t="s">
        <v>2747</v>
      </c>
      <c r="BS50" s="62"/>
      <c r="BT50" s="323"/>
      <c r="BU50" s="62"/>
      <c r="BV50" s="323"/>
      <c r="BW50" s="62"/>
      <c r="BX50" s="336">
        <v>64</v>
      </c>
      <c r="BY50" s="336"/>
    </row>
    <row r="51" spans="1:77" ht="13.15" hidden="1" customHeight="1" outlineLevel="1" x14ac:dyDescent="0.2">
      <c r="A51" s="50">
        <f t="shared" si="11"/>
        <v>46</v>
      </c>
      <c r="B51" s="51">
        <v>12</v>
      </c>
      <c r="C51" s="51">
        <v>7</v>
      </c>
      <c r="D51" s="18" t="s">
        <v>440</v>
      </c>
      <c r="E51" s="18">
        <v>10</v>
      </c>
      <c r="F51" s="18">
        <v>1</v>
      </c>
      <c r="G51" s="52">
        <v>1</v>
      </c>
      <c r="H51" s="237">
        <v>1</v>
      </c>
      <c r="I51" s="53">
        <v>1952</v>
      </c>
      <c r="J51" s="348">
        <v>3</v>
      </c>
      <c r="K51" s="346">
        <f t="shared" si="5"/>
        <v>4</v>
      </c>
      <c r="L51" s="346">
        <v>1</v>
      </c>
      <c r="M51" s="349">
        <v>4</v>
      </c>
      <c r="N51" s="255">
        <f t="shared" si="0"/>
        <v>1</v>
      </c>
      <c r="O51" s="310">
        <v>39</v>
      </c>
      <c r="P51" s="66">
        <v>10</v>
      </c>
      <c r="Q51" s="66"/>
      <c r="R51" s="66">
        <v>0</v>
      </c>
      <c r="S51" s="66">
        <v>31</v>
      </c>
      <c r="T51" s="66">
        <v>8</v>
      </c>
      <c r="U51" s="66">
        <v>0</v>
      </c>
      <c r="V51" s="66">
        <v>0</v>
      </c>
      <c r="W51" s="54">
        <v>0</v>
      </c>
      <c r="X51" s="55">
        <f>SUMIFS(Таблица3[Кол-во квартир],Таблица3[Адрес МКД],$D51)</f>
        <v>28</v>
      </c>
      <c r="Y51" s="56">
        <f t="shared" si="13"/>
        <v>4215.6000000000004</v>
      </c>
      <c r="Z51" s="253">
        <f>SUMIFS(Таблица3[Площадь жилая],Таблица3[Адрес МКД],$D51)</f>
        <v>1604.7</v>
      </c>
      <c r="AA51" s="261">
        <f>SUMIFS(Таблица3[Площадь нежилых помещений],Таблица3[Адрес МКД],$D51)</f>
        <v>668</v>
      </c>
      <c r="AB51" s="252">
        <f>SUMIFS(Таблица1[1],Таблица1[2],$D51)</f>
        <v>680.40000000000009</v>
      </c>
      <c r="AC51" s="57">
        <f t="shared" si="7"/>
        <v>668.00000000000011</v>
      </c>
      <c r="AD51" s="57">
        <f t="shared" si="8"/>
        <v>12.4</v>
      </c>
      <c r="AE51" s="58">
        <f>SUMIFS(Таблица1[8],Таблица1[2],$D51)+SUMIFS(Таблица1[18],Таблица1[2],$D51)</f>
        <v>562.30000000000007</v>
      </c>
      <c r="AF51" s="58">
        <f>SUMIFS(Таблица1[9],Таблица1[2],$D51)+SUMIFS(Таблица1[19],Таблица1[2],$D51)</f>
        <v>0</v>
      </c>
      <c r="AG51" s="59">
        <f t="shared" si="9"/>
        <v>1930.5</v>
      </c>
      <c r="AH51" s="59">
        <f t="shared" si="12"/>
        <v>1942.9</v>
      </c>
      <c r="AI51" s="60">
        <f>726.5-AM51</f>
        <v>620.79999999999995</v>
      </c>
      <c r="AJ51" s="60">
        <f t="shared" si="1"/>
        <v>620.79999999999995</v>
      </c>
      <c r="AK51" s="60">
        <f>SUMIFS(Таблица1[10],Таблица1[2],$D51)</f>
        <v>0</v>
      </c>
      <c r="AL51" s="60">
        <f>SUMIFS(Таблица1[11],Таблица1[2],$D51)</f>
        <v>0</v>
      </c>
      <c r="AM51" s="251">
        <f>105.7</f>
        <v>105.7</v>
      </c>
      <c r="AN51" s="249">
        <f t="shared" si="2"/>
        <v>-1.4210854715202004E-14</v>
      </c>
      <c r="AO51" s="249">
        <f>SUMIFS(Таблица1[12],Таблица1[2],$D51)</f>
        <v>105.70000000000002</v>
      </c>
      <c r="AP51" s="249">
        <f>SUMIFS(Таблица1[13],Таблица1[2],$D51)</f>
        <v>0</v>
      </c>
      <c r="AQ51" s="61">
        <f>356.9</f>
        <v>356.9</v>
      </c>
      <c r="AR51" s="61">
        <f t="shared" si="3"/>
        <v>344.5</v>
      </c>
      <c r="AS51" s="60">
        <f>SUMIFS(Таблица1[14],Таблица1[2],$D51)</f>
        <v>0</v>
      </c>
      <c r="AT51" s="60">
        <f>SUMIFS(Таблица1[15],Таблица1[2],$D51)</f>
        <v>12.4</v>
      </c>
      <c r="AU51" s="61">
        <v>965.2</v>
      </c>
      <c r="AV51" s="61">
        <f t="shared" si="4"/>
        <v>965.2</v>
      </c>
      <c r="AW51" s="60">
        <f>SUMIFS(Таблица1[16],Таблица1[2],$D51)</f>
        <v>0</v>
      </c>
      <c r="AX51" s="60">
        <f>SUMIFS(Таблица1[17],Таблица1[2],$D51)</f>
        <v>0</v>
      </c>
      <c r="AY51" s="263"/>
      <c r="AZ51" s="264"/>
      <c r="BA51" s="296">
        <v>0</v>
      </c>
      <c r="BB51" s="296">
        <f t="shared" si="14"/>
        <v>0</v>
      </c>
      <c r="BC51" s="296">
        <v>0</v>
      </c>
      <c r="BD51" s="296">
        <v>0</v>
      </c>
      <c r="BE51" s="285"/>
      <c r="BF51" s="259">
        <v>2793</v>
      </c>
      <c r="BG51" s="260">
        <v>10039</v>
      </c>
      <c r="BH51" s="62" t="s">
        <v>936</v>
      </c>
      <c r="BI51" s="62" t="s">
        <v>935</v>
      </c>
      <c r="BJ51" s="62"/>
      <c r="BK51" s="267"/>
      <c r="BL51" s="267"/>
      <c r="BM51" s="267" t="s">
        <v>1649</v>
      </c>
      <c r="BN51" s="268"/>
      <c r="BO51" s="62">
        <v>34</v>
      </c>
      <c r="BP51" s="63">
        <v>31876</v>
      </c>
      <c r="BQ51" s="64" t="s">
        <v>1131</v>
      </c>
      <c r="BR51" s="372" t="s">
        <v>2747</v>
      </c>
      <c r="BS51" s="62"/>
      <c r="BT51" s="323"/>
      <c r="BU51" s="62"/>
      <c r="BV51" s="323"/>
      <c r="BW51" s="62"/>
      <c r="BX51" s="336">
        <v>44</v>
      </c>
      <c r="BY51" s="336"/>
    </row>
    <row r="52" spans="1:77" ht="13.15" hidden="1" customHeight="1" outlineLevel="1" x14ac:dyDescent="0.2">
      <c r="A52" s="50">
        <f t="shared" si="11"/>
        <v>47</v>
      </c>
      <c r="B52" s="51">
        <v>15</v>
      </c>
      <c r="C52" s="51">
        <v>10</v>
      </c>
      <c r="D52" s="18" t="s">
        <v>441</v>
      </c>
      <c r="E52" s="18">
        <v>10</v>
      </c>
      <c r="F52" s="18">
        <v>1</v>
      </c>
      <c r="G52" s="52">
        <v>1</v>
      </c>
      <c r="H52" s="237">
        <v>1</v>
      </c>
      <c r="I52" s="53">
        <v>1978</v>
      </c>
      <c r="J52" s="348">
        <v>5</v>
      </c>
      <c r="K52" s="346">
        <f t="shared" si="5"/>
        <v>6</v>
      </c>
      <c r="L52" s="346">
        <v>1</v>
      </c>
      <c r="M52" s="349">
        <v>4</v>
      </c>
      <c r="N52" s="255">
        <f t="shared" si="0"/>
        <v>0</v>
      </c>
      <c r="O52" s="310">
        <v>60</v>
      </c>
      <c r="P52" s="66">
        <v>1</v>
      </c>
      <c r="Q52" s="66"/>
      <c r="R52" s="66">
        <v>10</v>
      </c>
      <c r="S52" s="66">
        <v>40</v>
      </c>
      <c r="T52" s="66">
        <v>10</v>
      </c>
      <c r="U52" s="66">
        <v>0</v>
      </c>
      <c r="V52" s="66">
        <v>0</v>
      </c>
      <c r="W52" s="54">
        <v>0</v>
      </c>
      <c r="X52" s="55">
        <f>SUMIFS(Таблица3[Кол-во квартир],Таблица3[Адрес МКД],$D52)</f>
        <v>59</v>
      </c>
      <c r="Y52" s="56">
        <f t="shared" si="13"/>
        <v>4118.3999999999996</v>
      </c>
      <c r="Z52" s="253">
        <f>SUMIFS(Таблица3[Площадь жилая],Таблица3[Адрес МКД],$D52)</f>
        <v>2639</v>
      </c>
      <c r="AA52" s="261">
        <f>SUMIFS(Таблица3[Площадь нежилых помещений],Таблица3[Адрес МКД],$D52)</f>
        <v>60.9</v>
      </c>
      <c r="AB52" s="252">
        <f>SUMIFS(Таблица1[1],Таблица1[2],$D52)</f>
        <v>60.9</v>
      </c>
      <c r="AC52" s="57">
        <f t="shared" si="7"/>
        <v>60.9</v>
      </c>
      <c r="AD52" s="57">
        <f t="shared" si="8"/>
        <v>0</v>
      </c>
      <c r="AE52" s="58">
        <f>SUMIFS(Таблица1[8],Таблица1[2],$D52)+SUMIFS(Таблица1[18],Таблица1[2],$D52)</f>
        <v>60.9</v>
      </c>
      <c r="AF52" s="58">
        <f>SUMIFS(Таблица1[9],Таблица1[2],$D52)+SUMIFS(Таблица1[19],Таблица1[2],$D52)</f>
        <v>0</v>
      </c>
      <c r="AG52" s="59">
        <f t="shared" si="9"/>
        <v>1418.5</v>
      </c>
      <c r="AH52" s="59">
        <f t="shared" si="12"/>
        <v>1418.5</v>
      </c>
      <c r="AI52" s="60">
        <f>483.9-AM52</f>
        <v>483.9</v>
      </c>
      <c r="AJ52" s="60">
        <f t="shared" si="1"/>
        <v>483.9</v>
      </c>
      <c r="AK52" s="60">
        <f>SUMIFS(Таблица1[10],Таблица1[2],$D52)</f>
        <v>0</v>
      </c>
      <c r="AL52" s="60">
        <f>SUMIFS(Таблица1[11],Таблица1[2],$D52)</f>
        <v>0</v>
      </c>
      <c r="AM52" s="251">
        <v>0</v>
      </c>
      <c r="AN52" s="249">
        <f t="shared" si="2"/>
        <v>0</v>
      </c>
      <c r="AO52" s="249">
        <f>SUMIFS(Таблица1[12],Таблица1[2],$D52)</f>
        <v>0</v>
      </c>
      <c r="AP52" s="249">
        <f>SUMIFS(Таблица1[13],Таблица1[2],$D52)</f>
        <v>0</v>
      </c>
      <c r="AQ52" s="61">
        <f>327.9</f>
        <v>327.9</v>
      </c>
      <c r="AR52" s="61">
        <f t="shared" si="3"/>
        <v>327.9</v>
      </c>
      <c r="AS52" s="60">
        <f>SUMIFS(Таблица1[14],Таблица1[2],$D52)</f>
        <v>0</v>
      </c>
      <c r="AT52" s="60">
        <f>SUMIFS(Таблица1[15],Таблица1[2],$D52)</f>
        <v>0</v>
      </c>
      <c r="AU52" s="61">
        <v>606.70000000000005</v>
      </c>
      <c r="AV52" s="61">
        <f t="shared" si="4"/>
        <v>606.70000000000005</v>
      </c>
      <c r="AW52" s="60">
        <f>SUMIFS(Таблица1[16],Таблица1[2],$D52)</f>
        <v>0</v>
      </c>
      <c r="AX52" s="60">
        <f>SUMIFS(Таблица1[17],Таблица1[2],$D52)</f>
        <v>0</v>
      </c>
      <c r="AY52" s="263"/>
      <c r="AZ52" s="264"/>
      <c r="BA52" s="296">
        <v>0</v>
      </c>
      <c r="BB52" s="296">
        <f t="shared" si="14"/>
        <v>0</v>
      </c>
      <c r="BC52" s="296">
        <v>0</v>
      </c>
      <c r="BD52" s="296">
        <v>0</v>
      </c>
      <c r="BE52" s="285"/>
      <c r="BF52" s="259">
        <v>1962</v>
      </c>
      <c r="BG52" s="260">
        <v>9695</v>
      </c>
      <c r="BH52" s="62" t="s">
        <v>940</v>
      </c>
      <c r="BI52" s="62" t="s">
        <v>935</v>
      </c>
      <c r="BJ52" s="62"/>
      <c r="BK52" s="267"/>
      <c r="BL52" s="267" t="s">
        <v>1649</v>
      </c>
      <c r="BM52" s="267"/>
      <c r="BN52" s="268"/>
      <c r="BO52" s="62">
        <v>8</v>
      </c>
      <c r="BP52" s="63">
        <v>29565</v>
      </c>
      <c r="BQ52" s="64" t="s">
        <v>1131</v>
      </c>
      <c r="BR52" s="372" t="s">
        <v>2747</v>
      </c>
      <c r="BS52" s="62"/>
      <c r="BT52" s="323"/>
      <c r="BU52" s="62"/>
      <c r="BV52" s="323"/>
      <c r="BW52" s="62"/>
      <c r="BX52" s="338"/>
      <c r="BY52" s="336"/>
    </row>
    <row r="53" spans="1:77" ht="13.15" hidden="1" customHeight="1" outlineLevel="1" x14ac:dyDescent="0.2">
      <c r="A53" s="50">
        <f t="shared" si="11"/>
        <v>48</v>
      </c>
      <c r="B53" s="51">
        <v>16</v>
      </c>
      <c r="C53" s="51">
        <v>11</v>
      </c>
      <c r="D53" s="18" t="s">
        <v>442</v>
      </c>
      <c r="E53" s="18">
        <v>10</v>
      </c>
      <c r="F53" s="18">
        <v>1</v>
      </c>
      <c r="G53" s="52">
        <v>1</v>
      </c>
      <c r="H53" s="237">
        <v>1</v>
      </c>
      <c r="I53" s="53">
        <v>1953</v>
      </c>
      <c r="J53" s="348">
        <v>4</v>
      </c>
      <c r="K53" s="346">
        <f t="shared" si="5"/>
        <v>5</v>
      </c>
      <c r="L53" s="346">
        <v>1</v>
      </c>
      <c r="M53" s="349">
        <v>2</v>
      </c>
      <c r="N53" s="255">
        <f t="shared" si="0"/>
        <v>0</v>
      </c>
      <c r="O53" s="310">
        <v>12</v>
      </c>
      <c r="P53" s="66">
        <v>0</v>
      </c>
      <c r="Q53" s="66"/>
      <c r="R53" s="66">
        <v>0</v>
      </c>
      <c r="S53" s="66">
        <v>12</v>
      </c>
      <c r="T53" s="66">
        <v>0</v>
      </c>
      <c r="U53" s="66">
        <v>0</v>
      </c>
      <c r="V53" s="66">
        <v>0</v>
      </c>
      <c r="W53" s="54">
        <v>0</v>
      </c>
      <c r="X53" s="55">
        <f>SUMIFS(Таблица3[Кол-во квартир],Таблица3[Адрес МКД],$D53)</f>
        <v>12</v>
      </c>
      <c r="Y53" s="56">
        <f t="shared" si="13"/>
        <v>1565.8999999999999</v>
      </c>
      <c r="Z53" s="253">
        <f>SUMIFS(Таблица3[Площадь жилая],Таблица3[Адрес МКД],$D53)</f>
        <v>845.5</v>
      </c>
      <c r="AA53" s="261">
        <f>SUMIFS(Таблица3[Площадь нежилых помещений],Таблица3[Адрес МКД],$D53)</f>
        <v>290.3</v>
      </c>
      <c r="AB53" s="252">
        <f>SUMIFS(Таблица1[1],Таблица1[2],$D53)</f>
        <v>290.3</v>
      </c>
      <c r="AC53" s="57">
        <f t="shared" si="7"/>
        <v>290.3</v>
      </c>
      <c r="AD53" s="57">
        <f t="shared" si="8"/>
        <v>0</v>
      </c>
      <c r="AE53" s="58">
        <f>SUMIFS(Таблица1[8],Таблица1[2],$D53)+SUMIFS(Таблица1[18],Таблица1[2],$D53)</f>
        <v>290.3</v>
      </c>
      <c r="AF53" s="58">
        <f>SUMIFS(Таблица1[9],Таблица1[2],$D53)+SUMIFS(Таблица1[19],Таблица1[2],$D53)</f>
        <v>0</v>
      </c>
      <c r="AG53" s="59">
        <f t="shared" si="9"/>
        <v>430.09999999999997</v>
      </c>
      <c r="AH53" s="59">
        <f t="shared" si="12"/>
        <v>430.09999999999997</v>
      </c>
      <c r="AI53" s="60">
        <f>109.1-AM53</f>
        <v>109.1</v>
      </c>
      <c r="AJ53" s="60">
        <f t="shared" si="1"/>
        <v>109.1</v>
      </c>
      <c r="AK53" s="60">
        <f>SUMIFS(Таблица1[10],Таблица1[2],$D53)</f>
        <v>0</v>
      </c>
      <c r="AL53" s="60">
        <f>SUMIFS(Таблица1[11],Таблица1[2],$D53)</f>
        <v>0</v>
      </c>
      <c r="AM53" s="251">
        <v>0</v>
      </c>
      <c r="AN53" s="249">
        <f t="shared" si="2"/>
        <v>0</v>
      </c>
      <c r="AO53" s="249">
        <f>SUMIFS(Таблица1[12],Таблица1[2],$D53)</f>
        <v>0</v>
      </c>
      <c r="AP53" s="249">
        <f>SUMIFS(Таблица1[13],Таблица1[2],$D53)</f>
        <v>0</v>
      </c>
      <c r="AQ53" s="61">
        <f>190.2</f>
        <v>190.2</v>
      </c>
      <c r="AR53" s="61">
        <f t="shared" si="3"/>
        <v>190.2</v>
      </c>
      <c r="AS53" s="60">
        <f>SUMIFS(Таблица1[14],Таблица1[2],$D53)</f>
        <v>0</v>
      </c>
      <c r="AT53" s="60">
        <f>SUMIFS(Таблица1[15],Таблица1[2],$D53)</f>
        <v>0</v>
      </c>
      <c r="AU53" s="61">
        <v>130.80000000000001</v>
      </c>
      <c r="AV53" s="61">
        <f t="shared" si="4"/>
        <v>130.80000000000001</v>
      </c>
      <c r="AW53" s="60">
        <f>SUMIFS(Таблица1[16],Таблица1[2],$D53)</f>
        <v>0</v>
      </c>
      <c r="AX53" s="60">
        <f>SUMIFS(Таблица1[17],Таблица1[2],$D53)</f>
        <v>0</v>
      </c>
      <c r="AY53" s="263"/>
      <c r="AZ53" s="264"/>
      <c r="BA53" s="296">
        <v>0</v>
      </c>
      <c r="BB53" s="296">
        <f t="shared" si="14"/>
        <v>0</v>
      </c>
      <c r="BC53" s="296">
        <v>0</v>
      </c>
      <c r="BD53" s="296">
        <v>0</v>
      </c>
      <c r="BE53" s="285"/>
      <c r="BF53" s="259">
        <v>1191</v>
      </c>
      <c r="BG53" s="260">
        <v>5814</v>
      </c>
      <c r="BH53" s="62" t="s">
        <v>936</v>
      </c>
      <c r="BI53" s="62" t="s">
        <v>935</v>
      </c>
      <c r="BJ53" s="62"/>
      <c r="BK53" s="267"/>
      <c r="BL53" s="267"/>
      <c r="BM53" s="267" t="s">
        <v>1649</v>
      </c>
      <c r="BN53" s="268"/>
      <c r="BO53" s="62">
        <v>38</v>
      </c>
      <c r="BP53" s="63">
        <v>34549</v>
      </c>
      <c r="BQ53" s="64" t="s">
        <v>1131</v>
      </c>
      <c r="BR53" s="372" t="s">
        <v>2747</v>
      </c>
      <c r="BS53" s="62"/>
      <c r="BT53" s="323"/>
      <c r="BU53" s="62"/>
      <c r="BV53" s="323"/>
      <c r="BW53" s="62"/>
      <c r="BX53" s="338"/>
      <c r="BY53" s="336"/>
    </row>
    <row r="54" spans="1:77" ht="13.15" hidden="1" customHeight="1" outlineLevel="1" x14ac:dyDescent="0.2">
      <c r="A54" s="50">
        <f t="shared" si="11"/>
        <v>49</v>
      </c>
      <c r="B54" s="51">
        <v>17</v>
      </c>
      <c r="C54" s="51">
        <v>12</v>
      </c>
      <c r="D54" s="18" t="s">
        <v>443</v>
      </c>
      <c r="E54" s="18">
        <v>10</v>
      </c>
      <c r="F54" s="18">
        <v>1</v>
      </c>
      <c r="G54" s="52">
        <v>1</v>
      </c>
      <c r="H54" s="237">
        <v>1</v>
      </c>
      <c r="I54" s="53">
        <v>1953</v>
      </c>
      <c r="J54" s="348">
        <v>3</v>
      </c>
      <c r="K54" s="346">
        <f t="shared" si="5"/>
        <v>4</v>
      </c>
      <c r="L54" s="346">
        <v>1</v>
      </c>
      <c r="M54" s="349">
        <v>4</v>
      </c>
      <c r="N54" s="255">
        <f t="shared" si="0"/>
        <v>0</v>
      </c>
      <c r="O54" s="310">
        <v>39</v>
      </c>
      <c r="P54" s="66">
        <v>5</v>
      </c>
      <c r="Q54" s="66"/>
      <c r="R54" s="66">
        <v>0</v>
      </c>
      <c r="S54" s="66">
        <v>31</v>
      </c>
      <c r="T54" s="66">
        <v>8</v>
      </c>
      <c r="U54" s="66">
        <v>0</v>
      </c>
      <c r="V54" s="66">
        <v>0</v>
      </c>
      <c r="W54" s="54">
        <v>0</v>
      </c>
      <c r="X54" s="55">
        <f>SUMIFS(Таблица3[Кол-во квартир],Таблица3[Адрес МКД],$D54)</f>
        <v>34</v>
      </c>
      <c r="Y54" s="56">
        <f t="shared" si="13"/>
        <v>4018.9</v>
      </c>
      <c r="Z54" s="253">
        <f>SUMIFS(Таблица3[Площадь жилая],Таблица3[Адрес МКД],$D54)</f>
        <v>1867</v>
      </c>
      <c r="AA54" s="261">
        <f>SUMIFS(Таблица3[Площадь нежилых помещений],Таблица3[Адрес МКД],$D54)</f>
        <v>471.4</v>
      </c>
      <c r="AB54" s="252">
        <f>SUMIFS(Таблица1[1],Таблица1[2],$D54)</f>
        <v>567.80000000000007</v>
      </c>
      <c r="AC54" s="57">
        <f t="shared" si="7"/>
        <v>556.1</v>
      </c>
      <c r="AD54" s="57">
        <f t="shared" si="8"/>
        <v>11.7</v>
      </c>
      <c r="AE54" s="58">
        <f>SUMIFS(Таблица1[8],Таблица1[2],$D54)+SUMIFS(Таблица1[18],Таблица1[2],$D54)</f>
        <v>305.3</v>
      </c>
      <c r="AF54" s="58">
        <f>SUMIFS(Таблица1[9],Таблица1[2],$D54)+SUMIFS(Таблица1[19],Таблица1[2],$D54)</f>
        <v>0</v>
      </c>
      <c r="AG54" s="59">
        <f t="shared" si="9"/>
        <v>1578.7</v>
      </c>
      <c r="AH54" s="59">
        <f t="shared" si="12"/>
        <v>1590.4</v>
      </c>
      <c r="AI54" s="60">
        <f>690-AM54</f>
        <v>582.1</v>
      </c>
      <c r="AJ54" s="60">
        <f>AI54-AK54-AL54</f>
        <v>433.8</v>
      </c>
      <c r="AK54" s="60">
        <f>SUMIFS(Таблица1[10],Таблица1[2],$D54)</f>
        <v>148.30000000000001</v>
      </c>
      <c r="AL54" s="60">
        <f>SUMIFS(Таблица1[11],Таблица1[2],$D54)</f>
        <v>0</v>
      </c>
      <c r="AM54" s="251">
        <v>107.9</v>
      </c>
      <c r="AN54" s="249">
        <f t="shared" si="2"/>
        <v>5.4000000000000057</v>
      </c>
      <c r="AO54" s="249">
        <f>SUMIFS(Таблица1[12],Таблица1[2],$D54)</f>
        <v>102.5</v>
      </c>
      <c r="AP54" s="249">
        <f>SUMIFS(Таблица1[13],Таблица1[2],$D54)</f>
        <v>0</v>
      </c>
      <c r="AQ54" s="61">
        <f>418</f>
        <v>418</v>
      </c>
      <c r="AR54" s="61">
        <f t="shared" si="3"/>
        <v>406.3</v>
      </c>
      <c r="AS54" s="60">
        <f>SUMIFS(Таблица1[14],Таблица1[2],$D54)</f>
        <v>0</v>
      </c>
      <c r="AT54" s="60">
        <f>SUMIFS(Таблица1[15],Таблица1[2],$D54)</f>
        <v>11.7</v>
      </c>
      <c r="AU54" s="61">
        <v>738.6</v>
      </c>
      <c r="AV54" s="61">
        <f t="shared" si="4"/>
        <v>738.6</v>
      </c>
      <c r="AW54" s="60">
        <f>SUMIFS(Таблица1[16],Таблица1[2],$D54)</f>
        <v>0</v>
      </c>
      <c r="AX54" s="60">
        <f>SUMIFS(Таблица1[17],Таблица1[2],$D54)</f>
        <v>0</v>
      </c>
      <c r="AY54" s="263">
        <f>Нежилые!G295</f>
        <v>90.1</v>
      </c>
      <c r="AZ54" s="264"/>
      <c r="BA54" s="296">
        <v>0</v>
      </c>
      <c r="BB54" s="296">
        <f t="shared" si="14"/>
        <v>0</v>
      </c>
      <c r="BC54" s="296">
        <v>0</v>
      </c>
      <c r="BD54" s="296">
        <v>0</v>
      </c>
      <c r="BE54" s="285"/>
      <c r="BF54" s="259">
        <f>2352+412+161</f>
        <v>2925</v>
      </c>
      <c r="BG54" s="260">
        <v>9918</v>
      </c>
      <c r="BH54" s="62" t="s">
        <v>936</v>
      </c>
      <c r="BI54" s="62" t="s">
        <v>935</v>
      </c>
      <c r="BJ54" s="62"/>
      <c r="BK54" s="267"/>
      <c r="BL54" s="267"/>
      <c r="BM54" s="267" t="s">
        <v>1649</v>
      </c>
      <c r="BN54" s="268"/>
      <c r="BO54" s="62">
        <v>34</v>
      </c>
      <c r="BP54" s="63">
        <v>31876</v>
      </c>
      <c r="BQ54" s="64" t="s">
        <v>1131</v>
      </c>
      <c r="BR54" s="372" t="s">
        <v>2747</v>
      </c>
      <c r="BS54" s="62"/>
      <c r="BT54" s="323"/>
      <c r="BU54" s="62"/>
      <c r="BV54" s="323"/>
      <c r="BW54" s="62"/>
      <c r="BX54" s="338"/>
      <c r="BY54" s="336"/>
    </row>
    <row r="55" spans="1:77" ht="13.15" customHeight="1" outlineLevel="1" x14ac:dyDescent="0.2">
      <c r="A55" s="50">
        <f t="shared" si="11"/>
        <v>50</v>
      </c>
      <c r="B55" s="51">
        <v>12</v>
      </c>
      <c r="C55" s="51">
        <v>13</v>
      </c>
      <c r="D55" s="18" t="s">
        <v>564</v>
      </c>
      <c r="E55" s="18">
        <v>12</v>
      </c>
      <c r="F55" s="18">
        <v>4</v>
      </c>
      <c r="G55" s="52">
        <v>1</v>
      </c>
      <c r="H55" s="237">
        <v>1</v>
      </c>
      <c r="I55" s="53">
        <v>1955</v>
      </c>
      <c r="J55" s="348">
        <v>4</v>
      </c>
      <c r="K55" s="346">
        <f t="shared" si="5"/>
        <v>5</v>
      </c>
      <c r="L55" s="346">
        <v>1</v>
      </c>
      <c r="M55" s="349">
        <v>4</v>
      </c>
      <c r="N55" s="255">
        <f t="shared" si="0"/>
        <v>0</v>
      </c>
      <c r="O55" s="310">
        <v>60</v>
      </c>
      <c r="P55" s="66">
        <v>10</v>
      </c>
      <c r="Q55" s="66"/>
      <c r="R55" s="66">
        <v>6</v>
      </c>
      <c r="S55" s="66">
        <v>30</v>
      </c>
      <c r="T55" s="66">
        <v>24</v>
      </c>
      <c r="U55" s="66">
        <v>0</v>
      </c>
      <c r="V55" s="66">
        <v>0</v>
      </c>
      <c r="W55" s="54">
        <v>0</v>
      </c>
      <c r="X55" s="55">
        <f>SUMIFS(Таблица3[Кол-во квартир],Таблица3[Адрес МКД],$D55)</f>
        <v>50</v>
      </c>
      <c r="Y55" s="56">
        <f t="shared" si="13"/>
        <v>5966.7000000000007</v>
      </c>
      <c r="Z55" s="253">
        <f>SUMIFS(Таблица3[Площадь жилая],Таблица3[Адрес МКД],$D55)</f>
        <v>3090.8</v>
      </c>
      <c r="AA55" s="261">
        <f>SUMIFS(Таблица3[Площадь нежилых помещений],Таблица3[Адрес МКД],$D55)</f>
        <v>949.4</v>
      </c>
      <c r="AB55" s="252">
        <f>SUMIFS(Таблица1[1],Таблица1[2],$D55)</f>
        <v>949.40000000000009</v>
      </c>
      <c r="AC55" s="57">
        <f t="shared" si="7"/>
        <v>949.40000000000009</v>
      </c>
      <c r="AD55" s="57">
        <f t="shared" si="8"/>
        <v>0</v>
      </c>
      <c r="AE55" s="58">
        <f>SUMIFS(Таблица1[8],Таблица1[2],$D55)+SUMIFS(Таблица1[18],Таблица1[2],$D55)</f>
        <v>701.2</v>
      </c>
      <c r="AF55" s="58">
        <f>SUMIFS(Таблица1[9],Таблица1[2],$D55)+SUMIFS(Таблица1[19],Таблица1[2],$D55)</f>
        <v>0</v>
      </c>
      <c r="AG55" s="59">
        <f t="shared" si="9"/>
        <v>1926.5</v>
      </c>
      <c r="AH55" s="59">
        <f t="shared" si="12"/>
        <v>1926.5</v>
      </c>
      <c r="AI55" s="60">
        <f>584.7-AM55</f>
        <v>336.50000000000006</v>
      </c>
      <c r="AJ55" s="60">
        <f t="shared" si="1"/>
        <v>336.50000000000006</v>
      </c>
      <c r="AK55" s="60">
        <f>SUMIFS(Таблица1[10],Таблица1[2],$D55)</f>
        <v>0</v>
      </c>
      <c r="AL55" s="60">
        <f>SUMIFS(Таблица1[11],Таблица1[2],$D55)</f>
        <v>0</v>
      </c>
      <c r="AM55" s="251">
        <v>248.2</v>
      </c>
      <c r="AN55" s="249">
        <f t="shared" si="2"/>
        <v>0</v>
      </c>
      <c r="AO55" s="249">
        <f>SUMIFS(Таблица1[12],Таблица1[2],$D55)</f>
        <v>248.2</v>
      </c>
      <c r="AP55" s="249">
        <f>SUMIFS(Таблица1[13],Таблица1[2],$D55)</f>
        <v>0</v>
      </c>
      <c r="AQ55" s="61">
        <f>427.9</f>
        <v>427.9</v>
      </c>
      <c r="AR55" s="61">
        <f t="shared" si="3"/>
        <v>427.9</v>
      </c>
      <c r="AS55" s="60">
        <f>SUMIFS(Таблица1[14],Таблица1[2],$D55)</f>
        <v>0</v>
      </c>
      <c r="AT55" s="60">
        <f>SUMIFS(Таблица1[15],Таблица1[2],$D55)</f>
        <v>0</v>
      </c>
      <c r="AU55" s="61">
        <v>1162.0999999999999</v>
      </c>
      <c r="AV55" s="61">
        <f t="shared" si="4"/>
        <v>1162.0999999999999</v>
      </c>
      <c r="AW55" s="60">
        <f>SUMIFS(Таблица1[16],Таблица1[2],$D55)</f>
        <v>0</v>
      </c>
      <c r="AX55" s="60">
        <f>SUMIFS(Таблица1[17],Таблица1[2],$D55)</f>
        <v>0</v>
      </c>
      <c r="AY55" s="263"/>
      <c r="AZ55" s="264"/>
      <c r="BA55" s="296">
        <v>0</v>
      </c>
      <c r="BB55" s="296">
        <f t="shared" si="14"/>
        <v>0</v>
      </c>
      <c r="BC55" s="296">
        <v>0</v>
      </c>
      <c r="BD55" s="296">
        <v>0</v>
      </c>
      <c r="BE55" s="285"/>
      <c r="BF55" s="259">
        <v>3721</v>
      </c>
      <c r="BG55" s="260">
        <f>16727+181+17</f>
        <v>16925</v>
      </c>
      <c r="BH55" s="62" t="s">
        <v>936</v>
      </c>
      <c r="BI55" s="62" t="s">
        <v>935</v>
      </c>
      <c r="BJ55" s="62" t="s">
        <v>1017</v>
      </c>
      <c r="BK55" s="267"/>
      <c r="BL55" s="267" t="s">
        <v>1649</v>
      </c>
      <c r="BM55" s="267"/>
      <c r="BN55" s="268"/>
      <c r="BO55" s="62">
        <v>38</v>
      </c>
      <c r="BP55" s="63">
        <v>44082</v>
      </c>
      <c r="BQ55" s="64" t="s">
        <v>1131</v>
      </c>
      <c r="BR55" s="372" t="s">
        <v>2747</v>
      </c>
      <c r="BS55" s="62"/>
      <c r="BT55" s="323"/>
      <c r="BU55" s="62"/>
      <c r="BV55" s="323"/>
      <c r="BW55" s="62"/>
      <c r="BX55" s="336">
        <v>48</v>
      </c>
      <c r="BY55" s="336"/>
    </row>
    <row r="56" spans="1:77" ht="13.15" customHeight="1" outlineLevel="1" x14ac:dyDescent="0.2">
      <c r="A56" s="50">
        <f t="shared" si="11"/>
        <v>51</v>
      </c>
      <c r="B56" s="51">
        <v>13</v>
      </c>
      <c r="C56" s="51">
        <v>14</v>
      </c>
      <c r="D56" s="18" t="s">
        <v>565</v>
      </c>
      <c r="E56" s="18">
        <v>12</v>
      </c>
      <c r="F56" s="18">
        <v>4</v>
      </c>
      <c r="G56" s="52">
        <v>1</v>
      </c>
      <c r="H56" s="237">
        <v>1</v>
      </c>
      <c r="I56" s="53">
        <v>1955</v>
      </c>
      <c r="J56" s="348">
        <v>4</v>
      </c>
      <c r="K56" s="346">
        <f t="shared" si="5"/>
        <v>5</v>
      </c>
      <c r="L56" s="346">
        <v>1</v>
      </c>
      <c r="M56" s="349">
        <v>3</v>
      </c>
      <c r="N56" s="255">
        <f t="shared" si="0"/>
        <v>0</v>
      </c>
      <c r="O56" s="310">
        <v>48</v>
      </c>
      <c r="P56" s="66">
        <v>8</v>
      </c>
      <c r="Q56" s="66"/>
      <c r="R56" s="66">
        <v>37</v>
      </c>
      <c r="S56" s="66">
        <v>11</v>
      </c>
      <c r="T56" s="66">
        <v>0</v>
      </c>
      <c r="U56" s="66">
        <v>0</v>
      </c>
      <c r="V56" s="66">
        <v>0</v>
      </c>
      <c r="W56" s="54">
        <v>0</v>
      </c>
      <c r="X56" s="55">
        <f>SUMIFS(Таблица3[Кол-во квартир],Таблица3[Адрес МКД],$D56)</f>
        <v>40</v>
      </c>
      <c r="Y56" s="56">
        <f t="shared" si="13"/>
        <v>4349.54</v>
      </c>
      <c r="Z56" s="253">
        <f>SUMIFS(Таблица3[Площадь жилая],Таблица3[Адрес МКД],$D56)</f>
        <v>2381.8000000000002</v>
      </c>
      <c r="AA56" s="261">
        <f>SUMIFS(Таблица3[Площадь нежилых помещений],Таблица3[Адрес МКД],$D56)</f>
        <v>698</v>
      </c>
      <c r="AB56" s="252">
        <f>SUMIFS(Таблица1[1],Таблица1[2],$D56)</f>
        <v>682.7</v>
      </c>
      <c r="AC56" s="57">
        <f t="shared" si="7"/>
        <v>667.6</v>
      </c>
      <c r="AD56" s="57">
        <f t="shared" si="8"/>
        <v>15.1</v>
      </c>
      <c r="AE56" s="58">
        <f>SUMIFS(Таблица1[8],Таблица1[2],$D56)+SUMIFS(Таблица1[18],Таблица1[2],$D56)</f>
        <v>476.20000000000005</v>
      </c>
      <c r="AF56" s="58">
        <f>SUMIFS(Таблица1[9],Таблица1[2],$D56)+SUMIFS(Таблица1[19],Таблица1[2],$D56)</f>
        <v>0</v>
      </c>
      <c r="AG56" s="59">
        <f t="shared" si="9"/>
        <v>1286.3399999999999</v>
      </c>
      <c r="AH56" s="59">
        <f t="shared" si="12"/>
        <v>1301.44</v>
      </c>
      <c r="AI56" s="60">
        <f>320.4-AM56</f>
        <v>130.29999999999995</v>
      </c>
      <c r="AJ56" s="60">
        <f t="shared" si="1"/>
        <v>130.29999999999995</v>
      </c>
      <c r="AK56" s="60">
        <f>SUMIFS(Таблица1[10],Таблица1[2],$D56)</f>
        <v>0</v>
      </c>
      <c r="AL56" s="60">
        <f>SUMIFS(Таблица1[11],Таблица1[2],$D56)</f>
        <v>0</v>
      </c>
      <c r="AM56" s="251">
        <f>221.8-31.7</f>
        <v>190.10000000000002</v>
      </c>
      <c r="AN56" s="249">
        <f t="shared" si="2"/>
        <v>-1.2999999999999829</v>
      </c>
      <c r="AO56" s="249">
        <f>SUMIFS(Таблица1[12],Таблица1[2],$D56)</f>
        <v>191.4</v>
      </c>
      <c r="AP56" s="249">
        <f>SUMIFS(Таблица1[13],Таблица1[2],$D56)</f>
        <v>0</v>
      </c>
      <c r="AQ56" s="61">
        <f>302.5</f>
        <v>302.5</v>
      </c>
      <c r="AR56" s="61">
        <f t="shared" si="3"/>
        <v>287.39999999999998</v>
      </c>
      <c r="AS56" s="60">
        <f>SUMIFS(Таблица1[14],Таблица1[2],$D56)</f>
        <v>0</v>
      </c>
      <c r="AT56" s="60">
        <f>SUMIFS(Таблица1[15],Таблица1[2],$D56)</f>
        <v>15.1</v>
      </c>
      <c r="AU56" s="61">
        <v>868.64</v>
      </c>
      <c r="AV56" s="61">
        <f t="shared" si="4"/>
        <v>868.64</v>
      </c>
      <c r="AW56" s="60">
        <f>SUMIFS(Таблица1[16],Таблица1[2],$D56)</f>
        <v>0</v>
      </c>
      <c r="AX56" s="60">
        <f>SUMIFS(Таблица1[17],Таблица1[2],$D56)</f>
        <v>0</v>
      </c>
      <c r="AY56" s="263"/>
      <c r="AZ56" s="264"/>
      <c r="BA56" s="296">
        <v>0</v>
      </c>
      <c r="BB56" s="296">
        <f t="shared" si="14"/>
        <v>0</v>
      </c>
      <c r="BC56" s="296">
        <v>0</v>
      </c>
      <c r="BD56" s="296">
        <v>0</v>
      </c>
      <c r="BE56" s="285"/>
      <c r="BF56" s="259">
        <v>1294</v>
      </c>
      <c r="BG56" s="260">
        <f>12648+52</f>
        <v>12700</v>
      </c>
      <c r="BH56" s="62" t="s">
        <v>936</v>
      </c>
      <c r="BI56" s="62" t="s">
        <v>935</v>
      </c>
      <c r="BJ56" s="62" t="s">
        <v>1017</v>
      </c>
      <c r="BK56" s="267"/>
      <c r="BL56" s="267" t="s">
        <v>1649</v>
      </c>
      <c r="BM56" s="267"/>
      <c r="BN56" s="268"/>
      <c r="BO56" s="62">
        <v>40</v>
      </c>
      <c r="BP56" s="63">
        <v>44082</v>
      </c>
      <c r="BQ56" s="64" t="s">
        <v>1131</v>
      </c>
      <c r="BR56" s="372" t="s">
        <v>2747</v>
      </c>
      <c r="BS56" s="62"/>
      <c r="BT56" s="323"/>
      <c r="BU56" s="62"/>
      <c r="BV56" s="323"/>
      <c r="BW56" s="62"/>
      <c r="BX56" s="336">
        <v>35</v>
      </c>
      <c r="BY56" s="336"/>
    </row>
    <row r="57" spans="1:77" ht="13.15" customHeight="1" outlineLevel="1" x14ac:dyDescent="0.2">
      <c r="A57" s="50">
        <f t="shared" si="11"/>
        <v>52</v>
      </c>
      <c r="B57" s="51">
        <v>14</v>
      </c>
      <c r="C57" s="51">
        <v>15</v>
      </c>
      <c r="D57" s="18" t="s">
        <v>566</v>
      </c>
      <c r="E57" s="18">
        <v>12</v>
      </c>
      <c r="F57" s="18">
        <v>4</v>
      </c>
      <c r="G57" s="52">
        <v>1</v>
      </c>
      <c r="H57" s="237"/>
      <c r="I57" s="53">
        <v>1959</v>
      </c>
      <c r="J57" s="348">
        <v>5</v>
      </c>
      <c r="K57" s="346">
        <f t="shared" si="5"/>
        <v>6</v>
      </c>
      <c r="L57" s="346">
        <v>1</v>
      </c>
      <c r="M57" s="349">
        <v>2</v>
      </c>
      <c r="N57" s="255">
        <f t="shared" si="0"/>
        <v>0</v>
      </c>
      <c r="O57" s="310">
        <v>40</v>
      </c>
      <c r="P57" s="66">
        <v>0</v>
      </c>
      <c r="Q57" s="66"/>
      <c r="R57" s="66">
        <v>20</v>
      </c>
      <c r="S57" s="66">
        <v>10</v>
      </c>
      <c r="T57" s="66">
        <v>10</v>
      </c>
      <c r="U57" s="66">
        <v>0</v>
      </c>
      <c r="V57" s="66">
        <v>0</v>
      </c>
      <c r="W57" s="54">
        <v>0</v>
      </c>
      <c r="X57" s="55">
        <f>SUMIFS(Таблица3[Кол-во квартир],Таблица3[Адрес МКД],$D57)</f>
        <v>40</v>
      </c>
      <c r="Y57" s="56">
        <f t="shared" si="13"/>
        <v>2400.3000000000002</v>
      </c>
      <c r="Z57" s="253">
        <f>SUMIFS(Таблица3[Площадь жилая],Таблица3[Адрес МКД],$D57)</f>
        <v>1575</v>
      </c>
      <c r="AA57" s="261">
        <f>SUMIFS(Таблица3[Площадь нежилых помещений],Таблица3[Адрес МКД],$D57)</f>
        <v>0</v>
      </c>
      <c r="AB57" s="252">
        <f>SUMIFS(Таблица1[1],Таблица1[2],$D57)</f>
        <v>0</v>
      </c>
      <c r="AC57" s="57">
        <f t="shared" si="7"/>
        <v>0</v>
      </c>
      <c r="AD57" s="57">
        <f t="shared" si="8"/>
        <v>0</v>
      </c>
      <c r="AE57" s="58">
        <f>SUMIFS(Таблица1[8],Таблица1[2],$D57)+SUMIFS(Таблица1[18],Таблица1[2],$D57)</f>
        <v>0</v>
      </c>
      <c r="AF57" s="58">
        <f>SUMIFS(Таблица1[9],Таблица1[2],$D57)+SUMIFS(Таблица1[19],Таблица1[2],$D57)</f>
        <v>0</v>
      </c>
      <c r="AG57" s="59">
        <f t="shared" si="9"/>
        <v>825.3</v>
      </c>
      <c r="AH57" s="59">
        <f t="shared" si="12"/>
        <v>825.3</v>
      </c>
      <c r="AI57" s="60">
        <f>293.4-AM57</f>
        <v>293.39999999999998</v>
      </c>
      <c r="AJ57" s="60">
        <f t="shared" si="1"/>
        <v>293.39999999999998</v>
      </c>
      <c r="AK57" s="60">
        <f>SUMIFS(Таблица1[10],Таблица1[2],$D57)</f>
        <v>0</v>
      </c>
      <c r="AL57" s="60">
        <f>SUMIFS(Таблица1[11],Таблица1[2],$D57)</f>
        <v>0</v>
      </c>
      <c r="AM57" s="251">
        <v>0</v>
      </c>
      <c r="AN57" s="249">
        <f t="shared" si="2"/>
        <v>0</v>
      </c>
      <c r="AO57" s="249">
        <f>SUMIFS(Таблица1[12],Таблица1[2],$D57)</f>
        <v>0</v>
      </c>
      <c r="AP57" s="249">
        <f>SUMIFS(Таблица1[13],Таблица1[2],$D57)</f>
        <v>0</v>
      </c>
      <c r="AQ57" s="61">
        <f>145.5</f>
        <v>145.5</v>
      </c>
      <c r="AR57" s="61">
        <f t="shared" si="3"/>
        <v>145.5</v>
      </c>
      <c r="AS57" s="60">
        <f>SUMIFS(Таблица1[14],Таблица1[2],$D57)</f>
        <v>0</v>
      </c>
      <c r="AT57" s="60">
        <f>SUMIFS(Таблица1[15],Таблица1[2],$D57)</f>
        <v>0</v>
      </c>
      <c r="AU57" s="61">
        <v>386.4</v>
      </c>
      <c r="AV57" s="61">
        <f t="shared" si="4"/>
        <v>386.4</v>
      </c>
      <c r="AW57" s="60">
        <f>SUMIFS(Таблица1[16],Таблица1[2],$D57)</f>
        <v>0</v>
      </c>
      <c r="AX57" s="60">
        <f>SUMIFS(Таблица1[17],Таблица1[2],$D57)</f>
        <v>0</v>
      </c>
      <c r="AY57" s="263"/>
      <c r="AZ57" s="264"/>
      <c r="BA57" s="296">
        <v>0</v>
      </c>
      <c r="BB57" s="296">
        <f t="shared" si="14"/>
        <v>0</v>
      </c>
      <c r="BC57" s="296">
        <v>0</v>
      </c>
      <c r="BD57" s="296">
        <v>0</v>
      </c>
      <c r="BE57" s="285"/>
      <c r="BF57" s="259">
        <v>1093</v>
      </c>
      <c r="BG57" s="260">
        <v>6387</v>
      </c>
      <c r="BH57" s="62" t="s">
        <v>936</v>
      </c>
      <c r="BI57" s="62" t="s">
        <v>935</v>
      </c>
      <c r="BJ57" s="62"/>
      <c r="BK57" s="267"/>
      <c r="BL57" s="267" t="s">
        <v>1649</v>
      </c>
      <c r="BM57" s="267"/>
      <c r="BN57" s="268"/>
      <c r="BO57" s="62">
        <v>28</v>
      </c>
      <c r="BP57" s="63">
        <v>32140</v>
      </c>
      <c r="BQ57" s="64" t="s">
        <v>1134</v>
      </c>
      <c r="BR57" s="372" t="s">
        <v>2747</v>
      </c>
      <c r="BS57" s="62"/>
      <c r="BT57" s="323"/>
      <c r="BU57" s="62"/>
      <c r="BV57" s="323"/>
      <c r="BW57" s="62"/>
      <c r="BX57" s="336">
        <v>27</v>
      </c>
      <c r="BY57" s="336"/>
    </row>
    <row r="58" spans="1:77" ht="13.15" customHeight="1" outlineLevel="1" x14ac:dyDescent="0.2">
      <c r="A58" s="50">
        <f t="shared" si="11"/>
        <v>53</v>
      </c>
      <c r="B58" s="51">
        <v>15</v>
      </c>
      <c r="C58" s="51">
        <v>16</v>
      </c>
      <c r="D58" s="18" t="s">
        <v>567</v>
      </c>
      <c r="E58" s="18">
        <v>12</v>
      </c>
      <c r="F58" s="18">
        <v>4</v>
      </c>
      <c r="G58" s="52">
        <v>1</v>
      </c>
      <c r="H58" s="237">
        <v>1</v>
      </c>
      <c r="I58" s="53">
        <v>1958</v>
      </c>
      <c r="J58" s="348">
        <v>5</v>
      </c>
      <c r="K58" s="346">
        <f t="shared" si="5"/>
        <v>6</v>
      </c>
      <c r="L58" s="346">
        <v>1</v>
      </c>
      <c r="M58" s="349">
        <v>2</v>
      </c>
      <c r="N58" s="255">
        <f t="shared" si="0"/>
        <v>3</v>
      </c>
      <c r="O58" s="310">
        <v>30</v>
      </c>
      <c r="P58" s="66">
        <v>0</v>
      </c>
      <c r="Q58" s="66"/>
      <c r="R58" s="66">
        <v>10</v>
      </c>
      <c r="S58" s="66">
        <v>10</v>
      </c>
      <c r="T58" s="66">
        <v>10</v>
      </c>
      <c r="U58" s="66">
        <v>0</v>
      </c>
      <c r="V58" s="66">
        <v>0</v>
      </c>
      <c r="W58" s="54">
        <v>0</v>
      </c>
      <c r="X58" s="55">
        <f>SUMIFS(Таблица3[Кол-во квартир],Таблица3[Адрес МКД],$D58)</f>
        <v>27</v>
      </c>
      <c r="Y58" s="56">
        <f t="shared" si="13"/>
        <v>2625.04</v>
      </c>
      <c r="Z58" s="253">
        <f>SUMIFS(Таблица3[Площадь жилая],Таблица3[Адрес МКД],$D58)</f>
        <v>1687.5</v>
      </c>
      <c r="AA58" s="261">
        <f>SUMIFS(Таблица3[Площадь нежилых помещений],Таблица3[Адрес МКД],$D58)</f>
        <v>0</v>
      </c>
      <c r="AB58" s="252">
        <f>SUMIFS(Таблица1[1],Таблица1[2],$D58)</f>
        <v>0</v>
      </c>
      <c r="AC58" s="57">
        <f t="shared" si="7"/>
        <v>0</v>
      </c>
      <c r="AD58" s="57">
        <f t="shared" si="8"/>
        <v>0</v>
      </c>
      <c r="AE58" s="58">
        <f>SUMIFS(Таблица1[8],Таблица1[2],$D58)+SUMIFS(Таблица1[18],Таблица1[2],$D58)</f>
        <v>0</v>
      </c>
      <c r="AF58" s="58">
        <f>SUMIFS(Таблица1[9],Таблица1[2],$D58)+SUMIFS(Таблица1[19],Таблица1[2],$D58)</f>
        <v>0</v>
      </c>
      <c r="AG58" s="59">
        <f t="shared" si="9"/>
        <v>937.54</v>
      </c>
      <c r="AH58" s="59">
        <f t="shared" si="12"/>
        <v>937.54</v>
      </c>
      <c r="AI58" s="60">
        <f>345.3-AM58</f>
        <v>345.3</v>
      </c>
      <c r="AJ58" s="60">
        <f t="shared" si="1"/>
        <v>345.3</v>
      </c>
      <c r="AK58" s="60">
        <f>SUMIFS(Таблица1[10],Таблица1[2],$D58)</f>
        <v>0</v>
      </c>
      <c r="AL58" s="60">
        <f>SUMIFS(Таблица1[11],Таблица1[2],$D58)</f>
        <v>0</v>
      </c>
      <c r="AM58" s="251">
        <v>0</v>
      </c>
      <c r="AN58" s="249">
        <f t="shared" si="2"/>
        <v>0</v>
      </c>
      <c r="AO58" s="249">
        <f>SUMIFS(Таблица1[12],Таблица1[2],$D58)</f>
        <v>0</v>
      </c>
      <c r="AP58" s="249">
        <f>SUMIFS(Таблица1[13],Таблица1[2],$D58)</f>
        <v>0</v>
      </c>
      <c r="AQ58" s="61">
        <f>182.8</f>
        <v>182.8</v>
      </c>
      <c r="AR58" s="61">
        <f t="shared" si="3"/>
        <v>182.8</v>
      </c>
      <c r="AS58" s="60">
        <f>SUMIFS(Таблица1[14],Таблица1[2],$D58)</f>
        <v>0</v>
      </c>
      <c r="AT58" s="60">
        <f>SUMIFS(Таблица1[15],Таблица1[2],$D58)</f>
        <v>0</v>
      </c>
      <c r="AU58" s="61">
        <v>409.44</v>
      </c>
      <c r="AV58" s="61">
        <f t="shared" si="4"/>
        <v>409.44</v>
      </c>
      <c r="AW58" s="60">
        <f>SUMIFS(Таблица1[16],Таблица1[2],$D58)</f>
        <v>0</v>
      </c>
      <c r="AX58" s="60">
        <f>SUMIFS(Таблица1[17],Таблица1[2],$D58)</f>
        <v>0</v>
      </c>
      <c r="AY58" s="263"/>
      <c r="AZ58" s="264"/>
      <c r="BA58" s="296">
        <v>0</v>
      </c>
      <c r="BB58" s="296">
        <f t="shared" si="14"/>
        <v>0</v>
      </c>
      <c r="BC58" s="296">
        <v>0</v>
      </c>
      <c r="BD58" s="296">
        <v>0</v>
      </c>
      <c r="BE58" s="285"/>
      <c r="BF58" s="259">
        <v>1256</v>
      </c>
      <c r="BG58" s="260">
        <v>7654</v>
      </c>
      <c r="BH58" s="62" t="s">
        <v>936</v>
      </c>
      <c r="BI58" s="62" t="s">
        <v>935</v>
      </c>
      <c r="BJ58" s="62"/>
      <c r="BK58" s="267"/>
      <c r="BL58" s="267"/>
      <c r="BM58" s="267" t="s">
        <v>1649</v>
      </c>
      <c r="BN58" s="268"/>
      <c r="BO58" s="62">
        <v>40</v>
      </c>
      <c r="BP58" s="63">
        <v>44082</v>
      </c>
      <c r="BQ58" s="64" t="s">
        <v>1131</v>
      </c>
      <c r="BR58" s="372" t="s">
        <v>2747</v>
      </c>
      <c r="BS58" s="62"/>
      <c r="BT58" s="323"/>
      <c r="BU58" s="62"/>
      <c r="BV58" s="323"/>
      <c r="BW58" s="62"/>
      <c r="BX58" s="336">
        <v>21</v>
      </c>
      <c r="BY58" s="336" t="s">
        <v>1649</v>
      </c>
    </row>
    <row r="59" spans="1:77" ht="13.15" customHeight="1" outlineLevel="1" x14ac:dyDescent="0.2">
      <c r="A59" s="50">
        <f t="shared" si="11"/>
        <v>54</v>
      </c>
      <c r="B59" s="51">
        <v>16</v>
      </c>
      <c r="C59" s="51">
        <v>17</v>
      </c>
      <c r="D59" s="18" t="s">
        <v>568</v>
      </c>
      <c r="E59" s="18">
        <v>12</v>
      </c>
      <c r="F59" s="18">
        <v>4</v>
      </c>
      <c r="G59" s="52">
        <v>1</v>
      </c>
      <c r="H59" s="237"/>
      <c r="I59" s="53">
        <v>1959</v>
      </c>
      <c r="J59" s="348">
        <v>4</v>
      </c>
      <c r="K59" s="346">
        <f t="shared" si="5"/>
        <v>5</v>
      </c>
      <c r="L59" s="346">
        <v>1</v>
      </c>
      <c r="M59" s="349">
        <v>3</v>
      </c>
      <c r="N59" s="255">
        <f t="shared" si="0"/>
        <v>0</v>
      </c>
      <c r="O59" s="310">
        <v>48</v>
      </c>
      <c r="P59" s="66">
        <v>4</v>
      </c>
      <c r="Q59" s="66"/>
      <c r="R59" s="66">
        <v>5</v>
      </c>
      <c r="S59" s="66">
        <v>36</v>
      </c>
      <c r="T59" s="66">
        <v>7</v>
      </c>
      <c r="U59" s="66">
        <v>0</v>
      </c>
      <c r="V59" s="66">
        <v>0</v>
      </c>
      <c r="W59" s="54">
        <v>0</v>
      </c>
      <c r="X59" s="55">
        <f>SUMIFS(Таблица3[Кол-во квартир],Таблица3[Адрес МКД],$D59)</f>
        <v>44</v>
      </c>
      <c r="Y59" s="56">
        <f t="shared" si="13"/>
        <v>3367.22</v>
      </c>
      <c r="Z59" s="253">
        <f>SUMIFS(Таблица3[Площадь жилая],Таблица3[Адрес МКД],$D59)</f>
        <v>1838.4</v>
      </c>
      <c r="AA59" s="261">
        <f>SUMIFS(Таблица3[Площадь нежилых помещений],Таблица3[Адрес МКД],$D59)</f>
        <v>462.3</v>
      </c>
      <c r="AB59" s="252">
        <f>SUMIFS(Таблица1[1],Таблица1[2],$D59)</f>
        <v>462.2999999999999</v>
      </c>
      <c r="AC59" s="57">
        <f t="shared" si="7"/>
        <v>462.3</v>
      </c>
      <c r="AD59" s="57">
        <f t="shared" si="8"/>
        <v>0</v>
      </c>
      <c r="AE59" s="58">
        <f>SUMIFS(Таблица1[8],Таблица1[2],$D59)+SUMIFS(Таблица1[18],Таблица1[2],$D59)</f>
        <v>260.60000000000002</v>
      </c>
      <c r="AF59" s="58">
        <f>SUMIFS(Таблица1[9],Таблица1[2],$D59)+SUMIFS(Таблица1[19],Таблица1[2],$D59)</f>
        <v>0</v>
      </c>
      <c r="AG59" s="59">
        <f t="shared" si="9"/>
        <v>1066.52</v>
      </c>
      <c r="AH59" s="59">
        <f t="shared" si="12"/>
        <v>1066.52</v>
      </c>
      <c r="AI59" s="60">
        <f>453.4-AM59</f>
        <v>453.4</v>
      </c>
      <c r="AJ59" s="60">
        <f t="shared" si="1"/>
        <v>251.7</v>
      </c>
      <c r="AK59" s="60">
        <f>SUMIFS(Таблица1[10],Таблица1[2],$D59)</f>
        <v>201.7</v>
      </c>
      <c r="AL59" s="60">
        <f>SUMIFS(Таблица1[11],Таблица1[2],$D59)</f>
        <v>0</v>
      </c>
      <c r="AM59" s="251">
        <v>0</v>
      </c>
      <c r="AN59" s="249">
        <f t="shared" si="2"/>
        <v>0</v>
      </c>
      <c r="AO59" s="249">
        <f>SUMIFS(Таблица1[12],Таблица1[2],$D59)</f>
        <v>0</v>
      </c>
      <c r="AP59" s="249">
        <f>SUMIFS(Таблица1[13],Таблица1[2],$D59)</f>
        <v>0</v>
      </c>
      <c r="AQ59" s="61">
        <f>179.4</f>
        <v>179.4</v>
      </c>
      <c r="AR59" s="61">
        <f t="shared" si="3"/>
        <v>179.4</v>
      </c>
      <c r="AS59" s="60">
        <f>SUMIFS(Таблица1[14],Таблица1[2],$D59)</f>
        <v>0</v>
      </c>
      <c r="AT59" s="60">
        <f>SUMIFS(Таблица1[15],Таблица1[2],$D59)</f>
        <v>0</v>
      </c>
      <c r="AU59" s="61">
        <v>635.41999999999996</v>
      </c>
      <c r="AV59" s="61">
        <f t="shared" si="4"/>
        <v>635.41999999999996</v>
      </c>
      <c r="AW59" s="60">
        <f>SUMIFS(Таблица1[16],Таблица1[2],$D59)</f>
        <v>0</v>
      </c>
      <c r="AX59" s="60">
        <f>SUMIFS(Таблица1[17],Таблица1[2],$D59)</f>
        <v>0</v>
      </c>
      <c r="AY59" s="263"/>
      <c r="AZ59" s="264"/>
      <c r="BA59" s="296">
        <v>0</v>
      </c>
      <c r="BB59" s="296">
        <f t="shared" si="14"/>
        <v>0</v>
      </c>
      <c r="BC59" s="296">
        <v>0</v>
      </c>
      <c r="BD59" s="296">
        <v>0</v>
      </c>
      <c r="BE59" s="285"/>
      <c r="BF59" s="259">
        <v>1948</v>
      </c>
      <c r="BG59" s="260">
        <v>8100</v>
      </c>
      <c r="BH59" s="62" t="s">
        <v>936</v>
      </c>
      <c r="BI59" s="62" t="s">
        <v>935</v>
      </c>
      <c r="BJ59" s="62"/>
      <c r="BK59" s="267"/>
      <c r="BL59" s="267" t="s">
        <v>1649</v>
      </c>
      <c r="BM59" s="267"/>
      <c r="BN59" s="268"/>
      <c r="BO59" s="62">
        <v>28</v>
      </c>
      <c r="BP59" s="63">
        <v>32157</v>
      </c>
      <c r="BQ59" s="64" t="s">
        <v>1134</v>
      </c>
      <c r="BR59" s="372" t="s">
        <v>2747</v>
      </c>
      <c r="BS59" s="62"/>
      <c r="BT59" s="323"/>
      <c r="BU59" s="62"/>
      <c r="BV59" s="323"/>
      <c r="BW59" s="62"/>
      <c r="BX59" s="336">
        <v>32</v>
      </c>
      <c r="BY59" s="336"/>
    </row>
    <row r="60" spans="1:77" ht="13.15" customHeight="1" outlineLevel="1" x14ac:dyDescent="0.2">
      <c r="A60" s="50">
        <f t="shared" si="11"/>
        <v>55</v>
      </c>
      <c r="B60" s="51">
        <v>17</v>
      </c>
      <c r="C60" s="51">
        <v>18</v>
      </c>
      <c r="D60" s="18" t="s">
        <v>569</v>
      </c>
      <c r="E60" s="18">
        <v>12</v>
      </c>
      <c r="F60" s="18">
        <v>4</v>
      </c>
      <c r="G60" s="52">
        <v>1</v>
      </c>
      <c r="H60" s="237">
        <v>1</v>
      </c>
      <c r="I60" s="53">
        <v>1958</v>
      </c>
      <c r="J60" s="348">
        <v>5</v>
      </c>
      <c r="K60" s="346">
        <f t="shared" si="5"/>
        <v>6</v>
      </c>
      <c r="L60" s="346">
        <v>1</v>
      </c>
      <c r="M60" s="349">
        <v>4</v>
      </c>
      <c r="N60" s="255">
        <f t="shared" si="0"/>
        <v>1</v>
      </c>
      <c r="O60" s="310">
        <v>60</v>
      </c>
      <c r="P60" s="66">
        <v>1</v>
      </c>
      <c r="Q60" s="66"/>
      <c r="R60" s="66">
        <v>10</v>
      </c>
      <c r="S60" s="66">
        <v>30</v>
      </c>
      <c r="T60" s="66">
        <v>15</v>
      </c>
      <c r="U60" s="66">
        <v>5</v>
      </c>
      <c r="V60" s="66">
        <v>0</v>
      </c>
      <c r="W60" s="54">
        <v>0</v>
      </c>
      <c r="X60" s="55">
        <f>SUMIFS(Таблица3[Кол-во квартир],Таблица3[Адрес МКД],$D60)</f>
        <v>58</v>
      </c>
      <c r="Y60" s="56">
        <f t="shared" si="13"/>
        <v>5888.8</v>
      </c>
      <c r="Z60" s="253">
        <f>SUMIFS(Таблица3[Площадь жилая],Таблица3[Адрес МКД],$D60)</f>
        <v>3667.5</v>
      </c>
      <c r="AA60" s="261">
        <f>SUMIFS(Таблица3[Площадь нежилых помещений],Таблица3[Адрес МКД],$D60)</f>
        <v>99.9</v>
      </c>
      <c r="AB60" s="252">
        <f>SUMIFS(Таблица1[1],Таблица1[2],$D60)</f>
        <v>99.9</v>
      </c>
      <c r="AC60" s="57">
        <f t="shared" si="7"/>
        <v>99.9</v>
      </c>
      <c r="AD60" s="57">
        <f t="shared" si="8"/>
        <v>0</v>
      </c>
      <c r="AE60" s="58">
        <f>SUMIFS(Таблица1[8],Таблица1[2],$D60)+SUMIFS(Таблица1[18],Таблица1[2],$D60)</f>
        <v>99.9</v>
      </c>
      <c r="AF60" s="58">
        <f>SUMIFS(Таблица1[9],Таблица1[2],$D60)+SUMIFS(Таблица1[19],Таблица1[2],$D60)</f>
        <v>0</v>
      </c>
      <c r="AG60" s="59">
        <f t="shared" si="9"/>
        <v>2121.4</v>
      </c>
      <c r="AH60" s="59">
        <f>AJ60+AL60+AR60+AT60+AV60+AX60+AZ60</f>
        <v>2121.4</v>
      </c>
      <c r="AI60" s="60">
        <f>790.9-AM60</f>
        <v>790.9</v>
      </c>
      <c r="AJ60" s="60">
        <f t="shared" si="1"/>
        <v>790.9</v>
      </c>
      <c r="AK60" s="60">
        <f>SUMIFS(Таблица1[10],Таблица1[2],$D60)</f>
        <v>0</v>
      </c>
      <c r="AL60" s="60">
        <f>SUMIFS(Таблица1[11],Таблица1[2],$D60)</f>
        <v>0</v>
      </c>
      <c r="AM60" s="251">
        <v>0</v>
      </c>
      <c r="AN60" s="249">
        <f t="shared" si="2"/>
        <v>0</v>
      </c>
      <c r="AO60" s="249">
        <f>SUMIFS(Таблица1[12],Таблица1[2],$D60)</f>
        <v>0</v>
      </c>
      <c r="AP60" s="249">
        <f>SUMIFS(Таблица1[13],Таблица1[2],$D60)</f>
        <v>0</v>
      </c>
      <c r="AQ60" s="61">
        <v>367.9</v>
      </c>
      <c r="AR60" s="61">
        <f t="shared" si="3"/>
        <v>367.9</v>
      </c>
      <c r="AS60" s="60">
        <f>SUMIFS(Таблица1[14],Таблица1[2],$D60)</f>
        <v>0</v>
      </c>
      <c r="AT60" s="60">
        <f>SUMIFS(Таблица1[15],Таблица1[2],$D60)</f>
        <v>0</v>
      </c>
      <c r="AU60" s="61">
        <v>938.5</v>
      </c>
      <c r="AV60" s="61">
        <f t="shared" si="4"/>
        <v>938.5</v>
      </c>
      <c r="AW60" s="60">
        <f>SUMIFS(Таблица1[16],Таблица1[2],$D60)</f>
        <v>0</v>
      </c>
      <c r="AX60" s="60">
        <f>SUMIFS(Таблица1[17],Таблица1[2],$D60)</f>
        <v>0</v>
      </c>
      <c r="AY60" s="263"/>
      <c r="AZ60" s="264">
        <v>24.1</v>
      </c>
      <c r="BA60" s="296">
        <v>0</v>
      </c>
      <c r="BB60" s="296">
        <f t="shared" si="14"/>
        <v>0</v>
      </c>
      <c r="BC60" s="296">
        <v>0</v>
      </c>
      <c r="BD60" s="296">
        <v>0</v>
      </c>
      <c r="BE60" s="285"/>
      <c r="BF60" s="259">
        <v>2677</v>
      </c>
      <c r="BG60" s="260">
        <v>17358</v>
      </c>
      <c r="BH60" s="62" t="s">
        <v>936</v>
      </c>
      <c r="BI60" s="62" t="s">
        <v>935</v>
      </c>
      <c r="BJ60" s="62"/>
      <c r="BK60" s="267"/>
      <c r="BL60" s="267"/>
      <c r="BM60" s="267" t="s">
        <v>1649</v>
      </c>
      <c r="BN60" s="268"/>
      <c r="BO60" s="62">
        <v>14</v>
      </c>
      <c r="BP60" s="63">
        <v>28696</v>
      </c>
      <c r="BQ60" s="64" t="s">
        <v>1131</v>
      </c>
      <c r="BR60" s="372" t="s">
        <v>2747</v>
      </c>
      <c r="BS60" s="62"/>
      <c r="BT60" s="323"/>
      <c r="BU60" s="62"/>
      <c r="BV60" s="323"/>
      <c r="BW60" s="62"/>
      <c r="BX60" s="338"/>
      <c r="BY60" s="336"/>
    </row>
    <row r="61" spans="1:77" ht="13.15" customHeight="1" outlineLevel="1" x14ac:dyDescent="0.2">
      <c r="A61" s="50">
        <f t="shared" si="11"/>
        <v>56</v>
      </c>
      <c r="B61" s="51">
        <v>18</v>
      </c>
      <c r="C61" s="51">
        <v>19</v>
      </c>
      <c r="D61" s="18" t="s">
        <v>570</v>
      </c>
      <c r="E61" s="18">
        <v>12</v>
      </c>
      <c r="F61" s="18">
        <v>4</v>
      </c>
      <c r="G61" s="52">
        <v>1</v>
      </c>
      <c r="H61" s="237"/>
      <c r="I61" s="53">
        <v>1959</v>
      </c>
      <c r="J61" s="348">
        <v>5</v>
      </c>
      <c r="K61" s="346">
        <f t="shared" si="5"/>
        <v>6</v>
      </c>
      <c r="L61" s="346">
        <v>1</v>
      </c>
      <c r="M61" s="349">
        <v>2</v>
      </c>
      <c r="N61" s="255">
        <f t="shared" si="0"/>
        <v>0</v>
      </c>
      <c r="O61" s="310">
        <v>40</v>
      </c>
      <c r="P61" s="66">
        <v>5</v>
      </c>
      <c r="Q61" s="66"/>
      <c r="R61" s="66">
        <v>10</v>
      </c>
      <c r="S61" s="66">
        <v>18</v>
      </c>
      <c r="T61" s="66">
        <v>12</v>
      </c>
      <c r="U61" s="66">
        <v>0</v>
      </c>
      <c r="V61" s="66">
        <v>0</v>
      </c>
      <c r="W61" s="54">
        <v>0</v>
      </c>
      <c r="X61" s="55">
        <f>SUMIFS(Таблица3[Кол-во квартир],Таблица3[Адрес МКД],$D61)</f>
        <v>35</v>
      </c>
      <c r="Y61" s="56">
        <f t="shared" si="13"/>
        <v>2503.4</v>
      </c>
      <c r="Z61" s="253">
        <f>SUMIFS(Таблица3[Площадь жилая],Таблица3[Адрес МКД],$D61)</f>
        <v>1467.4</v>
      </c>
      <c r="AA61" s="261">
        <f>SUMIFS(Таблица3[Площадь нежилых помещений],Таблица3[Адрес МКД],$D61)</f>
        <v>204</v>
      </c>
      <c r="AB61" s="252">
        <f>SUMIFS(Таблица1[1],Таблица1[2],$D61)</f>
        <v>204</v>
      </c>
      <c r="AC61" s="57">
        <f t="shared" si="7"/>
        <v>204</v>
      </c>
      <c r="AD61" s="57">
        <f t="shared" si="8"/>
        <v>0</v>
      </c>
      <c r="AE61" s="58">
        <f>SUMIFS(Таблица1[8],Таблица1[2],$D61)+SUMIFS(Таблица1[18],Таблица1[2],$D61)</f>
        <v>204</v>
      </c>
      <c r="AF61" s="58">
        <f>SUMIFS(Таблица1[9],Таблица1[2],$D61)+SUMIFS(Таблица1[19],Таблица1[2],$D61)</f>
        <v>0</v>
      </c>
      <c r="AG61" s="59">
        <f t="shared" si="9"/>
        <v>832</v>
      </c>
      <c r="AH61" s="59">
        <f t="shared" si="12"/>
        <v>832</v>
      </c>
      <c r="AI61" s="60">
        <f>302.6-AM61</f>
        <v>302.60000000000002</v>
      </c>
      <c r="AJ61" s="60">
        <f t="shared" si="1"/>
        <v>302.60000000000002</v>
      </c>
      <c r="AK61" s="60">
        <f>SUMIFS(Таблица1[10],Таблица1[2],$D61)</f>
        <v>0</v>
      </c>
      <c r="AL61" s="60">
        <f>SUMIFS(Таблица1[11],Таблица1[2],$D61)</f>
        <v>0</v>
      </c>
      <c r="AM61" s="251">
        <v>0</v>
      </c>
      <c r="AN61" s="249">
        <f t="shared" si="2"/>
        <v>0</v>
      </c>
      <c r="AO61" s="249">
        <f>SUMIFS(Таблица1[12],Таблица1[2],$D61)</f>
        <v>0</v>
      </c>
      <c r="AP61" s="249">
        <f>SUMIFS(Таблица1[13],Таблица1[2],$D61)</f>
        <v>0</v>
      </c>
      <c r="AQ61" s="61">
        <f>142.8</f>
        <v>142.80000000000001</v>
      </c>
      <c r="AR61" s="61">
        <f t="shared" si="3"/>
        <v>142.80000000000001</v>
      </c>
      <c r="AS61" s="60">
        <f>SUMIFS(Таблица1[14],Таблица1[2],$D61)</f>
        <v>0</v>
      </c>
      <c r="AT61" s="60">
        <f>SUMIFS(Таблица1[15],Таблица1[2],$D61)</f>
        <v>0</v>
      </c>
      <c r="AU61" s="61">
        <v>386.6</v>
      </c>
      <c r="AV61" s="61">
        <f t="shared" si="4"/>
        <v>386.6</v>
      </c>
      <c r="AW61" s="60">
        <f>SUMIFS(Таблица1[16],Таблица1[2],$D61)</f>
        <v>0</v>
      </c>
      <c r="AX61" s="60">
        <f>SUMIFS(Таблица1[17],Таблица1[2],$D61)</f>
        <v>0</v>
      </c>
      <c r="AY61" s="263"/>
      <c r="AZ61" s="264"/>
      <c r="BA61" s="296">
        <v>0</v>
      </c>
      <c r="BB61" s="296">
        <f t="shared" si="14"/>
        <v>0</v>
      </c>
      <c r="BC61" s="296">
        <v>0</v>
      </c>
      <c r="BD61" s="296">
        <v>0</v>
      </c>
      <c r="BE61" s="285"/>
      <c r="BF61" s="259">
        <v>1210</v>
      </c>
      <c r="BG61" s="260">
        <v>6917</v>
      </c>
      <c r="BH61" s="62" t="s">
        <v>936</v>
      </c>
      <c r="BI61" s="62" t="s">
        <v>935</v>
      </c>
      <c r="BJ61" s="62"/>
      <c r="BK61" s="267"/>
      <c r="BL61" s="267" t="s">
        <v>1649</v>
      </c>
      <c r="BM61" s="267"/>
      <c r="BN61" s="268"/>
      <c r="BO61" s="62">
        <v>25</v>
      </c>
      <c r="BP61" s="63">
        <v>32388</v>
      </c>
      <c r="BQ61" s="64" t="s">
        <v>1134</v>
      </c>
      <c r="BR61" s="372" t="s">
        <v>2747</v>
      </c>
      <c r="BS61" s="62"/>
      <c r="BT61" s="323"/>
      <c r="BU61" s="62"/>
      <c r="BV61" s="323"/>
      <c r="BW61" s="62"/>
      <c r="BX61" s="336">
        <v>21</v>
      </c>
      <c r="BY61" s="336"/>
    </row>
    <row r="62" spans="1:77" ht="13.15" customHeight="1" outlineLevel="1" x14ac:dyDescent="0.2">
      <c r="A62" s="50">
        <f t="shared" si="11"/>
        <v>57</v>
      </c>
      <c r="B62" s="51">
        <v>19</v>
      </c>
      <c r="C62" s="51">
        <v>20</v>
      </c>
      <c r="D62" s="18" t="s">
        <v>571</v>
      </c>
      <c r="E62" s="18">
        <v>12</v>
      </c>
      <c r="F62" s="18">
        <v>4</v>
      </c>
      <c r="G62" s="52">
        <v>1</v>
      </c>
      <c r="H62" s="237">
        <v>1</v>
      </c>
      <c r="I62" s="53">
        <v>1958</v>
      </c>
      <c r="J62" s="348">
        <v>5</v>
      </c>
      <c r="K62" s="346">
        <f t="shared" si="5"/>
        <v>6</v>
      </c>
      <c r="L62" s="346">
        <v>1</v>
      </c>
      <c r="M62" s="349">
        <v>4</v>
      </c>
      <c r="N62" s="255">
        <f t="shared" si="0"/>
        <v>0</v>
      </c>
      <c r="O62" s="310">
        <v>40</v>
      </c>
      <c r="P62" s="66">
        <v>8</v>
      </c>
      <c r="Q62" s="66"/>
      <c r="R62" s="66">
        <v>0</v>
      </c>
      <c r="S62" s="66">
        <v>20</v>
      </c>
      <c r="T62" s="66">
        <v>20</v>
      </c>
      <c r="U62" s="66">
        <v>0</v>
      </c>
      <c r="V62" s="66">
        <v>0</v>
      </c>
      <c r="W62" s="54">
        <v>0</v>
      </c>
      <c r="X62" s="55">
        <f>SUMIFS(Таблица3[Кол-во квартир],Таблица3[Адрес МКД],$D62)</f>
        <v>32</v>
      </c>
      <c r="Y62" s="56">
        <f>Z62+AB62+AG62+AM62</f>
        <v>4203.8999999999996</v>
      </c>
      <c r="Z62" s="253">
        <f>SUMIFS(Таблица3[Площадь жилая],Таблица3[Адрес МКД],$D62)</f>
        <v>2115.1999999999998</v>
      </c>
      <c r="AA62" s="261">
        <f>SUMIFS(Таблица3[Площадь нежилых помещений],Таблица3[Адрес МКД],$D62)</f>
        <v>512.70000000000005</v>
      </c>
      <c r="AB62" s="252">
        <f>SUMIFS(Таблица1[1],Таблица1[2],$D62)</f>
        <v>672.90000000000009</v>
      </c>
      <c r="AC62" s="57">
        <f t="shared" si="7"/>
        <v>599.30000000000007</v>
      </c>
      <c r="AD62" s="57">
        <f t="shared" si="8"/>
        <v>73.599999999999994</v>
      </c>
      <c r="AE62" s="58">
        <f>SUMIFS(Таблица1[8],Таблица1[2],$D62)+SUMIFS(Таблица1[18],Таблица1[2],$D62)</f>
        <v>512.70000000000005</v>
      </c>
      <c r="AF62" s="58">
        <f>SUMIFS(Таблица1[9],Таблица1[2],$D62)+SUMIFS(Таблица1[19],Таблица1[2],$D62)</f>
        <v>0</v>
      </c>
      <c r="AG62" s="59">
        <f t="shared" si="9"/>
        <v>1415.8</v>
      </c>
      <c r="AH62" s="59">
        <f t="shared" si="12"/>
        <v>1489.3999999999999</v>
      </c>
      <c r="AI62" s="60">
        <f>544.8-AM62</f>
        <v>544.79999999999995</v>
      </c>
      <c r="AJ62" s="60">
        <f>AI62-AK62-AL62</f>
        <v>384.59999999999991</v>
      </c>
      <c r="AK62" s="60">
        <f>SUMIFS(Таблица1[10],Таблица1[2],$D62)</f>
        <v>86.6</v>
      </c>
      <c r="AL62" s="60">
        <f>SUMIFS(Таблица1[11],Таблица1[2],$D62)</f>
        <v>73.599999999999994</v>
      </c>
      <c r="AM62" s="251">
        <v>0</v>
      </c>
      <c r="AN62" s="249">
        <f t="shared" si="2"/>
        <v>0</v>
      </c>
      <c r="AO62" s="249">
        <f>SUMIFS(Таблица1[12],Таблица1[2],$D62)</f>
        <v>0</v>
      </c>
      <c r="AP62" s="249">
        <f>SUMIFS(Таблица1[13],Таблица1[2],$D62)</f>
        <v>0</v>
      </c>
      <c r="AQ62" s="61">
        <f>375.7</f>
        <v>375.7</v>
      </c>
      <c r="AR62" s="61">
        <f t="shared" si="3"/>
        <v>375.7</v>
      </c>
      <c r="AS62" s="60">
        <f>SUMIFS(Таблица1[14],Таблица1[2],$D62)</f>
        <v>0</v>
      </c>
      <c r="AT62" s="60">
        <f>SUMIFS(Таблица1[15],Таблица1[2],$D62)</f>
        <v>0</v>
      </c>
      <c r="AU62" s="61">
        <v>655.5</v>
      </c>
      <c r="AV62" s="61">
        <f t="shared" si="4"/>
        <v>655.5</v>
      </c>
      <c r="AW62" s="60">
        <f>SUMIFS(Таблица1[16],Таблица1[2],$D62)</f>
        <v>0</v>
      </c>
      <c r="AX62" s="60">
        <f>SUMIFS(Таблица1[17],Таблица1[2],$D62)</f>
        <v>0</v>
      </c>
      <c r="AY62" s="263">
        <f>Нежилые!G337</f>
        <v>86.6</v>
      </c>
      <c r="AZ62" s="264"/>
      <c r="BA62" s="296">
        <v>0</v>
      </c>
      <c r="BB62" s="296">
        <f t="shared" si="14"/>
        <v>0</v>
      </c>
      <c r="BC62" s="296">
        <v>0</v>
      </c>
      <c r="BD62" s="296">
        <v>0</v>
      </c>
      <c r="BE62" s="285"/>
      <c r="BF62" s="259">
        <v>1977</v>
      </c>
      <c r="BG62" s="260">
        <v>7264</v>
      </c>
      <c r="BH62" s="62" t="s">
        <v>936</v>
      </c>
      <c r="BI62" s="62" t="s">
        <v>935</v>
      </c>
      <c r="BJ62" s="62"/>
      <c r="BK62" s="267"/>
      <c r="BL62" s="267"/>
      <c r="BM62" s="267" t="s">
        <v>1649</v>
      </c>
      <c r="BN62" s="268"/>
      <c r="BO62" s="62">
        <v>14</v>
      </c>
      <c r="BP62" s="63">
        <v>28727</v>
      </c>
      <c r="BQ62" s="64" t="s">
        <v>1131</v>
      </c>
      <c r="BR62" s="372" t="s">
        <v>2747</v>
      </c>
      <c r="BS62" s="62"/>
      <c r="BT62" s="323"/>
      <c r="BU62" s="62"/>
      <c r="BV62" s="323"/>
      <c r="BW62" s="62"/>
      <c r="BX62" s="336">
        <v>29</v>
      </c>
      <c r="BY62" s="336"/>
    </row>
    <row r="63" spans="1:77" ht="13.15" customHeight="1" outlineLevel="1" x14ac:dyDescent="0.2">
      <c r="A63" s="50">
        <f t="shared" si="11"/>
        <v>58</v>
      </c>
      <c r="B63" s="51">
        <v>20</v>
      </c>
      <c r="C63" s="51">
        <v>21</v>
      </c>
      <c r="D63" s="18" t="s">
        <v>572</v>
      </c>
      <c r="E63" s="18">
        <v>12</v>
      </c>
      <c r="F63" s="18">
        <v>4</v>
      </c>
      <c r="G63" s="52">
        <v>1</v>
      </c>
      <c r="H63" s="237">
        <v>1</v>
      </c>
      <c r="I63" s="53">
        <v>1959</v>
      </c>
      <c r="J63" s="348">
        <v>4</v>
      </c>
      <c r="K63" s="346">
        <f t="shared" si="5"/>
        <v>5</v>
      </c>
      <c r="L63" s="346">
        <v>1</v>
      </c>
      <c r="M63" s="349">
        <v>3</v>
      </c>
      <c r="N63" s="255">
        <f t="shared" si="0"/>
        <v>0</v>
      </c>
      <c r="O63" s="310">
        <v>48</v>
      </c>
      <c r="P63" s="66">
        <v>9</v>
      </c>
      <c r="Q63" s="66"/>
      <c r="R63" s="66">
        <v>5</v>
      </c>
      <c r="S63" s="66">
        <v>36</v>
      </c>
      <c r="T63" s="66">
        <v>7</v>
      </c>
      <c r="U63" s="66">
        <v>0</v>
      </c>
      <c r="V63" s="66">
        <v>0</v>
      </c>
      <c r="W63" s="54">
        <v>0</v>
      </c>
      <c r="X63" s="55">
        <f>SUMIFS(Таблица3[Кол-во квартир],Таблица3[Адрес МКД],$D63)</f>
        <v>39</v>
      </c>
      <c r="Y63" s="56">
        <f>Z63+AB63+AG63+AM63</f>
        <v>3300.16</v>
      </c>
      <c r="Z63" s="253">
        <f>SUMIFS(Таблица3[Площадь жилая],Таблица3[Адрес МКД],$D63)</f>
        <v>1651.8</v>
      </c>
      <c r="AA63" s="261">
        <f>SUMIFS(Таблица3[Площадь нежилых помещений],Таблица3[Адрес МКД],$D63)</f>
        <v>386.4</v>
      </c>
      <c r="AB63" s="252">
        <f>SUMIFS(Таблица1[1],Таблица1[2],$D63)</f>
        <v>446.9</v>
      </c>
      <c r="AC63" s="57">
        <f t="shared" si="7"/>
        <v>446.9</v>
      </c>
      <c r="AD63" s="57">
        <f t="shared" si="8"/>
        <v>0</v>
      </c>
      <c r="AE63" s="58">
        <f>SUMIFS(Таблица1[8],Таблица1[2],$D63)+SUMIFS(Таблица1[18],Таблица1[2],$D63)</f>
        <v>386.4</v>
      </c>
      <c r="AF63" s="58">
        <f>SUMIFS(Таблица1[9],Таблица1[2],$D63)+SUMIFS(Таблица1[19],Таблица1[2],$D63)</f>
        <v>0</v>
      </c>
      <c r="AG63" s="59">
        <f t="shared" si="9"/>
        <v>1201.46</v>
      </c>
      <c r="AH63" s="59">
        <f t="shared" si="12"/>
        <v>1201.46</v>
      </c>
      <c r="AI63" s="60">
        <f>480.9-AM63</f>
        <v>480.9</v>
      </c>
      <c r="AJ63" s="60">
        <f t="shared" si="1"/>
        <v>420.4</v>
      </c>
      <c r="AK63" s="60">
        <f>SUMIFS(Таблица1[10],Таблица1[2],$D63)</f>
        <v>60.5</v>
      </c>
      <c r="AL63" s="60">
        <f>SUMIFS(Таблица1[11],Таблица1[2],$D63)</f>
        <v>0</v>
      </c>
      <c r="AM63" s="251">
        <v>0</v>
      </c>
      <c r="AN63" s="249">
        <f t="shared" si="2"/>
        <v>0</v>
      </c>
      <c r="AO63" s="249">
        <f>SUMIFS(Таблица1[12],Таблица1[2],$D63)</f>
        <v>0</v>
      </c>
      <c r="AP63" s="249">
        <f>SUMIFS(Таблица1[13],Таблица1[2],$D63)</f>
        <v>0</v>
      </c>
      <c r="AQ63" s="61">
        <f>145.1</f>
        <v>145.1</v>
      </c>
      <c r="AR63" s="61">
        <f t="shared" si="3"/>
        <v>145.1</v>
      </c>
      <c r="AS63" s="60">
        <f>SUMIFS(Таблица1[14],Таблица1[2],$D63)</f>
        <v>0</v>
      </c>
      <c r="AT63" s="60">
        <f>SUMIFS(Таблица1[15],Таблица1[2],$D63)</f>
        <v>0</v>
      </c>
      <c r="AU63" s="61">
        <v>635.96</v>
      </c>
      <c r="AV63" s="61">
        <f t="shared" si="4"/>
        <v>635.96</v>
      </c>
      <c r="AW63" s="60">
        <f>SUMIFS(Таблица1[16],Таблица1[2],$D63)</f>
        <v>0</v>
      </c>
      <c r="AX63" s="60">
        <f>SUMIFS(Таблица1[17],Таблица1[2],$D63)</f>
        <v>0</v>
      </c>
      <c r="AY63" s="263">
        <f>Нежилые!G350</f>
        <v>60.5</v>
      </c>
      <c r="AZ63" s="264"/>
      <c r="BA63" s="296">
        <v>0</v>
      </c>
      <c r="BB63" s="296">
        <f t="shared" si="14"/>
        <v>0</v>
      </c>
      <c r="BC63" s="296">
        <v>0</v>
      </c>
      <c r="BD63" s="296">
        <v>0</v>
      </c>
      <c r="BE63" s="285"/>
      <c r="BF63" s="259">
        <v>1765</v>
      </c>
      <c r="BG63" s="260">
        <v>8342</v>
      </c>
      <c r="BH63" s="62" t="s">
        <v>936</v>
      </c>
      <c r="BI63" s="62" t="s">
        <v>935</v>
      </c>
      <c r="BJ63" s="62"/>
      <c r="BK63" s="267"/>
      <c r="BL63" s="267" t="s">
        <v>1649</v>
      </c>
      <c r="BM63" s="267"/>
      <c r="BN63" s="268"/>
      <c r="BO63" s="62">
        <v>28</v>
      </c>
      <c r="BP63" s="63">
        <v>32205</v>
      </c>
      <c r="BQ63" s="64" t="s">
        <v>1134</v>
      </c>
      <c r="BR63" s="372" t="s">
        <v>2747</v>
      </c>
      <c r="BS63" s="62"/>
      <c r="BT63" s="323"/>
      <c r="BU63" s="62"/>
      <c r="BV63" s="323"/>
      <c r="BW63" s="62"/>
      <c r="BX63" s="336">
        <v>32</v>
      </c>
      <c r="BY63" s="336"/>
    </row>
    <row r="64" spans="1:77" ht="13.15" customHeight="1" outlineLevel="1" x14ac:dyDescent="0.2">
      <c r="A64" s="50">
        <f t="shared" si="11"/>
        <v>59</v>
      </c>
      <c r="B64" s="51">
        <v>21</v>
      </c>
      <c r="C64" s="51">
        <v>22</v>
      </c>
      <c r="D64" s="18" t="s">
        <v>573</v>
      </c>
      <c r="E64" s="18">
        <v>12</v>
      </c>
      <c r="F64" s="18">
        <v>4</v>
      </c>
      <c r="G64" s="52">
        <v>1</v>
      </c>
      <c r="H64" s="237">
        <v>1</v>
      </c>
      <c r="I64" s="53">
        <v>1958</v>
      </c>
      <c r="J64" s="348">
        <v>5</v>
      </c>
      <c r="K64" s="346">
        <f t="shared" si="5"/>
        <v>6</v>
      </c>
      <c r="L64" s="346">
        <v>1</v>
      </c>
      <c r="M64" s="349">
        <v>4</v>
      </c>
      <c r="N64" s="255">
        <f t="shared" si="0"/>
        <v>0</v>
      </c>
      <c r="O64" s="310">
        <v>40</v>
      </c>
      <c r="P64" s="66">
        <v>8</v>
      </c>
      <c r="Q64" s="66"/>
      <c r="R64" s="66">
        <v>0</v>
      </c>
      <c r="S64" s="66">
        <v>20</v>
      </c>
      <c r="T64" s="66">
        <v>20</v>
      </c>
      <c r="U64" s="66">
        <v>0</v>
      </c>
      <c r="V64" s="66">
        <v>0</v>
      </c>
      <c r="W64" s="54">
        <v>0</v>
      </c>
      <c r="X64" s="55">
        <f>SUMIFS(Таблица3[Кол-во квартир],Таблица3[Адрес МКД],$D64)</f>
        <v>32</v>
      </c>
      <c r="Y64" s="56">
        <f t="shared" ref="Y64:Y77" si="15">Z64+AB64+AG64+AN64</f>
        <v>4218.58</v>
      </c>
      <c r="Z64" s="253">
        <f>SUMIFS(Таблица3[Площадь жилая],Таблица3[Адрес МКД],$D64)</f>
        <v>2123.1999999999998</v>
      </c>
      <c r="AA64" s="261">
        <f>SUMIFS(Таблица3[Площадь нежилых помещений],Таблица3[Адрес МКД],$D64)</f>
        <v>516.1</v>
      </c>
      <c r="AB64" s="252">
        <f>SUMIFS(Таблица1[1],Таблица1[2],$D64)</f>
        <v>516.09999999999991</v>
      </c>
      <c r="AC64" s="57">
        <f t="shared" si="7"/>
        <v>516.09999999999991</v>
      </c>
      <c r="AD64" s="57">
        <f t="shared" si="8"/>
        <v>0</v>
      </c>
      <c r="AE64" s="58">
        <f>SUMIFS(Таблица1[8],Таблица1[2],$D64)+SUMIFS(Таблица1[18],Таблица1[2],$D64)</f>
        <v>516.09999999999991</v>
      </c>
      <c r="AF64" s="58">
        <f>SUMIFS(Таблица1[9],Таблица1[2],$D64)+SUMIFS(Таблица1[19],Таблица1[2],$D64)</f>
        <v>0</v>
      </c>
      <c r="AG64" s="59">
        <f t="shared" si="9"/>
        <v>1579.28</v>
      </c>
      <c r="AH64" s="59">
        <f t="shared" si="12"/>
        <v>1579.28</v>
      </c>
      <c r="AI64" s="60">
        <f>551.5-AM64</f>
        <v>551.5</v>
      </c>
      <c r="AJ64" s="60">
        <f t="shared" si="1"/>
        <v>551.5</v>
      </c>
      <c r="AK64" s="60">
        <f>SUMIFS(Таблица1[10],Таблица1[2],$D64)</f>
        <v>0</v>
      </c>
      <c r="AL64" s="60">
        <f>SUMIFS(Таблица1[11],Таблица1[2],$D64)</f>
        <v>0</v>
      </c>
      <c r="AM64" s="251">
        <v>0</v>
      </c>
      <c r="AN64" s="249">
        <f t="shared" si="2"/>
        <v>0</v>
      </c>
      <c r="AO64" s="249">
        <f>SUMIFS(Таблица1[12],Таблица1[2],$D64)</f>
        <v>0</v>
      </c>
      <c r="AP64" s="249">
        <f>SUMIFS(Таблица1[13],Таблица1[2],$D64)</f>
        <v>0</v>
      </c>
      <c r="AQ64" s="61">
        <f>374.9</f>
        <v>374.9</v>
      </c>
      <c r="AR64" s="61">
        <f t="shared" si="3"/>
        <v>374.9</v>
      </c>
      <c r="AS64" s="60">
        <f>SUMIFS(Таблица1[14],Таблица1[2],$D64)</f>
        <v>0</v>
      </c>
      <c r="AT64" s="60">
        <f>SUMIFS(Таблица1[15],Таблица1[2],$D64)</f>
        <v>0</v>
      </c>
      <c r="AU64" s="61">
        <v>652.88</v>
      </c>
      <c r="AV64" s="61">
        <f t="shared" si="4"/>
        <v>652.88</v>
      </c>
      <c r="AW64" s="60">
        <f>SUMIFS(Таблица1[16],Таблица1[2],$D64)</f>
        <v>0</v>
      </c>
      <c r="AX64" s="60">
        <f>SUMIFS(Таблица1[17],Таблица1[2],$D64)</f>
        <v>0</v>
      </c>
      <c r="AY64" s="263"/>
      <c r="AZ64" s="264"/>
      <c r="BA64" s="296">
        <v>0</v>
      </c>
      <c r="BB64" s="296">
        <f t="shared" si="14"/>
        <v>0</v>
      </c>
      <c r="BC64" s="296">
        <v>0</v>
      </c>
      <c r="BD64" s="296">
        <v>0</v>
      </c>
      <c r="BE64" s="285"/>
      <c r="BF64" s="259">
        <v>1978</v>
      </c>
      <c r="BG64" s="260">
        <v>7238</v>
      </c>
      <c r="BH64" s="62" t="s">
        <v>936</v>
      </c>
      <c r="BI64" s="62" t="s">
        <v>935</v>
      </c>
      <c r="BJ64" s="62"/>
      <c r="BK64" s="267"/>
      <c r="BL64" s="267"/>
      <c r="BM64" s="267" t="s">
        <v>1649</v>
      </c>
      <c r="BN64" s="268"/>
      <c r="BO64" s="62">
        <v>14</v>
      </c>
      <c r="BP64" s="63">
        <v>28727</v>
      </c>
      <c r="BQ64" s="64" t="s">
        <v>1131</v>
      </c>
      <c r="BR64" s="372" t="s">
        <v>2747</v>
      </c>
      <c r="BS64" s="62"/>
      <c r="BT64" s="323"/>
      <c r="BU64" s="62"/>
      <c r="BV64" s="323"/>
      <c r="BW64" s="62"/>
      <c r="BX64" s="336">
        <v>28</v>
      </c>
      <c r="BY64" s="336"/>
    </row>
    <row r="65" spans="1:371" ht="13.15" customHeight="1" outlineLevel="1" x14ac:dyDescent="0.2">
      <c r="A65" s="50">
        <f t="shared" si="11"/>
        <v>60</v>
      </c>
      <c r="B65" s="51">
        <v>22</v>
      </c>
      <c r="C65" s="51">
        <v>23</v>
      </c>
      <c r="D65" s="18" t="s">
        <v>574</v>
      </c>
      <c r="E65" s="18">
        <v>12</v>
      </c>
      <c r="F65" s="18">
        <v>4</v>
      </c>
      <c r="G65" s="52">
        <v>1</v>
      </c>
      <c r="H65" s="237">
        <v>1</v>
      </c>
      <c r="I65" s="53">
        <v>1958</v>
      </c>
      <c r="J65" s="348">
        <v>5</v>
      </c>
      <c r="K65" s="346">
        <f t="shared" si="5"/>
        <v>6</v>
      </c>
      <c r="L65" s="346">
        <v>1</v>
      </c>
      <c r="M65" s="349">
        <v>4</v>
      </c>
      <c r="N65" s="255">
        <f t="shared" si="0"/>
        <v>1</v>
      </c>
      <c r="O65" s="310">
        <v>39</v>
      </c>
      <c r="P65" s="66">
        <v>2</v>
      </c>
      <c r="Q65" s="66"/>
      <c r="R65" s="66">
        <v>0</v>
      </c>
      <c r="S65" s="66">
        <v>18</v>
      </c>
      <c r="T65" s="66">
        <v>20</v>
      </c>
      <c r="U65" s="66">
        <v>1</v>
      </c>
      <c r="V65" s="66">
        <v>0</v>
      </c>
      <c r="W65" s="54">
        <v>0</v>
      </c>
      <c r="X65" s="55">
        <f>SUMIFS(Таблица3[Кол-во квартир],Таблица3[Адрес МКД],$D65)</f>
        <v>36</v>
      </c>
      <c r="Y65" s="56">
        <f t="shared" si="15"/>
        <v>4257.7800000000007</v>
      </c>
      <c r="Z65" s="253">
        <f>SUMIFS(Таблица3[Площадь жилая],Таблица3[Адрес МКД],$D65)</f>
        <v>2444.3000000000002</v>
      </c>
      <c r="AA65" s="261">
        <f>SUMIFS(Таблица3[Площадь нежилых помещений],Таблица3[Адрес МКД],$D65)</f>
        <v>187.44</v>
      </c>
      <c r="AB65" s="252">
        <f>SUMIFS(Таблица1[1],Таблица1[2],$D65)</f>
        <v>187.44</v>
      </c>
      <c r="AC65" s="57">
        <f t="shared" si="7"/>
        <v>187.44</v>
      </c>
      <c r="AD65" s="57">
        <f t="shared" si="8"/>
        <v>0</v>
      </c>
      <c r="AE65" s="58">
        <f>SUMIFS(Таблица1[8],Таблица1[2],$D65)+SUMIFS(Таблица1[18],Таблица1[2],$D65)</f>
        <v>170.2</v>
      </c>
      <c r="AF65" s="58">
        <f>SUMIFS(Таблица1[9],Таблица1[2],$D65)+SUMIFS(Таблица1[19],Таблица1[2],$D65)</f>
        <v>0</v>
      </c>
      <c r="AG65" s="59">
        <f t="shared" si="9"/>
        <v>1626.04</v>
      </c>
      <c r="AH65" s="59">
        <f t="shared" si="12"/>
        <v>1626.04</v>
      </c>
      <c r="AI65" s="60">
        <f>535.5-AM65</f>
        <v>535.5</v>
      </c>
      <c r="AJ65" s="60">
        <f t="shared" si="1"/>
        <v>535.5</v>
      </c>
      <c r="AK65" s="60">
        <f>SUMIFS(Таблица1[10],Таблица1[2],$D65)</f>
        <v>0</v>
      </c>
      <c r="AL65" s="60">
        <f>SUMIFS(Таблица1[11],Таблица1[2],$D65)</f>
        <v>0</v>
      </c>
      <c r="AM65" s="251">
        <v>0</v>
      </c>
      <c r="AN65" s="249">
        <f t="shared" si="2"/>
        <v>0</v>
      </c>
      <c r="AO65" s="249">
        <f>SUMIFS(Таблица1[12],Таблица1[2],$D65)</f>
        <v>0</v>
      </c>
      <c r="AP65" s="249">
        <f>SUMIFS(Таблица1[13],Таблица1[2],$D65)</f>
        <v>0</v>
      </c>
      <c r="AQ65" s="61">
        <v>370.4</v>
      </c>
      <c r="AR65" s="61">
        <f t="shared" si="3"/>
        <v>353.15999999999997</v>
      </c>
      <c r="AS65" s="60">
        <f>SUMIFS(Таблица1[14],Таблица1[2],$D65)</f>
        <v>17.239999999999998</v>
      </c>
      <c r="AT65" s="60">
        <f>SUMIFS(Таблица1[15],Таблица1[2],$D65)</f>
        <v>0</v>
      </c>
      <c r="AU65" s="61">
        <v>737.38</v>
      </c>
      <c r="AV65" s="61">
        <f t="shared" si="4"/>
        <v>737.38</v>
      </c>
      <c r="AW65" s="60">
        <f>SUMIFS(Таблица1[16],Таблица1[2],$D65)</f>
        <v>0</v>
      </c>
      <c r="AX65" s="60">
        <f>SUMIFS(Таблица1[17],Таблица1[2],$D65)</f>
        <v>0</v>
      </c>
      <c r="AY65" s="263"/>
      <c r="AZ65" s="264"/>
      <c r="BA65" s="296">
        <v>0</v>
      </c>
      <c r="BB65" s="296">
        <f t="shared" si="14"/>
        <v>0</v>
      </c>
      <c r="BC65" s="296">
        <v>0</v>
      </c>
      <c r="BD65" s="296">
        <v>0</v>
      </c>
      <c r="BE65" s="285"/>
      <c r="BF65" s="259">
        <v>1785</v>
      </c>
      <c r="BG65" s="260">
        <v>11572</v>
      </c>
      <c r="BH65" s="62" t="s">
        <v>936</v>
      </c>
      <c r="BI65" s="62" t="s">
        <v>935</v>
      </c>
      <c r="BJ65" s="62"/>
      <c r="BK65" s="267"/>
      <c r="BL65" s="267"/>
      <c r="BM65" s="267" t="s">
        <v>1649</v>
      </c>
      <c r="BN65" s="268"/>
      <c r="BO65" s="62">
        <v>14</v>
      </c>
      <c r="BP65" s="63">
        <v>28727</v>
      </c>
      <c r="BQ65" s="64" t="s">
        <v>1131</v>
      </c>
      <c r="BR65" s="372" t="s">
        <v>2747</v>
      </c>
      <c r="BS65" s="62"/>
      <c r="BT65" s="323"/>
      <c r="BU65" s="62"/>
      <c r="BV65" s="323"/>
      <c r="BW65" s="62"/>
      <c r="BX65" s="338"/>
      <c r="BY65" s="336"/>
    </row>
    <row r="66" spans="1:371" ht="13.15" customHeight="1" outlineLevel="1" x14ac:dyDescent="0.2">
      <c r="A66" s="50">
        <f t="shared" si="11"/>
        <v>61</v>
      </c>
      <c r="B66" s="51">
        <v>23</v>
      </c>
      <c r="C66" s="51">
        <v>24</v>
      </c>
      <c r="D66" s="18" t="s">
        <v>575</v>
      </c>
      <c r="E66" s="18">
        <v>12</v>
      </c>
      <c r="F66" s="18">
        <v>4</v>
      </c>
      <c r="G66" s="52">
        <v>1</v>
      </c>
      <c r="H66" s="237">
        <v>1</v>
      </c>
      <c r="I66" s="53">
        <v>1963</v>
      </c>
      <c r="J66" s="348">
        <v>5</v>
      </c>
      <c r="K66" s="346">
        <f t="shared" si="5"/>
        <v>6</v>
      </c>
      <c r="L66" s="346">
        <v>1</v>
      </c>
      <c r="M66" s="349">
        <v>2</v>
      </c>
      <c r="N66" s="255">
        <f t="shared" si="0"/>
        <v>0</v>
      </c>
      <c r="O66" s="310">
        <v>40</v>
      </c>
      <c r="P66" s="66">
        <v>10</v>
      </c>
      <c r="Q66" s="66"/>
      <c r="R66" s="66">
        <v>12</v>
      </c>
      <c r="S66" s="66">
        <v>26</v>
      </c>
      <c r="T66" s="66">
        <v>2</v>
      </c>
      <c r="U66" s="66">
        <v>0</v>
      </c>
      <c r="V66" s="66">
        <v>0</v>
      </c>
      <c r="W66" s="54">
        <v>0</v>
      </c>
      <c r="X66" s="55">
        <f>SUMIFS(Таблица3[Кол-во квартир],Таблица3[Адрес МКД],$D66)</f>
        <v>30</v>
      </c>
      <c r="Y66" s="56">
        <f t="shared" si="15"/>
        <v>2489.7200000000003</v>
      </c>
      <c r="Z66" s="253">
        <f>SUMIFS(Таблица3[Площадь жилая],Таблица3[Адрес МКД],$D66)</f>
        <v>1213.9000000000001</v>
      </c>
      <c r="AA66" s="261">
        <f>SUMIFS(Таблица3[Площадь нежилых помещений],Таблица3[Адрес МКД],$D66)</f>
        <v>538</v>
      </c>
      <c r="AB66" s="252">
        <f>SUMIFS(Таблица1[1],Таблица1[2],$D66)</f>
        <v>538</v>
      </c>
      <c r="AC66" s="57">
        <f t="shared" si="7"/>
        <v>538</v>
      </c>
      <c r="AD66" s="57">
        <f t="shared" si="8"/>
        <v>0</v>
      </c>
      <c r="AE66" s="58">
        <f>SUMIFS(Таблица1[8],Таблица1[2],$D66)+SUMIFS(Таблица1[18],Таблица1[2],$D66)</f>
        <v>423.40000000000003</v>
      </c>
      <c r="AF66" s="58">
        <f>SUMIFS(Таблица1[9],Таблица1[2],$D66)+SUMIFS(Таблица1[19],Таблица1[2],$D66)</f>
        <v>0</v>
      </c>
      <c r="AG66" s="59">
        <f t="shared" si="9"/>
        <v>737.81999999999994</v>
      </c>
      <c r="AH66" s="59">
        <f t="shared" si="12"/>
        <v>737.81999999999994</v>
      </c>
      <c r="AI66" s="60">
        <f>328.6-AM66</f>
        <v>328.6</v>
      </c>
      <c r="AJ66" s="60">
        <f t="shared" si="1"/>
        <v>214.00000000000003</v>
      </c>
      <c r="AK66" s="60">
        <f>SUMIFS(Таблица1[10],Таблица1[2],$D66)</f>
        <v>114.6</v>
      </c>
      <c r="AL66" s="60">
        <f>SUMIFS(Таблица1[11],Таблица1[2],$D66)</f>
        <v>0</v>
      </c>
      <c r="AM66" s="251">
        <v>0</v>
      </c>
      <c r="AN66" s="249">
        <f t="shared" si="2"/>
        <v>0</v>
      </c>
      <c r="AO66" s="249">
        <f>SUMIFS(Таблица1[12],Таблица1[2],$D66)</f>
        <v>0</v>
      </c>
      <c r="AP66" s="249">
        <f>SUMIFS(Таблица1[13],Таблица1[2],$D66)</f>
        <v>0</v>
      </c>
      <c r="AQ66" s="61">
        <f>146.5</f>
        <v>146.5</v>
      </c>
      <c r="AR66" s="61">
        <f t="shared" si="3"/>
        <v>146.5</v>
      </c>
      <c r="AS66" s="60">
        <f>SUMIFS(Таблица1[14],Таблица1[2],$D66)</f>
        <v>0</v>
      </c>
      <c r="AT66" s="60">
        <f>SUMIFS(Таблица1[15],Таблица1[2],$D66)</f>
        <v>0</v>
      </c>
      <c r="AU66" s="61">
        <v>377.32</v>
      </c>
      <c r="AV66" s="61">
        <f t="shared" si="4"/>
        <v>377.32</v>
      </c>
      <c r="AW66" s="60">
        <f>SUMIFS(Таблица1[16],Таблица1[2],$D66)</f>
        <v>0</v>
      </c>
      <c r="AX66" s="60">
        <f>SUMIFS(Таблица1[17],Таблица1[2],$D66)</f>
        <v>0</v>
      </c>
      <c r="AY66" s="263"/>
      <c r="AZ66" s="264"/>
      <c r="BA66" s="296">
        <v>0</v>
      </c>
      <c r="BB66" s="296">
        <f t="shared" si="14"/>
        <v>0</v>
      </c>
      <c r="BC66" s="296">
        <v>0</v>
      </c>
      <c r="BD66" s="296">
        <v>0</v>
      </c>
      <c r="BE66" s="285"/>
      <c r="BF66" s="259">
        <v>949</v>
      </c>
      <c r="BG66" s="260">
        <v>6002</v>
      </c>
      <c r="BH66" s="62" t="s">
        <v>943</v>
      </c>
      <c r="BI66" s="62" t="s">
        <v>935</v>
      </c>
      <c r="BJ66" s="62"/>
      <c r="BK66" s="267"/>
      <c r="BL66" s="267" t="s">
        <v>1649</v>
      </c>
      <c r="BM66" s="267"/>
      <c r="BN66" s="268"/>
      <c r="BO66" s="62">
        <v>28</v>
      </c>
      <c r="BP66" s="63">
        <v>32079</v>
      </c>
      <c r="BQ66" s="64" t="s">
        <v>1156</v>
      </c>
      <c r="BR66" s="372" t="s">
        <v>2747</v>
      </c>
      <c r="BS66" s="62"/>
      <c r="BT66" s="323"/>
      <c r="BU66" s="62"/>
      <c r="BV66" s="323"/>
      <c r="BW66" s="62"/>
      <c r="BX66" s="336">
        <v>25</v>
      </c>
      <c r="BY66" s="336"/>
    </row>
    <row r="67" spans="1:371" ht="13.15" customHeight="1" outlineLevel="1" x14ac:dyDescent="0.2">
      <c r="A67" s="50">
        <f t="shared" si="11"/>
        <v>62</v>
      </c>
      <c r="B67" s="51">
        <v>24</v>
      </c>
      <c r="C67" s="51">
        <v>25</v>
      </c>
      <c r="D67" s="18" t="s">
        <v>576</v>
      </c>
      <c r="E67" s="18">
        <v>12</v>
      </c>
      <c r="F67" s="18">
        <v>4</v>
      </c>
      <c r="G67" s="52">
        <v>2</v>
      </c>
      <c r="H67" s="237">
        <v>2</v>
      </c>
      <c r="I67" s="53">
        <v>1959</v>
      </c>
      <c r="J67" s="348">
        <v>5</v>
      </c>
      <c r="K67" s="346">
        <f t="shared" si="5"/>
        <v>6</v>
      </c>
      <c r="L67" s="346">
        <v>1</v>
      </c>
      <c r="M67" s="349">
        <v>6</v>
      </c>
      <c r="N67" s="255">
        <f t="shared" si="0"/>
        <v>1</v>
      </c>
      <c r="O67" s="310">
        <v>69</v>
      </c>
      <c r="P67" s="66">
        <v>12</v>
      </c>
      <c r="Q67" s="66"/>
      <c r="R67" s="66">
        <v>10</v>
      </c>
      <c r="S67" s="66">
        <v>28</v>
      </c>
      <c r="T67" s="66">
        <v>30</v>
      </c>
      <c r="U67" s="66">
        <v>1</v>
      </c>
      <c r="V67" s="66">
        <v>0</v>
      </c>
      <c r="W67" s="54">
        <v>0</v>
      </c>
      <c r="X67" s="55">
        <f>SUMIFS(Таблица3[Кол-во квартир],Таблица3[Адрес МКД],$D67)</f>
        <v>56</v>
      </c>
      <c r="Y67" s="56">
        <f t="shared" si="15"/>
        <v>6718.6</v>
      </c>
      <c r="Z67" s="253">
        <f>SUMIFS(Таблица3[Площадь жилая],Таблица3[Адрес МКД],$D67)</f>
        <v>3432.5</v>
      </c>
      <c r="AA67" s="261">
        <f>SUMIFS(Таблица3[Площадь нежилых помещений],Таблица3[Адрес МКД],$D67)</f>
        <v>879</v>
      </c>
      <c r="AB67" s="252">
        <f>SUMIFS(Таблица1[1],Таблица1[2],$D67)</f>
        <v>879.00000000000011</v>
      </c>
      <c r="AC67" s="57">
        <f t="shared" si="7"/>
        <v>879.00000000000011</v>
      </c>
      <c r="AD67" s="57">
        <f t="shared" si="8"/>
        <v>0</v>
      </c>
      <c r="AE67" s="58">
        <f>SUMIFS(Таблица1[8],Таблица1[2],$D67)+SUMIFS(Таблица1[18],Таблица1[2],$D67)</f>
        <v>794.70000000000016</v>
      </c>
      <c r="AF67" s="58">
        <f>SUMIFS(Таблица1[9],Таблица1[2],$D67)+SUMIFS(Таблица1[19],Таблица1[2],$D67)</f>
        <v>0</v>
      </c>
      <c r="AG67" s="59">
        <f t="shared" si="9"/>
        <v>2407.1</v>
      </c>
      <c r="AH67" s="59">
        <f t="shared" si="12"/>
        <v>2407.1</v>
      </c>
      <c r="AI67" s="60">
        <f>856.9-AM67</f>
        <v>856.9</v>
      </c>
      <c r="AJ67" s="60">
        <f t="shared" si="1"/>
        <v>772.6</v>
      </c>
      <c r="AK67" s="60">
        <f>SUMIFS(Таблица1[10],Таблица1[2],$D67)</f>
        <v>84.3</v>
      </c>
      <c r="AL67" s="60">
        <f>SUMIFS(Таблица1[11],Таблица1[2],$D67)</f>
        <v>0</v>
      </c>
      <c r="AM67" s="251">
        <v>0</v>
      </c>
      <c r="AN67" s="249">
        <f t="shared" si="2"/>
        <v>0</v>
      </c>
      <c r="AO67" s="249">
        <f>SUMIFS(Таблица1[12],Таблица1[2],$D67)</f>
        <v>0</v>
      </c>
      <c r="AP67" s="249">
        <f>SUMIFS(Таблица1[13],Таблица1[2],$D67)</f>
        <v>0</v>
      </c>
      <c r="AQ67" s="61">
        <f>553.5</f>
        <v>553.5</v>
      </c>
      <c r="AR67" s="61">
        <f t="shared" si="3"/>
        <v>553.5</v>
      </c>
      <c r="AS67" s="60">
        <f>SUMIFS(Таблица1[14],Таблица1[2],$D67)</f>
        <v>0</v>
      </c>
      <c r="AT67" s="60">
        <f>SUMIFS(Таблица1[15],Таблица1[2],$D67)</f>
        <v>0</v>
      </c>
      <c r="AU67" s="61">
        <v>1081</v>
      </c>
      <c r="AV67" s="61">
        <f t="shared" si="4"/>
        <v>1081</v>
      </c>
      <c r="AW67" s="60">
        <f>SUMIFS(Таблица1[16],Таблица1[2],$D67)</f>
        <v>0</v>
      </c>
      <c r="AX67" s="60">
        <f>SUMIFS(Таблица1[17],Таблица1[2],$D67)</f>
        <v>0</v>
      </c>
      <c r="AY67" s="263">
        <f>Нежилые!G374</f>
        <v>84.3</v>
      </c>
      <c r="AZ67" s="264"/>
      <c r="BA67" s="296">
        <v>0</v>
      </c>
      <c r="BB67" s="296">
        <f t="shared" si="14"/>
        <v>0</v>
      </c>
      <c r="BC67" s="296">
        <v>0</v>
      </c>
      <c r="BD67" s="296">
        <v>0</v>
      </c>
      <c r="BE67" s="285"/>
      <c r="BF67" s="259">
        <v>2948</v>
      </c>
      <c r="BG67" s="260">
        <v>19102</v>
      </c>
      <c r="BH67" s="62" t="s">
        <v>936</v>
      </c>
      <c r="BI67" s="62" t="s">
        <v>935</v>
      </c>
      <c r="BJ67" s="62"/>
      <c r="BK67" s="267"/>
      <c r="BL67" s="267"/>
      <c r="BM67" s="267" t="s">
        <v>1649</v>
      </c>
      <c r="BN67" s="268"/>
      <c r="BO67" s="62">
        <v>14</v>
      </c>
      <c r="BP67" s="63">
        <v>28697</v>
      </c>
      <c r="BQ67" s="64" t="s">
        <v>1131</v>
      </c>
      <c r="BR67" s="372" t="s">
        <v>2747</v>
      </c>
      <c r="BS67" s="62"/>
      <c r="BT67" s="323"/>
      <c r="BU67" s="62"/>
      <c r="BV67" s="323"/>
      <c r="BW67" s="62"/>
      <c r="BX67" s="336">
        <v>49</v>
      </c>
      <c r="BY67" s="336" t="s">
        <v>1649</v>
      </c>
    </row>
    <row r="68" spans="1:371" ht="13.15" customHeight="1" outlineLevel="1" x14ac:dyDescent="0.2">
      <c r="A68" s="50">
        <f t="shared" si="11"/>
        <v>63</v>
      </c>
      <c r="B68" s="51">
        <v>25</v>
      </c>
      <c r="C68" s="51">
        <v>26</v>
      </c>
      <c r="D68" s="18" t="s">
        <v>577</v>
      </c>
      <c r="E68" s="18">
        <v>12</v>
      </c>
      <c r="F68" s="18">
        <v>4</v>
      </c>
      <c r="G68" s="52">
        <v>2</v>
      </c>
      <c r="H68" s="237">
        <v>2</v>
      </c>
      <c r="I68" s="53">
        <v>1958</v>
      </c>
      <c r="J68" s="348">
        <v>5</v>
      </c>
      <c r="K68" s="346">
        <f t="shared" si="5"/>
        <v>6</v>
      </c>
      <c r="L68" s="346">
        <v>1</v>
      </c>
      <c r="M68" s="349">
        <v>8</v>
      </c>
      <c r="N68" s="255">
        <f t="shared" si="0"/>
        <v>-1</v>
      </c>
      <c r="O68" s="310">
        <v>97</v>
      </c>
      <c r="P68" s="66">
        <v>1</v>
      </c>
      <c r="Q68" s="66"/>
      <c r="R68" s="66">
        <v>9</v>
      </c>
      <c r="S68" s="66">
        <v>48</v>
      </c>
      <c r="T68" s="66">
        <v>34</v>
      </c>
      <c r="U68" s="66">
        <v>6</v>
      </c>
      <c r="V68" s="66">
        <v>0</v>
      </c>
      <c r="W68" s="54">
        <v>0</v>
      </c>
      <c r="X68" s="55">
        <f>SUMIFS(Таблица3[Кол-во квартир],Таблица3[Адрес МКД],$D68)</f>
        <v>97</v>
      </c>
      <c r="Y68" s="56">
        <f t="shared" si="15"/>
        <v>9826.2999999999993</v>
      </c>
      <c r="Z68" s="253">
        <f>SUMIFS(Таблица3[Площадь жилая],Таблица3[Адрес МКД],$D68)</f>
        <v>6185.16</v>
      </c>
      <c r="AA68" s="261">
        <f>SUMIFS(Таблица3[Площадь нежилых помещений],Таблица3[Адрес МКД],$D68)</f>
        <v>91.8</v>
      </c>
      <c r="AB68" s="252">
        <f>SUMIFS(Таблица1[1],Таблица1[2],$D68)</f>
        <v>149.80000000000001</v>
      </c>
      <c r="AC68" s="57">
        <f t="shared" si="7"/>
        <v>91.8</v>
      </c>
      <c r="AD68" s="57">
        <f t="shared" si="8"/>
        <v>58</v>
      </c>
      <c r="AE68" s="58">
        <f>SUMIFS(Таблица1[8],Таблица1[2],$D68)+SUMIFS(Таблица1[18],Таблица1[2],$D68)</f>
        <v>91.8</v>
      </c>
      <c r="AF68" s="58">
        <f>SUMIFS(Таблица1[9],Таблица1[2],$D68)+SUMIFS(Таблица1[19],Таблица1[2],$D68)</f>
        <v>0</v>
      </c>
      <c r="AG68" s="59">
        <f t="shared" si="9"/>
        <v>3491.34</v>
      </c>
      <c r="AH68" s="59">
        <f t="shared" si="12"/>
        <v>3549.34</v>
      </c>
      <c r="AI68" s="60">
        <f>1224.4-AM68</f>
        <v>1224.4000000000001</v>
      </c>
      <c r="AJ68" s="60">
        <f t="shared" si="1"/>
        <v>1166.4000000000001</v>
      </c>
      <c r="AK68" s="60">
        <f>SUMIFS(Таблица1[10],Таблица1[2],$D68)</f>
        <v>0</v>
      </c>
      <c r="AL68" s="60">
        <f>SUMIFS(Таблица1[11],Таблица1[2],$D68)</f>
        <v>58</v>
      </c>
      <c r="AM68" s="251">
        <v>0</v>
      </c>
      <c r="AN68" s="249">
        <f t="shared" si="2"/>
        <v>0</v>
      </c>
      <c r="AO68" s="249">
        <f>SUMIFS(Таблица1[12],Таблица1[2],$D68)</f>
        <v>0</v>
      </c>
      <c r="AP68" s="249">
        <f>SUMIFS(Таблица1[13],Таблица1[2],$D68)</f>
        <v>0</v>
      </c>
      <c r="AQ68" s="61">
        <f>742.1</f>
        <v>742.1</v>
      </c>
      <c r="AR68" s="61">
        <f t="shared" si="3"/>
        <v>742.1</v>
      </c>
      <c r="AS68" s="60">
        <f>SUMIFS(Таблица1[14],Таблица1[2],$D68)</f>
        <v>0</v>
      </c>
      <c r="AT68" s="60">
        <f>SUMIFS(Таблица1[15],Таблица1[2],$D68)</f>
        <v>0</v>
      </c>
      <c r="AU68" s="61">
        <v>1582.84</v>
      </c>
      <c r="AV68" s="61">
        <f t="shared" si="4"/>
        <v>1582.84</v>
      </c>
      <c r="AW68" s="60">
        <f>SUMIFS(Таблица1[16],Таблица1[2],$D68)</f>
        <v>0</v>
      </c>
      <c r="AX68" s="60">
        <f>SUMIFS(Таблица1[17],Таблица1[2],$D68)</f>
        <v>0</v>
      </c>
      <c r="AY68" s="263"/>
      <c r="AZ68" s="264"/>
      <c r="BA68" s="296">
        <v>0</v>
      </c>
      <c r="BB68" s="296">
        <f t="shared" si="14"/>
        <v>0</v>
      </c>
      <c r="BC68" s="296">
        <v>0</v>
      </c>
      <c r="BD68" s="296">
        <v>0</v>
      </c>
      <c r="BE68" s="285"/>
      <c r="BF68" s="259">
        <v>4839</v>
      </c>
      <c r="BG68" s="260">
        <v>28933</v>
      </c>
      <c r="BH68" s="62" t="s">
        <v>936</v>
      </c>
      <c r="BI68" s="62" t="s">
        <v>935</v>
      </c>
      <c r="BJ68" s="62"/>
      <c r="BK68" s="267"/>
      <c r="BL68" s="267"/>
      <c r="BM68" s="267" t="s">
        <v>1649</v>
      </c>
      <c r="BN68" s="268"/>
      <c r="BO68" s="62">
        <v>50</v>
      </c>
      <c r="BP68" s="63">
        <v>41205</v>
      </c>
      <c r="BQ68" s="64" t="s">
        <v>1131</v>
      </c>
      <c r="BR68" s="372" t="s">
        <v>2747</v>
      </c>
      <c r="BS68" s="62"/>
      <c r="BT68" s="323"/>
      <c r="BU68" s="62"/>
      <c r="BV68" s="323"/>
      <c r="BW68" s="62"/>
      <c r="BX68" s="336">
        <v>66</v>
      </c>
      <c r="BY68" s="336"/>
    </row>
    <row r="69" spans="1:371" s="288" customFormat="1" ht="13.15" hidden="1" customHeight="1" outlineLevel="1" x14ac:dyDescent="0.2">
      <c r="A69" s="50">
        <f t="shared" si="11"/>
        <v>64</v>
      </c>
      <c r="B69" s="51">
        <v>26</v>
      </c>
      <c r="C69" s="51">
        <v>27</v>
      </c>
      <c r="D69" s="18" t="s">
        <v>578</v>
      </c>
      <c r="E69" s="18">
        <v>12</v>
      </c>
      <c r="F69" s="18">
        <v>4</v>
      </c>
      <c r="G69" s="52">
        <v>1</v>
      </c>
      <c r="H69" s="237">
        <v>1</v>
      </c>
      <c r="I69" s="53">
        <v>1963</v>
      </c>
      <c r="J69" s="348">
        <v>5</v>
      </c>
      <c r="K69" s="346">
        <f t="shared" si="5"/>
        <v>6</v>
      </c>
      <c r="L69" s="346">
        <v>1</v>
      </c>
      <c r="M69" s="349">
        <v>3</v>
      </c>
      <c r="N69" s="307">
        <f t="shared" si="0"/>
        <v>0</v>
      </c>
      <c r="O69" s="311">
        <v>141</v>
      </c>
      <c r="P69" s="308">
        <v>13</v>
      </c>
      <c r="Q69" s="308"/>
      <c r="R69" s="308">
        <v>112</v>
      </c>
      <c r="S69" s="308">
        <v>29</v>
      </c>
      <c r="T69" s="308">
        <v>0</v>
      </c>
      <c r="U69" s="308">
        <v>0</v>
      </c>
      <c r="V69" s="308">
        <v>0</v>
      </c>
      <c r="W69" s="54">
        <v>0</v>
      </c>
      <c r="X69" s="55">
        <f>SUMIFS(Таблица3[Кол-во квартир],Таблица3[Адрес МКД],$D69)</f>
        <v>128</v>
      </c>
      <c r="Y69" s="56">
        <f t="shared" si="15"/>
        <v>4462.6899999999996</v>
      </c>
      <c r="Z69" s="253">
        <f>SUMIFS(Таблица3[Площадь жилая],Таблица3[Адрес МКД],$D69)</f>
        <v>2640.7099999999996</v>
      </c>
      <c r="AA69" s="286">
        <f>SUMIFS(Таблица3[Площадь нежилых помещений],Таблица3[Адрес МКД],$D69)</f>
        <v>425.1</v>
      </c>
      <c r="AB69" s="252">
        <f>SUMIFS(Таблица1[1],Таблица1[2],$D69)</f>
        <v>425.3</v>
      </c>
      <c r="AC69" s="57">
        <f t="shared" si="7"/>
        <v>425.3</v>
      </c>
      <c r="AD69" s="57">
        <f t="shared" si="8"/>
        <v>0</v>
      </c>
      <c r="AE69" s="58">
        <f>SUMIFS(Таблица1[8],Таблица1[2],$D69)+SUMIFS(Таблица1[18],Таблица1[2],$D69)</f>
        <v>425.3</v>
      </c>
      <c r="AF69" s="58">
        <f>SUMIFS(Таблица1[9],Таблица1[2],$D69)+SUMIFS(Таблица1[19],Таблица1[2],$D69)</f>
        <v>0</v>
      </c>
      <c r="AG69" s="59">
        <f t="shared" si="9"/>
        <v>1396.6799999999998</v>
      </c>
      <c r="AH69" s="59">
        <f>AJ69+AL69+AR69+AT69+AV69+AX69+AZ69</f>
        <v>1396.6799999999998</v>
      </c>
      <c r="AI69" s="60">
        <f>119.4-AM69</f>
        <v>119.4</v>
      </c>
      <c r="AJ69" s="60">
        <f t="shared" ref="AJ69:AJ131" si="16">AI69-AK69-AL69</f>
        <v>119.4</v>
      </c>
      <c r="AK69" s="60">
        <f>SUMIFS(Таблица1[10],Таблица1[2],$D69)</f>
        <v>0</v>
      </c>
      <c r="AL69" s="60">
        <f>SUMIFS(Таблица1[11],Таблица1[2],$D69)</f>
        <v>0</v>
      </c>
      <c r="AM69" s="304">
        <v>0</v>
      </c>
      <c r="AN69" s="303">
        <f t="shared" ref="AN69:AN131" si="17">AM69-AO69-AP69</f>
        <v>0</v>
      </c>
      <c r="AO69" s="303">
        <f>SUMIFS(Таблица1[12],Таблица1[2],$D69)</f>
        <v>0</v>
      </c>
      <c r="AP69" s="303">
        <f>SUMIFS(Таблица1[13],Таблица1[2],$D69)</f>
        <v>0</v>
      </c>
      <c r="AQ69" s="305">
        <v>202.6</v>
      </c>
      <c r="AR69" s="61">
        <f t="shared" ref="AR69:AR131" si="18">AQ69-AS69-AT69</f>
        <v>202.6</v>
      </c>
      <c r="AS69" s="60">
        <f>SUMIFS(Таблица1[14],Таблица1[2],$D69)</f>
        <v>0</v>
      </c>
      <c r="AT69" s="60">
        <f>SUMIFS(Таблица1[15],Таблица1[2],$D69)</f>
        <v>0</v>
      </c>
      <c r="AU69" s="61">
        <v>800.18</v>
      </c>
      <c r="AV69" s="61">
        <f t="shared" ref="AV69:AV131" si="19">AU69-AW69-AX69</f>
        <v>800.18</v>
      </c>
      <c r="AW69" s="60">
        <f>SUMIFS(Таблица1[16],Таблица1[2],$D69)</f>
        <v>0</v>
      </c>
      <c r="AX69" s="60">
        <f>SUMIFS(Таблица1[17],Таблица1[2],$D69)</f>
        <v>0</v>
      </c>
      <c r="AY69" s="263"/>
      <c r="AZ69" s="306">
        <f>315.7-7.8-33.4</f>
        <v>274.5</v>
      </c>
      <c r="BA69" s="296">
        <v>0</v>
      </c>
      <c r="BB69" s="296">
        <f t="shared" si="14"/>
        <v>0</v>
      </c>
      <c r="BC69" s="296">
        <v>0</v>
      </c>
      <c r="BD69" s="296">
        <v>0</v>
      </c>
      <c r="BE69" s="285"/>
      <c r="BF69" s="259">
        <v>2192</v>
      </c>
      <c r="BG69" s="260">
        <v>12473</v>
      </c>
      <c r="BH69" s="62" t="s">
        <v>939</v>
      </c>
      <c r="BI69" s="62" t="s">
        <v>935</v>
      </c>
      <c r="BJ69" s="62"/>
      <c r="BK69" s="287" t="s">
        <v>1649</v>
      </c>
      <c r="BL69" s="287"/>
      <c r="BM69" s="287"/>
      <c r="BN69" s="268"/>
      <c r="BO69" s="62">
        <v>30</v>
      </c>
      <c r="BP69" s="63">
        <v>32079</v>
      </c>
      <c r="BQ69" s="64" t="s">
        <v>1150</v>
      </c>
      <c r="BR69" s="372" t="s">
        <v>2747</v>
      </c>
      <c r="BS69" s="62"/>
      <c r="BT69" s="323"/>
      <c r="BU69" s="62"/>
      <c r="BV69" s="323"/>
      <c r="BW69" s="62"/>
      <c r="BX69" s="336">
        <v>34</v>
      </c>
      <c r="BY69" s="336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8"/>
      <c r="LE69" s="8"/>
      <c r="LF69" s="8"/>
      <c r="LG69" s="8"/>
      <c r="LH69" s="8"/>
      <c r="LI69" s="8"/>
      <c r="LJ69" s="8"/>
      <c r="LK69" s="8"/>
      <c r="LL69" s="8"/>
      <c r="LM69" s="8"/>
      <c r="LN69" s="8"/>
      <c r="LO69" s="8"/>
      <c r="LP69" s="8"/>
      <c r="LQ69" s="8"/>
      <c r="LR69" s="8"/>
      <c r="LS69" s="8"/>
      <c r="LT69" s="8"/>
      <c r="LU69" s="8"/>
      <c r="LV69" s="8"/>
      <c r="LW69" s="8"/>
      <c r="LX69" s="8"/>
      <c r="LY69" s="8"/>
      <c r="LZ69" s="8"/>
      <c r="MA69" s="8"/>
      <c r="MB69" s="8"/>
      <c r="MC69" s="8"/>
      <c r="MD69" s="8"/>
      <c r="ME69" s="8"/>
      <c r="MF69" s="8"/>
      <c r="MG69" s="8"/>
      <c r="MH69" s="8"/>
      <c r="MI69" s="8"/>
      <c r="MJ69" s="8"/>
      <c r="MK69" s="8"/>
      <c r="ML69" s="8"/>
      <c r="MM69" s="8"/>
      <c r="MN69" s="8"/>
      <c r="MO69" s="8"/>
      <c r="MP69" s="8"/>
      <c r="MQ69" s="8"/>
      <c r="MR69" s="8"/>
      <c r="MS69" s="8"/>
      <c r="MT69" s="8"/>
      <c r="MU69" s="8"/>
      <c r="MV69" s="8"/>
      <c r="MW69" s="8"/>
      <c r="MX69" s="8"/>
      <c r="MY69" s="8"/>
      <c r="MZ69" s="8"/>
      <c r="NA69" s="8"/>
      <c r="NB69" s="8"/>
      <c r="NC69" s="8"/>
      <c r="ND69" s="8"/>
      <c r="NE69" s="8"/>
      <c r="NF69" s="8"/>
      <c r="NG69" s="8"/>
    </row>
    <row r="70" spans="1:371" ht="13.15" customHeight="1" outlineLevel="1" x14ac:dyDescent="0.2">
      <c r="A70" s="50">
        <f t="shared" si="11"/>
        <v>65</v>
      </c>
      <c r="B70" s="51">
        <v>27</v>
      </c>
      <c r="C70" s="51">
        <v>28</v>
      </c>
      <c r="D70" s="18" t="s">
        <v>579</v>
      </c>
      <c r="E70" s="18">
        <v>12</v>
      </c>
      <c r="F70" s="18">
        <v>4</v>
      </c>
      <c r="G70" s="52">
        <v>2</v>
      </c>
      <c r="H70" s="237">
        <v>2</v>
      </c>
      <c r="I70" s="53">
        <v>1963</v>
      </c>
      <c r="J70" s="348">
        <v>5</v>
      </c>
      <c r="K70" s="346">
        <f t="shared" si="5"/>
        <v>6</v>
      </c>
      <c r="L70" s="346">
        <v>1</v>
      </c>
      <c r="M70" s="349">
        <v>6</v>
      </c>
      <c r="N70" s="255">
        <f t="shared" ref="N70:N133" si="20">O70-P70-X70-Q70</f>
        <v>0</v>
      </c>
      <c r="O70" s="310">
        <v>82</v>
      </c>
      <c r="P70" s="66">
        <v>0</v>
      </c>
      <c r="Q70" s="66"/>
      <c r="R70" s="66">
        <v>19</v>
      </c>
      <c r="S70" s="66">
        <v>34</v>
      </c>
      <c r="T70" s="66">
        <v>25</v>
      </c>
      <c r="U70" s="66">
        <v>4</v>
      </c>
      <c r="V70" s="66">
        <v>0</v>
      </c>
      <c r="W70" s="54">
        <v>0</v>
      </c>
      <c r="X70" s="55">
        <f>SUMIFS(Таблица3[Кол-во квартир],Таблица3[Адрес МКД],$D70)</f>
        <v>82</v>
      </c>
      <c r="Y70" s="56">
        <f t="shared" si="15"/>
        <v>6552.82</v>
      </c>
      <c r="Z70" s="253">
        <f>SUMIFS(Таблица3[Площадь жилая],Таблица3[Адрес МКД],$D70)</f>
        <v>4037.5</v>
      </c>
      <c r="AA70" s="261">
        <f>SUMIFS(Таблица3[Площадь нежилых помещений],Таблица3[Адрес МКД],$D70)</f>
        <v>0</v>
      </c>
      <c r="AB70" s="252">
        <f>SUMIFS(Таблица1[1],Таблица1[2],$D70)</f>
        <v>140.1</v>
      </c>
      <c r="AC70" s="57">
        <f t="shared" ref="AC70:AC132" si="21">AE70+AK70+AO70+AS70+AW70</f>
        <v>0</v>
      </c>
      <c r="AD70" s="57">
        <f t="shared" ref="AD70:AD132" si="22">AF70+AL70+AP70+AT70+AX70</f>
        <v>140.1</v>
      </c>
      <c r="AE70" s="58">
        <f>SUMIFS(Таблица1[8],Таблица1[2],$D70)+SUMIFS(Таблица1[18],Таблица1[2],$D70)</f>
        <v>0</v>
      </c>
      <c r="AF70" s="58">
        <f>SUMIFS(Таблица1[9],Таблица1[2],$D70)+SUMIFS(Таблица1[19],Таблица1[2],$D70)</f>
        <v>140.1</v>
      </c>
      <c r="AG70" s="59">
        <f t="shared" ref="AG70:AG132" si="23">AJ70+AR70+AV70+AZ70</f>
        <v>2375.2199999999998</v>
      </c>
      <c r="AH70" s="59">
        <f t="shared" ref="AH70:AH132" si="24">AJ70+AL70+AR70+AT70+AV70+AX70</f>
        <v>2375.2199999999998</v>
      </c>
      <c r="AI70" s="60">
        <f>819.6-AM70</f>
        <v>819.6</v>
      </c>
      <c r="AJ70" s="60">
        <f t="shared" si="16"/>
        <v>819.6</v>
      </c>
      <c r="AK70" s="60">
        <f>SUMIFS(Таблица1[10],Таблица1[2],$D70)</f>
        <v>0</v>
      </c>
      <c r="AL70" s="60">
        <f>SUMIFS(Таблица1[11],Таблица1[2],$D70)</f>
        <v>0</v>
      </c>
      <c r="AM70" s="251">
        <v>0</v>
      </c>
      <c r="AN70" s="249">
        <f t="shared" si="17"/>
        <v>0</v>
      </c>
      <c r="AO70" s="249">
        <f>SUMIFS(Таблица1[12],Таблица1[2],$D70)</f>
        <v>0</v>
      </c>
      <c r="AP70" s="249">
        <f>SUMIFS(Таблица1[13],Таблица1[2],$D70)</f>
        <v>0</v>
      </c>
      <c r="AQ70" s="61">
        <f>570</f>
        <v>570</v>
      </c>
      <c r="AR70" s="61">
        <f t="shared" si="18"/>
        <v>570</v>
      </c>
      <c r="AS70" s="60">
        <f>SUMIFS(Таблица1[14],Таблица1[2],$D70)</f>
        <v>0</v>
      </c>
      <c r="AT70" s="60">
        <f>SUMIFS(Таблица1[15],Таблица1[2],$D70)</f>
        <v>0</v>
      </c>
      <c r="AU70" s="61">
        <v>985.62</v>
      </c>
      <c r="AV70" s="61">
        <f t="shared" si="19"/>
        <v>985.62</v>
      </c>
      <c r="AW70" s="60">
        <f>SUMIFS(Таблица1[16],Таблица1[2],$D70)</f>
        <v>0</v>
      </c>
      <c r="AX70" s="60">
        <f>SUMIFS(Таблица1[17],Таблица1[2],$D70)</f>
        <v>0</v>
      </c>
      <c r="AY70" s="263"/>
      <c r="AZ70" s="264"/>
      <c r="BA70" s="296">
        <v>0</v>
      </c>
      <c r="BB70" s="296">
        <f t="shared" si="14"/>
        <v>0</v>
      </c>
      <c r="BC70" s="296">
        <v>0</v>
      </c>
      <c r="BD70" s="296">
        <v>0</v>
      </c>
      <c r="BE70" s="285"/>
      <c r="BF70" s="259">
        <v>2361</v>
      </c>
      <c r="BG70" s="260">
        <v>14915</v>
      </c>
      <c r="BH70" s="62" t="s">
        <v>940</v>
      </c>
      <c r="BI70" s="62" t="s">
        <v>935</v>
      </c>
      <c r="BJ70" s="62"/>
      <c r="BK70" s="267"/>
      <c r="BL70" s="267" t="s">
        <v>1649</v>
      </c>
      <c r="BM70" s="267"/>
      <c r="BN70" s="268"/>
      <c r="BO70" s="62">
        <v>19</v>
      </c>
      <c r="BP70" s="63">
        <v>32079</v>
      </c>
      <c r="BQ70" s="64" t="s">
        <v>1153</v>
      </c>
      <c r="BR70" s="372" t="s">
        <v>2747</v>
      </c>
      <c r="BS70" s="62"/>
      <c r="BT70" s="323"/>
      <c r="BU70" s="62"/>
      <c r="BV70" s="323"/>
      <c r="BW70" s="62"/>
      <c r="BX70" s="336">
        <v>85</v>
      </c>
      <c r="BY70" s="336"/>
    </row>
    <row r="71" spans="1:371" ht="13.15" customHeight="1" outlineLevel="1" x14ac:dyDescent="0.2">
      <c r="A71" s="50">
        <f t="shared" si="11"/>
        <v>66</v>
      </c>
      <c r="B71" s="51">
        <v>28</v>
      </c>
      <c r="C71" s="51">
        <v>29</v>
      </c>
      <c r="D71" s="18" t="s">
        <v>580</v>
      </c>
      <c r="E71" s="18">
        <v>12</v>
      </c>
      <c r="F71" s="18">
        <v>4</v>
      </c>
      <c r="G71" s="52">
        <v>1</v>
      </c>
      <c r="H71" s="237"/>
      <c r="I71" s="65">
        <v>1961</v>
      </c>
      <c r="J71" s="349">
        <v>5</v>
      </c>
      <c r="K71" s="346">
        <f t="shared" ref="K71:K134" si="25">J71+L71</f>
        <v>6</v>
      </c>
      <c r="L71" s="346">
        <v>1</v>
      </c>
      <c r="M71" s="349">
        <v>2</v>
      </c>
      <c r="N71" s="255">
        <f t="shared" si="20"/>
        <v>0</v>
      </c>
      <c r="O71" s="310">
        <v>32</v>
      </c>
      <c r="P71" s="66">
        <v>0</v>
      </c>
      <c r="Q71" s="66"/>
      <c r="R71" s="66">
        <v>8</v>
      </c>
      <c r="S71" s="66">
        <v>24</v>
      </c>
      <c r="T71" s="66">
        <v>0</v>
      </c>
      <c r="U71" s="66">
        <v>0</v>
      </c>
      <c r="V71" s="66">
        <v>0</v>
      </c>
      <c r="W71" s="54">
        <v>0</v>
      </c>
      <c r="X71" s="55">
        <f>SUMIFS(Таблица3[Кол-во квартир],Таблица3[Адрес МКД],$D71)</f>
        <v>32</v>
      </c>
      <c r="Y71" s="56">
        <f t="shared" si="15"/>
        <v>2442.75</v>
      </c>
      <c r="Z71" s="253">
        <f>SUMIFS(Таблица3[Площадь жилая],Таблица3[Адрес МКД],$D71)</f>
        <v>1286.3</v>
      </c>
      <c r="AA71" s="261">
        <f>SUMIFS(Таблица3[Площадь нежилых помещений],Таблица3[Адрес МКД],$D71)</f>
        <v>435.7</v>
      </c>
      <c r="AB71" s="252">
        <f>SUMIFS(Таблица1[1],Таблица1[2],$D71)</f>
        <v>435.7</v>
      </c>
      <c r="AC71" s="57">
        <f t="shared" si="21"/>
        <v>435.7</v>
      </c>
      <c r="AD71" s="57">
        <f t="shared" si="22"/>
        <v>0</v>
      </c>
      <c r="AE71" s="58">
        <f>SUMIFS(Таблица1[8],Таблица1[2],$D71)+SUMIFS(Таблица1[18],Таблица1[2],$D71)</f>
        <v>334.5</v>
      </c>
      <c r="AF71" s="58">
        <f>SUMIFS(Таблица1[9],Таблица1[2],$D71)+SUMIFS(Таблица1[19],Таблица1[2],$D71)</f>
        <v>0</v>
      </c>
      <c r="AG71" s="59">
        <f t="shared" si="23"/>
        <v>720.75</v>
      </c>
      <c r="AH71" s="59">
        <f t="shared" si="24"/>
        <v>720.75</v>
      </c>
      <c r="AI71" s="60">
        <f>291-AM71</f>
        <v>291</v>
      </c>
      <c r="AJ71" s="60">
        <f t="shared" si="16"/>
        <v>189.8</v>
      </c>
      <c r="AK71" s="60">
        <f>SUMIFS(Таблица1[10],Таблица1[2],$D71)</f>
        <v>101.2</v>
      </c>
      <c r="AL71" s="60">
        <f>SUMIFS(Таблица1[11],Таблица1[2],$D71)</f>
        <v>0</v>
      </c>
      <c r="AM71" s="251">
        <v>0</v>
      </c>
      <c r="AN71" s="249">
        <f t="shared" si="17"/>
        <v>0</v>
      </c>
      <c r="AO71" s="249">
        <f>SUMIFS(Таблица1[12],Таблица1[2],$D71)</f>
        <v>0</v>
      </c>
      <c r="AP71" s="249">
        <f>SUMIFS(Таблица1[13],Таблица1[2],$D71)</f>
        <v>0</v>
      </c>
      <c r="AQ71" s="61">
        <f>146.6</f>
        <v>146.6</v>
      </c>
      <c r="AR71" s="61">
        <f t="shared" si="18"/>
        <v>146.6</v>
      </c>
      <c r="AS71" s="60">
        <f>SUMIFS(Таблица1[14],Таблица1[2],$D71)</f>
        <v>0</v>
      </c>
      <c r="AT71" s="60">
        <f>SUMIFS(Таблица1[15],Таблица1[2],$D71)</f>
        <v>0</v>
      </c>
      <c r="AU71" s="61">
        <v>384.35</v>
      </c>
      <c r="AV71" s="61">
        <f t="shared" si="19"/>
        <v>384.35</v>
      </c>
      <c r="AW71" s="60">
        <f>SUMIFS(Таблица1[16],Таблица1[2],$D71)</f>
        <v>0</v>
      </c>
      <c r="AX71" s="60">
        <f>SUMIFS(Таблица1[17],Таблица1[2],$D71)</f>
        <v>0</v>
      </c>
      <c r="AY71" s="263"/>
      <c r="AZ71" s="264"/>
      <c r="BA71" s="296">
        <v>0</v>
      </c>
      <c r="BB71" s="296">
        <f t="shared" si="14"/>
        <v>0</v>
      </c>
      <c r="BC71" s="296">
        <v>0</v>
      </c>
      <c r="BD71" s="296">
        <v>0</v>
      </c>
      <c r="BE71" s="285"/>
      <c r="BF71" s="259">
        <v>1129</v>
      </c>
      <c r="BG71" s="260">
        <v>6508</v>
      </c>
      <c r="BH71" s="62" t="s">
        <v>936</v>
      </c>
      <c r="BI71" s="62" t="s">
        <v>935</v>
      </c>
      <c r="BJ71" s="62"/>
      <c r="BK71" s="267"/>
      <c r="BL71" s="267" t="s">
        <v>1649</v>
      </c>
      <c r="BM71" s="267"/>
      <c r="BN71" s="268"/>
      <c r="BO71" s="62">
        <v>13</v>
      </c>
      <c r="BP71" s="63">
        <v>29150</v>
      </c>
      <c r="BQ71" s="64" t="s">
        <v>1131</v>
      </c>
      <c r="BR71" s="372" t="s">
        <v>2747</v>
      </c>
      <c r="BS71" s="62"/>
      <c r="BT71" s="323"/>
      <c r="BU71" s="62"/>
      <c r="BV71" s="323"/>
      <c r="BW71" s="62"/>
      <c r="BX71" s="336">
        <v>27</v>
      </c>
      <c r="BY71" s="336"/>
    </row>
    <row r="72" spans="1:371" ht="13.15" customHeight="1" outlineLevel="1" x14ac:dyDescent="0.2">
      <c r="A72" s="50">
        <f t="shared" ref="A72:A134" si="26">A71+1</f>
        <v>67</v>
      </c>
      <c r="B72" s="51">
        <v>29</v>
      </c>
      <c r="C72" s="51">
        <v>30</v>
      </c>
      <c r="D72" s="18" t="s">
        <v>581</v>
      </c>
      <c r="E72" s="18">
        <v>12</v>
      </c>
      <c r="F72" s="18">
        <v>4</v>
      </c>
      <c r="G72" s="52">
        <v>1</v>
      </c>
      <c r="H72" s="237">
        <v>1</v>
      </c>
      <c r="I72" s="65">
        <v>1959</v>
      </c>
      <c r="J72" s="349">
        <v>5</v>
      </c>
      <c r="K72" s="346">
        <f t="shared" si="25"/>
        <v>6</v>
      </c>
      <c r="L72" s="346">
        <v>1</v>
      </c>
      <c r="M72" s="349">
        <v>2</v>
      </c>
      <c r="N72" s="255">
        <f t="shared" si="20"/>
        <v>0</v>
      </c>
      <c r="O72" s="310">
        <v>30</v>
      </c>
      <c r="P72" s="66">
        <v>5</v>
      </c>
      <c r="Q72" s="66"/>
      <c r="R72" s="66">
        <v>10</v>
      </c>
      <c r="S72" s="66">
        <v>10</v>
      </c>
      <c r="T72" s="66">
        <v>10</v>
      </c>
      <c r="U72" s="66">
        <v>0</v>
      </c>
      <c r="V72" s="66">
        <v>0</v>
      </c>
      <c r="W72" s="54">
        <v>0</v>
      </c>
      <c r="X72" s="55">
        <f>SUMIFS(Таблица3[Кол-во квартир],Таблица3[Адрес МКД],$D72)</f>
        <v>25</v>
      </c>
      <c r="Y72" s="56">
        <f t="shared" si="15"/>
        <v>2566.2000000000003</v>
      </c>
      <c r="Z72" s="253">
        <f>SUMIFS(Таблица3[Площадь жилая],Таблица3[Адрес МКД],$D72)</f>
        <v>1391.1000000000001</v>
      </c>
      <c r="AA72" s="261">
        <f>SUMIFS(Таблица3[Площадь нежилых помещений],Таблица3[Адрес МКД],$D72)</f>
        <v>258</v>
      </c>
      <c r="AB72" s="252">
        <f>SUMIFS(Таблица1[1],Таблица1[2],$D72)</f>
        <v>258</v>
      </c>
      <c r="AC72" s="57">
        <f t="shared" si="21"/>
        <v>258</v>
      </c>
      <c r="AD72" s="57">
        <f t="shared" si="22"/>
        <v>0</v>
      </c>
      <c r="AE72" s="58">
        <f>SUMIFS(Таблица1[8],Таблица1[2],$D72)+SUMIFS(Таблица1[18],Таблица1[2],$D72)</f>
        <v>258</v>
      </c>
      <c r="AF72" s="58">
        <f>SUMIFS(Таблица1[9],Таблица1[2],$D72)+SUMIFS(Таблица1[19],Таблица1[2],$D72)</f>
        <v>0</v>
      </c>
      <c r="AG72" s="59">
        <f t="shared" si="23"/>
        <v>917.1</v>
      </c>
      <c r="AH72" s="59">
        <f t="shared" si="24"/>
        <v>917.1</v>
      </c>
      <c r="AI72" s="60">
        <f>323.2-AM72</f>
        <v>323.2</v>
      </c>
      <c r="AJ72" s="60">
        <f t="shared" si="16"/>
        <v>323.2</v>
      </c>
      <c r="AK72" s="60">
        <f>SUMIFS(Таблица1[10],Таблица1[2],$D72)</f>
        <v>0</v>
      </c>
      <c r="AL72" s="60">
        <f>SUMIFS(Таблица1[11],Таблица1[2],$D72)</f>
        <v>0</v>
      </c>
      <c r="AM72" s="251">
        <v>0</v>
      </c>
      <c r="AN72" s="249">
        <f t="shared" si="17"/>
        <v>0</v>
      </c>
      <c r="AO72" s="249">
        <f>SUMIFS(Таблица1[12],Таблица1[2],$D72)</f>
        <v>0</v>
      </c>
      <c r="AP72" s="249">
        <f>SUMIFS(Таблица1[13],Таблица1[2],$D72)</f>
        <v>0</v>
      </c>
      <c r="AQ72" s="61">
        <f>185.3</f>
        <v>185.3</v>
      </c>
      <c r="AR72" s="61">
        <f t="shared" si="18"/>
        <v>185.3</v>
      </c>
      <c r="AS72" s="60">
        <f>SUMIFS(Таблица1[14],Таблица1[2],$D72)</f>
        <v>0</v>
      </c>
      <c r="AT72" s="60">
        <f>SUMIFS(Таблица1[15],Таблица1[2],$D72)</f>
        <v>0</v>
      </c>
      <c r="AU72" s="61">
        <v>408.6</v>
      </c>
      <c r="AV72" s="61">
        <f t="shared" si="19"/>
        <v>408.6</v>
      </c>
      <c r="AW72" s="60">
        <f>SUMIFS(Таблица1[16],Таблица1[2],$D72)</f>
        <v>0</v>
      </c>
      <c r="AX72" s="60">
        <f>SUMIFS(Таблица1[17],Таблица1[2],$D72)</f>
        <v>0</v>
      </c>
      <c r="AY72" s="263"/>
      <c r="AZ72" s="264"/>
      <c r="BA72" s="296">
        <v>0</v>
      </c>
      <c r="BB72" s="296">
        <f t="shared" si="14"/>
        <v>0</v>
      </c>
      <c r="BC72" s="296">
        <v>0</v>
      </c>
      <c r="BD72" s="296">
        <v>0</v>
      </c>
      <c r="BE72" s="285"/>
      <c r="BF72" s="259">
        <v>1130</v>
      </c>
      <c r="BG72" s="260">
        <v>7641</v>
      </c>
      <c r="BH72" s="62" t="s">
        <v>936</v>
      </c>
      <c r="BI72" s="62" t="s">
        <v>935</v>
      </c>
      <c r="BJ72" s="62"/>
      <c r="BK72" s="267"/>
      <c r="BL72" s="267"/>
      <c r="BM72" s="267" t="s">
        <v>1649</v>
      </c>
      <c r="BN72" s="268"/>
      <c r="BO72" s="62">
        <v>10</v>
      </c>
      <c r="BP72" s="63">
        <v>28625</v>
      </c>
      <c r="BQ72" s="64" t="s">
        <v>1131</v>
      </c>
      <c r="BR72" s="372" t="s">
        <v>2747</v>
      </c>
      <c r="BS72" s="62"/>
      <c r="BT72" s="323"/>
      <c r="BU72" s="62"/>
      <c r="BV72" s="323"/>
      <c r="BW72" s="62"/>
      <c r="BX72" s="336">
        <v>21</v>
      </c>
      <c r="BY72" s="336"/>
    </row>
    <row r="73" spans="1:371" ht="13.15" customHeight="1" outlineLevel="1" x14ac:dyDescent="0.2">
      <c r="A73" s="50">
        <f t="shared" si="26"/>
        <v>68</v>
      </c>
      <c r="B73" s="51">
        <v>30</v>
      </c>
      <c r="C73" s="51">
        <v>31</v>
      </c>
      <c r="D73" s="18" t="s">
        <v>582</v>
      </c>
      <c r="E73" s="18">
        <v>12</v>
      </c>
      <c r="F73" s="18">
        <v>4</v>
      </c>
      <c r="G73" s="52">
        <v>1</v>
      </c>
      <c r="H73" s="237">
        <v>1</v>
      </c>
      <c r="I73" s="65">
        <v>1958</v>
      </c>
      <c r="J73" s="349">
        <v>5</v>
      </c>
      <c r="K73" s="346">
        <f t="shared" si="25"/>
        <v>6</v>
      </c>
      <c r="L73" s="346">
        <v>1</v>
      </c>
      <c r="M73" s="349">
        <v>4</v>
      </c>
      <c r="N73" s="255">
        <f t="shared" si="20"/>
        <v>0</v>
      </c>
      <c r="O73" s="310">
        <v>40</v>
      </c>
      <c r="P73" s="66">
        <v>0</v>
      </c>
      <c r="Q73" s="66"/>
      <c r="R73" s="66">
        <v>0</v>
      </c>
      <c r="S73" s="66">
        <v>20</v>
      </c>
      <c r="T73" s="66">
        <v>20</v>
      </c>
      <c r="U73" s="66">
        <v>0</v>
      </c>
      <c r="V73" s="66">
        <v>0</v>
      </c>
      <c r="W73" s="54">
        <v>0</v>
      </c>
      <c r="X73" s="55">
        <f>SUMIFS(Таблица3[Кол-во квартир],Таблица3[Адрес МКД],$D73)</f>
        <v>40</v>
      </c>
      <c r="Y73" s="56">
        <f t="shared" si="15"/>
        <v>4083.05</v>
      </c>
      <c r="Z73" s="253">
        <f>SUMIFS(Таблица3[Площадь жилая],Таблица3[Адрес МКД],$D73)</f>
        <v>2591.3000000000002</v>
      </c>
      <c r="AA73" s="261">
        <f>SUMIFS(Таблица3[Площадь нежилых помещений],Таблица3[Адрес МКД],$D73)</f>
        <v>0</v>
      </c>
      <c r="AB73" s="252">
        <f>SUMIFS(Таблица1[1],Таблица1[2],$D73)</f>
        <v>0</v>
      </c>
      <c r="AC73" s="57">
        <f t="shared" si="21"/>
        <v>0</v>
      </c>
      <c r="AD73" s="57">
        <f t="shared" si="22"/>
        <v>0</v>
      </c>
      <c r="AE73" s="58">
        <f>SUMIFS(Таблица1[8],Таблица1[2],$D73)+SUMIFS(Таблица1[18],Таблица1[2],$D73)</f>
        <v>0</v>
      </c>
      <c r="AF73" s="58">
        <f>SUMIFS(Таблица1[9],Таблица1[2],$D73)+SUMIFS(Таблица1[19],Таблица1[2],$D73)</f>
        <v>0</v>
      </c>
      <c r="AG73" s="59">
        <f t="shared" si="23"/>
        <v>1491.75</v>
      </c>
      <c r="AH73" s="59">
        <f t="shared" si="24"/>
        <v>1491.75</v>
      </c>
      <c r="AI73" s="60">
        <f>465-AM73</f>
        <v>465</v>
      </c>
      <c r="AJ73" s="60">
        <f t="shared" si="16"/>
        <v>465</v>
      </c>
      <c r="AK73" s="60">
        <f>SUMIFS(Таблица1[10],Таблица1[2],$D73)</f>
        <v>0</v>
      </c>
      <c r="AL73" s="60">
        <f>SUMIFS(Таблица1[11],Таблица1[2],$D73)</f>
        <v>0</v>
      </c>
      <c r="AM73" s="251">
        <v>0</v>
      </c>
      <c r="AN73" s="249">
        <f t="shared" si="17"/>
        <v>0</v>
      </c>
      <c r="AO73" s="249">
        <f>SUMIFS(Таблица1[12],Таблица1[2],$D73)</f>
        <v>0</v>
      </c>
      <c r="AP73" s="249">
        <f>SUMIFS(Таблица1[13],Таблица1[2],$D73)</f>
        <v>0</v>
      </c>
      <c r="AQ73" s="61">
        <f>370.1</f>
        <v>370.1</v>
      </c>
      <c r="AR73" s="61">
        <f t="shared" si="18"/>
        <v>370.1</v>
      </c>
      <c r="AS73" s="60">
        <f>SUMIFS(Таблица1[14],Таблица1[2],$D73)</f>
        <v>0</v>
      </c>
      <c r="AT73" s="60">
        <f>SUMIFS(Таблица1[15],Таблица1[2],$D73)</f>
        <v>0</v>
      </c>
      <c r="AU73" s="61">
        <v>656.65</v>
      </c>
      <c r="AV73" s="61">
        <f t="shared" si="19"/>
        <v>656.65</v>
      </c>
      <c r="AW73" s="60">
        <f>SUMIFS(Таблица1[16],Таблица1[2],$D73)</f>
        <v>0</v>
      </c>
      <c r="AX73" s="60">
        <f>SUMIFS(Таблица1[17],Таблица1[2],$D73)</f>
        <v>0</v>
      </c>
      <c r="AY73" s="263"/>
      <c r="AZ73" s="264"/>
      <c r="BA73" s="296">
        <v>0</v>
      </c>
      <c r="BB73" s="296">
        <f t="shared" si="14"/>
        <v>0</v>
      </c>
      <c r="BC73" s="296">
        <v>0</v>
      </c>
      <c r="BD73" s="296">
        <v>0</v>
      </c>
      <c r="BE73" s="285"/>
      <c r="BF73" s="259">
        <v>1757</v>
      </c>
      <c r="BG73" s="260">
        <v>12129</v>
      </c>
      <c r="BH73" s="62" t="s">
        <v>936</v>
      </c>
      <c r="BI73" s="62" t="s">
        <v>935</v>
      </c>
      <c r="BJ73" s="62"/>
      <c r="BK73" s="267"/>
      <c r="BL73" s="267"/>
      <c r="BM73" s="267" t="s">
        <v>1649</v>
      </c>
      <c r="BN73" s="268"/>
      <c r="BO73" s="62">
        <v>14</v>
      </c>
      <c r="BP73" s="63">
        <v>28625</v>
      </c>
      <c r="BQ73" s="64" t="s">
        <v>1131</v>
      </c>
      <c r="BR73" s="372" t="s">
        <v>2747</v>
      </c>
      <c r="BS73" s="62"/>
      <c r="BT73" s="323"/>
      <c r="BU73" s="62"/>
      <c r="BV73" s="323"/>
      <c r="BW73" s="62"/>
      <c r="BX73" s="336">
        <v>29</v>
      </c>
      <c r="BY73" s="336"/>
    </row>
    <row r="74" spans="1:371" ht="13.15" customHeight="1" outlineLevel="1" x14ac:dyDescent="0.2">
      <c r="A74" s="50">
        <f t="shared" si="26"/>
        <v>69</v>
      </c>
      <c r="B74" s="51">
        <v>31</v>
      </c>
      <c r="C74" s="51">
        <v>32</v>
      </c>
      <c r="D74" s="18" t="s">
        <v>583</v>
      </c>
      <c r="E74" s="18">
        <v>12</v>
      </c>
      <c r="F74" s="18">
        <v>4</v>
      </c>
      <c r="G74" s="52">
        <v>1</v>
      </c>
      <c r="H74" s="237">
        <v>1</v>
      </c>
      <c r="I74" s="65">
        <v>1958</v>
      </c>
      <c r="J74" s="349">
        <v>5</v>
      </c>
      <c r="K74" s="346">
        <f t="shared" si="25"/>
        <v>6</v>
      </c>
      <c r="L74" s="346">
        <v>1</v>
      </c>
      <c r="M74" s="349">
        <v>4</v>
      </c>
      <c r="N74" s="255">
        <f t="shared" si="20"/>
        <v>0</v>
      </c>
      <c r="O74" s="310">
        <v>39</v>
      </c>
      <c r="P74" s="66">
        <v>0</v>
      </c>
      <c r="Q74" s="66"/>
      <c r="R74" s="66">
        <v>0</v>
      </c>
      <c r="S74" s="66">
        <v>20</v>
      </c>
      <c r="T74" s="66">
        <v>19</v>
      </c>
      <c r="U74" s="66">
        <v>0</v>
      </c>
      <c r="V74" s="66">
        <v>0</v>
      </c>
      <c r="W74" s="54">
        <v>0</v>
      </c>
      <c r="X74" s="55">
        <f>SUMIFS(Таблица3[Кол-во квартир],Таблица3[Адрес МКД],$D74)</f>
        <v>39</v>
      </c>
      <c r="Y74" s="56">
        <f t="shared" si="15"/>
        <v>4102.4399999999996</v>
      </c>
      <c r="Z74" s="253">
        <f>SUMIFS(Таблица3[Площадь жилая],Таблица3[Адрес МКД],$D74)</f>
        <v>2579.1</v>
      </c>
      <c r="AA74" s="261">
        <f>SUMIFS(Таблица3[Площадь нежилых помещений],Таблица3[Адрес МКД],$D74)</f>
        <v>104</v>
      </c>
      <c r="AB74" s="252">
        <f>SUMIFS(Таблица1[1],Таблица1[2],$D74)</f>
        <v>104</v>
      </c>
      <c r="AC74" s="57">
        <f t="shared" si="21"/>
        <v>104</v>
      </c>
      <c r="AD74" s="57">
        <f t="shared" si="22"/>
        <v>0</v>
      </c>
      <c r="AE74" s="58">
        <f>SUMIFS(Таблица1[8],Таблица1[2],$D74)+SUMIFS(Таблица1[18],Таблица1[2],$D74)</f>
        <v>0</v>
      </c>
      <c r="AF74" s="58">
        <f>SUMIFS(Таблица1[9],Таблица1[2],$D74)+SUMIFS(Таблица1[19],Таблица1[2],$D74)</f>
        <v>0</v>
      </c>
      <c r="AG74" s="59">
        <f t="shared" si="23"/>
        <v>1419.34</v>
      </c>
      <c r="AH74" s="59">
        <f t="shared" si="24"/>
        <v>1419.34</v>
      </c>
      <c r="AI74" s="60">
        <f>493.2-AM74</f>
        <v>493.2</v>
      </c>
      <c r="AJ74" s="60">
        <f t="shared" si="16"/>
        <v>389.2</v>
      </c>
      <c r="AK74" s="60">
        <f>SUMIFS(Таблица1[10],Таблица1[2],$D74)</f>
        <v>104</v>
      </c>
      <c r="AL74" s="60">
        <f>SUMIFS(Таблица1[11],Таблица1[2],$D74)</f>
        <v>0</v>
      </c>
      <c r="AM74" s="251">
        <v>0</v>
      </c>
      <c r="AN74" s="249">
        <f t="shared" si="17"/>
        <v>0</v>
      </c>
      <c r="AO74" s="249">
        <f>SUMIFS(Таблица1[12],Таблица1[2],$D74)</f>
        <v>0</v>
      </c>
      <c r="AP74" s="249">
        <f>SUMIFS(Таблица1[13],Таблица1[2],$D74)</f>
        <v>0</v>
      </c>
      <c r="AQ74" s="61">
        <f>373.6</f>
        <v>373.6</v>
      </c>
      <c r="AR74" s="61">
        <f t="shared" si="18"/>
        <v>373.6</v>
      </c>
      <c r="AS74" s="60">
        <f>SUMIFS(Таблица1[14],Таблица1[2],$D74)</f>
        <v>0</v>
      </c>
      <c r="AT74" s="60">
        <f>SUMIFS(Таблица1[15],Таблица1[2],$D74)</f>
        <v>0</v>
      </c>
      <c r="AU74" s="61">
        <v>656.54</v>
      </c>
      <c r="AV74" s="61">
        <f t="shared" si="19"/>
        <v>656.54</v>
      </c>
      <c r="AW74" s="60">
        <f>SUMIFS(Таблица1[16],Таблица1[2],$D74)</f>
        <v>0</v>
      </c>
      <c r="AX74" s="60">
        <f>SUMIFS(Таблица1[17],Таблица1[2],$D74)</f>
        <v>0</v>
      </c>
      <c r="AY74" s="263"/>
      <c r="AZ74" s="264"/>
      <c r="BA74" s="296">
        <v>0</v>
      </c>
      <c r="BB74" s="296">
        <f t="shared" si="14"/>
        <v>0</v>
      </c>
      <c r="BC74" s="296">
        <v>0</v>
      </c>
      <c r="BD74" s="296">
        <v>0</v>
      </c>
      <c r="BE74" s="285"/>
      <c r="BF74" s="259">
        <v>2188</v>
      </c>
      <c r="BG74" s="260">
        <v>12170</v>
      </c>
      <c r="BH74" s="62" t="s">
        <v>936</v>
      </c>
      <c r="BI74" s="62" t="s">
        <v>935</v>
      </c>
      <c r="BJ74" s="62"/>
      <c r="BK74" s="267"/>
      <c r="BL74" s="267"/>
      <c r="BM74" s="267" t="s">
        <v>1649</v>
      </c>
      <c r="BN74" s="268"/>
      <c r="BO74" s="62">
        <v>14</v>
      </c>
      <c r="BP74" s="63">
        <v>28625</v>
      </c>
      <c r="BQ74" s="64" t="s">
        <v>1131</v>
      </c>
      <c r="BR74" s="372" t="s">
        <v>2747</v>
      </c>
      <c r="BS74" s="62"/>
      <c r="BT74" s="323"/>
      <c r="BU74" s="62"/>
      <c r="BV74" s="323"/>
      <c r="BW74" s="62"/>
      <c r="BX74" s="336">
        <v>28</v>
      </c>
      <c r="BY74" s="336"/>
    </row>
    <row r="75" spans="1:371" ht="13.15" customHeight="1" outlineLevel="1" x14ac:dyDescent="0.2">
      <c r="A75" s="50">
        <f t="shared" si="26"/>
        <v>70</v>
      </c>
      <c r="B75" s="51">
        <v>33</v>
      </c>
      <c r="C75" s="51">
        <v>34</v>
      </c>
      <c r="D75" s="18" t="s">
        <v>584</v>
      </c>
      <c r="E75" s="18">
        <v>12</v>
      </c>
      <c r="F75" s="18">
        <v>4</v>
      </c>
      <c r="G75" s="52">
        <v>1</v>
      </c>
      <c r="H75" s="237">
        <v>1</v>
      </c>
      <c r="I75" s="65">
        <v>1963</v>
      </c>
      <c r="J75" s="349">
        <v>5</v>
      </c>
      <c r="K75" s="346">
        <f t="shared" si="25"/>
        <v>6</v>
      </c>
      <c r="L75" s="346">
        <v>1</v>
      </c>
      <c r="M75" s="349">
        <v>3</v>
      </c>
      <c r="N75" s="255">
        <f t="shared" si="20"/>
        <v>0</v>
      </c>
      <c r="O75" s="310">
        <v>48</v>
      </c>
      <c r="P75" s="66">
        <v>0</v>
      </c>
      <c r="Q75" s="66"/>
      <c r="R75" s="66">
        <v>20</v>
      </c>
      <c r="S75" s="66">
        <v>12</v>
      </c>
      <c r="T75" s="66">
        <v>16</v>
      </c>
      <c r="U75" s="66">
        <v>0</v>
      </c>
      <c r="V75" s="66">
        <v>0</v>
      </c>
      <c r="W75" s="54">
        <v>0</v>
      </c>
      <c r="X75" s="55">
        <f>SUMIFS(Таблица3[Кол-во квартир],Таблица3[Адрес МКД],$D75)</f>
        <v>48</v>
      </c>
      <c r="Y75" s="56">
        <f t="shared" si="15"/>
        <v>3820.9300000000003</v>
      </c>
      <c r="Z75" s="253">
        <f>SUMIFS(Таблица3[Площадь жилая],Таблица3[Адрес МКД],$D75)</f>
        <v>2051.4</v>
      </c>
      <c r="AA75" s="261">
        <f>SUMIFS(Таблица3[Площадь нежилых помещений],Таблица3[Адрес МКД],$D75)</f>
        <v>683.7</v>
      </c>
      <c r="AB75" s="252">
        <f>SUMIFS(Таблица1[1],Таблица1[2],$D75)</f>
        <v>683.7</v>
      </c>
      <c r="AC75" s="57">
        <f t="shared" si="21"/>
        <v>683.7</v>
      </c>
      <c r="AD75" s="57">
        <f t="shared" si="22"/>
        <v>0</v>
      </c>
      <c r="AE75" s="58">
        <f>SUMIFS(Таблица1[8],Таблица1[2],$D75)+SUMIFS(Таблица1[18],Таблица1[2],$D75)</f>
        <v>526.70000000000005</v>
      </c>
      <c r="AF75" s="58">
        <f>SUMIFS(Таблица1[9],Таблица1[2],$D75)+SUMIFS(Таблица1[19],Таблица1[2],$D75)</f>
        <v>0</v>
      </c>
      <c r="AG75" s="59">
        <f t="shared" si="23"/>
        <v>1085.83</v>
      </c>
      <c r="AH75" s="59">
        <f t="shared" si="24"/>
        <v>1085.83</v>
      </c>
      <c r="AI75" s="60">
        <f>420.8-AM75</f>
        <v>420.8</v>
      </c>
      <c r="AJ75" s="60">
        <f t="shared" si="16"/>
        <v>263.8</v>
      </c>
      <c r="AK75" s="60">
        <f>SUMIFS(Таблица1[10],Таблица1[2],$D75)</f>
        <v>157</v>
      </c>
      <c r="AL75" s="60">
        <f>SUMIFS(Таблица1[11],Таблица1[2],$D75)</f>
        <v>0</v>
      </c>
      <c r="AM75" s="251">
        <v>0</v>
      </c>
      <c r="AN75" s="249">
        <f t="shared" si="17"/>
        <v>0</v>
      </c>
      <c r="AO75" s="249">
        <f>SUMIFS(Таблица1[12],Таблица1[2],$D75)</f>
        <v>0</v>
      </c>
      <c r="AP75" s="249">
        <f>SUMIFS(Таблица1[13],Таблица1[2],$D75)</f>
        <v>0</v>
      </c>
      <c r="AQ75" s="61">
        <f>214.4</f>
        <v>214.4</v>
      </c>
      <c r="AR75" s="61">
        <f t="shared" si="18"/>
        <v>214.4</v>
      </c>
      <c r="AS75" s="60">
        <f>SUMIFS(Таблица1[14],Таблица1[2],$D75)</f>
        <v>0</v>
      </c>
      <c r="AT75" s="60">
        <f>SUMIFS(Таблица1[15],Таблица1[2],$D75)</f>
        <v>0</v>
      </c>
      <c r="AU75" s="61">
        <v>607.63</v>
      </c>
      <c r="AV75" s="61">
        <f t="shared" si="19"/>
        <v>607.63</v>
      </c>
      <c r="AW75" s="60">
        <f>SUMIFS(Таблица1[16],Таблица1[2],$D75)</f>
        <v>0</v>
      </c>
      <c r="AX75" s="60">
        <f>SUMIFS(Таблица1[17],Таблица1[2],$D75)</f>
        <v>0</v>
      </c>
      <c r="AY75" s="263"/>
      <c r="AZ75" s="264"/>
      <c r="BA75" s="296">
        <v>0</v>
      </c>
      <c r="BB75" s="296">
        <f t="shared" si="14"/>
        <v>0</v>
      </c>
      <c r="BC75" s="296">
        <v>0</v>
      </c>
      <c r="BD75" s="296">
        <v>0</v>
      </c>
      <c r="BE75" s="285"/>
      <c r="BF75" s="259">
        <f>1730+603+1127</f>
        <v>3460</v>
      </c>
      <c r="BG75" s="260">
        <f>2470+15+7479</f>
        <v>9964</v>
      </c>
      <c r="BH75" s="62" t="s">
        <v>943</v>
      </c>
      <c r="BI75" s="62" t="s">
        <v>935</v>
      </c>
      <c r="BJ75" s="62"/>
      <c r="BK75" s="267"/>
      <c r="BL75" s="267" t="s">
        <v>1649</v>
      </c>
      <c r="BM75" s="267"/>
      <c r="BN75" s="268"/>
      <c r="BO75" s="62">
        <v>19</v>
      </c>
      <c r="BP75" s="63">
        <v>32077</v>
      </c>
      <c r="BQ75" s="64" t="s">
        <v>1154</v>
      </c>
      <c r="BR75" s="372" t="s">
        <v>2747</v>
      </c>
      <c r="BS75" s="62"/>
      <c r="BT75" s="323"/>
      <c r="BU75" s="62"/>
      <c r="BV75" s="323"/>
      <c r="BW75" s="62"/>
      <c r="BX75" s="336">
        <v>34</v>
      </c>
      <c r="BY75" s="336"/>
    </row>
    <row r="76" spans="1:371" ht="13.15" customHeight="1" outlineLevel="1" x14ac:dyDescent="0.2">
      <c r="A76" s="50">
        <f t="shared" si="26"/>
        <v>71</v>
      </c>
      <c r="B76" s="51">
        <v>34</v>
      </c>
      <c r="C76" s="51">
        <v>35</v>
      </c>
      <c r="D76" s="18" t="s">
        <v>585</v>
      </c>
      <c r="E76" s="18">
        <v>12</v>
      </c>
      <c r="F76" s="18">
        <v>4</v>
      </c>
      <c r="G76" s="52">
        <v>1</v>
      </c>
      <c r="H76" s="237">
        <v>1</v>
      </c>
      <c r="I76" s="65">
        <v>1959</v>
      </c>
      <c r="J76" s="349">
        <v>5</v>
      </c>
      <c r="K76" s="346">
        <f t="shared" si="25"/>
        <v>6</v>
      </c>
      <c r="L76" s="346">
        <v>1</v>
      </c>
      <c r="M76" s="349">
        <v>2</v>
      </c>
      <c r="N76" s="255">
        <f t="shared" si="20"/>
        <v>0</v>
      </c>
      <c r="O76" s="310">
        <v>30</v>
      </c>
      <c r="P76" s="66">
        <v>6</v>
      </c>
      <c r="Q76" s="66"/>
      <c r="R76" s="66">
        <v>10</v>
      </c>
      <c r="S76" s="66">
        <v>10</v>
      </c>
      <c r="T76" s="66">
        <v>10</v>
      </c>
      <c r="U76" s="66">
        <v>0</v>
      </c>
      <c r="V76" s="66">
        <v>0</v>
      </c>
      <c r="W76" s="54">
        <v>0</v>
      </c>
      <c r="X76" s="55">
        <f>SUMIFS(Таблица3[Кол-во квартир],Таблица3[Адрес МКД],$D76)</f>
        <v>24</v>
      </c>
      <c r="Y76" s="56">
        <f t="shared" si="15"/>
        <v>2541.64</v>
      </c>
      <c r="Z76" s="253">
        <f>SUMIFS(Таблица3[Площадь жилая],Таблица3[Адрес МКД],$D76)</f>
        <v>1319.3</v>
      </c>
      <c r="AA76" s="261">
        <f>SUMIFS(Таблица3[Площадь нежилых помещений],Таблица3[Адрес МКД],$D76)</f>
        <v>315</v>
      </c>
      <c r="AB76" s="252">
        <f>SUMIFS(Таблица1[1],Таблица1[2],$D76)</f>
        <v>315</v>
      </c>
      <c r="AC76" s="57">
        <f t="shared" si="21"/>
        <v>315</v>
      </c>
      <c r="AD76" s="57">
        <f t="shared" si="22"/>
        <v>0</v>
      </c>
      <c r="AE76" s="58">
        <f>SUMIFS(Таблица1[8],Таблица1[2],$D76)+SUMIFS(Таблица1[18],Таблица1[2],$D76)</f>
        <v>315</v>
      </c>
      <c r="AF76" s="58">
        <f>SUMIFS(Таблица1[9],Таблица1[2],$D76)+SUMIFS(Таблица1[19],Таблица1[2],$D76)</f>
        <v>0</v>
      </c>
      <c r="AG76" s="59">
        <f t="shared" si="23"/>
        <v>907.33999999999992</v>
      </c>
      <c r="AH76" s="59">
        <f t="shared" si="24"/>
        <v>907.33999999999992</v>
      </c>
      <c r="AI76" s="60">
        <f>314.4-AM76</f>
        <v>314.39999999999998</v>
      </c>
      <c r="AJ76" s="60">
        <f t="shared" si="16"/>
        <v>314.39999999999998</v>
      </c>
      <c r="AK76" s="60">
        <f>SUMIFS(Таблица1[10],Таблица1[2],$D76)</f>
        <v>0</v>
      </c>
      <c r="AL76" s="60">
        <f>SUMIFS(Таблица1[11],Таблица1[2],$D76)</f>
        <v>0</v>
      </c>
      <c r="AM76" s="251">
        <v>0</v>
      </c>
      <c r="AN76" s="249">
        <f t="shared" si="17"/>
        <v>0</v>
      </c>
      <c r="AO76" s="249">
        <f>SUMIFS(Таблица1[12],Таблица1[2],$D76)</f>
        <v>0</v>
      </c>
      <c r="AP76" s="249">
        <f>SUMIFS(Таблица1[13],Таблица1[2],$D76)</f>
        <v>0</v>
      </c>
      <c r="AQ76" s="61">
        <f>185.4</f>
        <v>185.4</v>
      </c>
      <c r="AR76" s="61">
        <f t="shared" si="18"/>
        <v>185.4</v>
      </c>
      <c r="AS76" s="60">
        <f>SUMIFS(Таблица1[14],Таблица1[2],$D76)</f>
        <v>0</v>
      </c>
      <c r="AT76" s="60">
        <f>SUMIFS(Таблица1[15],Таблица1[2],$D76)</f>
        <v>0</v>
      </c>
      <c r="AU76" s="61">
        <v>407.54</v>
      </c>
      <c r="AV76" s="61">
        <f t="shared" si="19"/>
        <v>407.54</v>
      </c>
      <c r="AW76" s="60">
        <f>SUMIFS(Таблица1[16],Таблица1[2],$D76)</f>
        <v>0</v>
      </c>
      <c r="AX76" s="60">
        <f>SUMIFS(Таблица1[17],Таблица1[2],$D76)</f>
        <v>0</v>
      </c>
      <c r="AY76" s="263"/>
      <c r="AZ76" s="264"/>
      <c r="BA76" s="296">
        <v>0</v>
      </c>
      <c r="BB76" s="296">
        <f t="shared" si="14"/>
        <v>0</v>
      </c>
      <c r="BC76" s="296">
        <v>0</v>
      </c>
      <c r="BD76" s="296">
        <v>0</v>
      </c>
      <c r="BE76" s="285"/>
      <c r="BF76" s="259">
        <v>1203</v>
      </c>
      <c r="BG76" s="260">
        <v>7623</v>
      </c>
      <c r="BH76" s="62" t="s">
        <v>936</v>
      </c>
      <c r="BI76" s="62" t="s">
        <v>935</v>
      </c>
      <c r="BJ76" s="62"/>
      <c r="BK76" s="267"/>
      <c r="BL76" s="267"/>
      <c r="BM76" s="267" t="s">
        <v>1649</v>
      </c>
      <c r="BN76" s="268"/>
      <c r="BO76" s="62">
        <v>13</v>
      </c>
      <c r="BP76" s="63">
        <v>28620</v>
      </c>
      <c r="BQ76" s="64" t="s">
        <v>1131</v>
      </c>
      <c r="BR76" s="372" t="s">
        <v>2747</v>
      </c>
      <c r="BS76" s="62"/>
      <c r="BT76" s="323"/>
      <c r="BU76" s="62"/>
      <c r="BV76" s="323"/>
      <c r="BW76" s="62"/>
      <c r="BX76" s="336">
        <v>21</v>
      </c>
      <c r="BY76" s="336"/>
    </row>
    <row r="77" spans="1:371" ht="13.15" customHeight="1" outlineLevel="1" x14ac:dyDescent="0.2">
      <c r="A77" s="50">
        <f t="shared" si="26"/>
        <v>72</v>
      </c>
      <c r="B77" s="51">
        <v>35</v>
      </c>
      <c r="C77" s="51">
        <v>36</v>
      </c>
      <c r="D77" s="18" t="s">
        <v>586</v>
      </c>
      <c r="E77" s="18">
        <v>12</v>
      </c>
      <c r="F77" s="18">
        <v>4</v>
      </c>
      <c r="G77" s="52">
        <v>1</v>
      </c>
      <c r="H77" s="237">
        <v>1</v>
      </c>
      <c r="I77" s="65">
        <v>1958</v>
      </c>
      <c r="J77" s="349">
        <v>5</v>
      </c>
      <c r="K77" s="346">
        <f t="shared" si="25"/>
        <v>6</v>
      </c>
      <c r="L77" s="346">
        <v>1</v>
      </c>
      <c r="M77" s="349">
        <v>4</v>
      </c>
      <c r="N77" s="255">
        <f t="shared" si="20"/>
        <v>1</v>
      </c>
      <c r="O77" s="310">
        <v>60</v>
      </c>
      <c r="P77" s="66">
        <v>0</v>
      </c>
      <c r="Q77" s="66"/>
      <c r="R77" s="66">
        <v>10</v>
      </c>
      <c r="S77" s="66">
        <v>30</v>
      </c>
      <c r="T77" s="66">
        <v>16</v>
      </c>
      <c r="U77" s="66">
        <v>4</v>
      </c>
      <c r="V77" s="66">
        <v>0</v>
      </c>
      <c r="W77" s="54">
        <v>0</v>
      </c>
      <c r="X77" s="55">
        <f>SUMIFS(Таблица3[Кол-во квартир],Таблица3[Адрес МКД],$D77)</f>
        <v>59</v>
      </c>
      <c r="Y77" s="56">
        <f t="shared" si="15"/>
        <v>5575.08</v>
      </c>
      <c r="Z77" s="253">
        <f>SUMIFS(Таблица3[Площадь жилая],Таблица3[Адрес МКД],$D77)</f>
        <v>3685.2</v>
      </c>
      <c r="AA77" s="261">
        <f>SUMIFS(Таблица3[Площадь нежилых помещений],Таблица3[Адрес МКД],$D77)</f>
        <v>0</v>
      </c>
      <c r="AB77" s="252">
        <f>SUMIFS(Таблица1[1],Таблица1[2],$D77)</f>
        <v>0</v>
      </c>
      <c r="AC77" s="57">
        <f t="shared" si="21"/>
        <v>0</v>
      </c>
      <c r="AD77" s="57">
        <f t="shared" si="22"/>
        <v>0</v>
      </c>
      <c r="AE77" s="58">
        <f>SUMIFS(Таблица1[8],Таблица1[2],$D77)+SUMIFS(Таблица1[18],Таблица1[2],$D77)</f>
        <v>0</v>
      </c>
      <c r="AF77" s="58">
        <f>SUMIFS(Таблица1[9],Таблица1[2],$D77)+SUMIFS(Таблица1[19],Таблица1[2],$D77)</f>
        <v>0</v>
      </c>
      <c r="AG77" s="59">
        <f t="shared" si="23"/>
        <v>1889.88</v>
      </c>
      <c r="AH77" s="59">
        <f t="shared" si="24"/>
        <v>1889.88</v>
      </c>
      <c r="AI77" s="60">
        <f>728-AM77</f>
        <v>728</v>
      </c>
      <c r="AJ77" s="60">
        <f t="shared" si="16"/>
        <v>728</v>
      </c>
      <c r="AK77" s="60">
        <f>SUMIFS(Таблица1[10],Таблица1[2],$D77)</f>
        <v>0</v>
      </c>
      <c r="AL77" s="60">
        <f>SUMIFS(Таблица1[11],Таблица1[2],$D77)</f>
        <v>0</v>
      </c>
      <c r="AM77" s="251">
        <v>0</v>
      </c>
      <c r="AN77" s="249">
        <f t="shared" si="17"/>
        <v>0</v>
      </c>
      <c r="AO77" s="249">
        <f>SUMIFS(Таблица1[12],Таблица1[2],$D77)</f>
        <v>0</v>
      </c>
      <c r="AP77" s="249">
        <f>SUMIFS(Таблица1[13],Таблица1[2],$D77)</f>
        <v>0</v>
      </c>
      <c r="AQ77" s="61">
        <f>373.3</f>
        <v>373.3</v>
      </c>
      <c r="AR77" s="61">
        <f t="shared" si="18"/>
        <v>373.3</v>
      </c>
      <c r="AS77" s="60">
        <f>SUMIFS(Таблица1[14],Таблица1[2],$D77)</f>
        <v>0</v>
      </c>
      <c r="AT77" s="60">
        <f>SUMIFS(Таблица1[15],Таблица1[2],$D77)</f>
        <v>0</v>
      </c>
      <c r="AU77" s="61">
        <v>788.58</v>
      </c>
      <c r="AV77" s="61">
        <f t="shared" si="19"/>
        <v>788.58</v>
      </c>
      <c r="AW77" s="60">
        <f>SUMIFS(Таблица1[16],Таблица1[2],$D77)</f>
        <v>0</v>
      </c>
      <c r="AX77" s="60">
        <f>SUMIFS(Таблица1[17],Таблица1[2],$D77)</f>
        <v>0</v>
      </c>
      <c r="AY77" s="263"/>
      <c r="AZ77" s="264"/>
      <c r="BA77" s="296">
        <v>0</v>
      </c>
      <c r="BB77" s="296">
        <f t="shared" si="14"/>
        <v>0</v>
      </c>
      <c r="BC77" s="296">
        <v>0</v>
      </c>
      <c r="BD77" s="296">
        <v>0</v>
      </c>
      <c r="BE77" s="285"/>
      <c r="BF77" s="259">
        <v>2758</v>
      </c>
      <c r="BG77" s="260">
        <v>16863</v>
      </c>
      <c r="BH77" s="62" t="s">
        <v>936</v>
      </c>
      <c r="BI77" s="62" t="s">
        <v>935</v>
      </c>
      <c r="BJ77" s="62"/>
      <c r="BK77" s="267"/>
      <c r="BL77" s="267"/>
      <c r="BM77" s="267" t="s">
        <v>1649</v>
      </c>
      <c r="BN77" s="268"/>
      <c r="BO77" s="62">
        <v>14</v>
      </c>
      <c r="BP77" s="63">
        <v>28566</v>
      </c>
      <c r="BQ77" s="64" t="s">
        <v>1131</v>
      </c>
      <c r="BR77" s="372" t="s">
        <v>2747</v>
      </c>
      <c r="BS77" s="62"/>
      <c r="BT77" s="323"/>
      <c r="BU77" s="62"/>
      <c r="BV77" s="323"/>
      <c r="BW77" s="62"/>
      <c r="BX77" s="336">
        <v>37</v>
      </c>
      <c r="BY77" s="336"/>
    </row>
    <row r="78" spans="1:371" ht="13.15" customHeight="1" outlineLevel="1" x14ac:dyDescent="0.2">
      <c r="A78" s="50">
        <f t="shared" si="26"/>
        <v>73</v>
      </c>
      <c r="B78" s="51">
        <v>36</v>
      </c>
      <c r="C78" s="51">
        <v>37</v>
      </c>
      <c r="D78" s="18" t="s">
        <v>587</v>
      </c>
      <c r="E78" s="18">
        <v>12</v>
      </c>
      <c r="F78" s="18">
        <v>4</v>
      </c>
      <c r="G78" s="52">
        <v>1</v>
      </c>
      <c r="H78" s="237">
        <v>1</v>
      </c>
      <c r="I78" s="65">
        <v>1959</v>
      </c>
      <c r="J78" s="349">
        <v>5</v>
      </c>
      <c r="K78" s="346">
        <f t="shared" si="25"/>
        <v>6</v>
      </c>
      <c r="L78" s="346">
        <v>1</v>
      </c>
      <c r="M78" s="349">
        <v>4</v>
      </c>
      <c r="N78" s="255">
        <f t="shared" si="20"/>
        <v>0</v>
      </c>
      <c r="O78" s="310">
        <v>40</v>
      </c>
      <c r="P78" s="66">
        <v>0</v>
      </c>
      <c r="Q78" s="66"/>
      <c r="R78" s="66">
        <v>0</v>
      </c>
      <c r="S78" s="66">
        <v>20</v>
      </c>
      <c r="T78" s="66">
        <v>20</v>
      </c>
      <c r="U78" s="66">
        <v>0</v>
      </c>
      <c r="V78" s="66">
        <v>0</v>
      </c>
      <c r="W78" s="54">
        <v>0</v>
      </c>
      <c r="X78" s="55">
        <f>SUMIFS(Таблица3[Кол-во квартир],Таблица3[Адрес МКД],$D78)</f>
        <v>40</v>
      </c>
      <c r="Y78" s="56">
        <f>Z78+AB78+AG78+AM78</f>
        <v>4122.3</v>
      </c>
      <c r="Z78" s="253">
        <f>SUMIFS(Таблица3[Площадь жилая],Таблица3[Адрес МКД],$D78)</f>
        <v>2575.4</v>
      </c>
      <c r="AA78" s="261">
        <f>SUMIFS(Таблица3[Площадь нежилых помещений],Таблица3[Адрес МКД],$D78)</f>
        <v>0</v>
      </c>
      <c r="AB78" s="252">
        <f>SUMIFS(Таблица1[1],Таблица1[2],$D78)</f>
        <v>85.5</v>
      </c>
      <c r="AC78" s="57">
        <f t="shared" si="21"/>
        <v>85.5</v>
      </c>
      <c r="AD78" s="57">
        <f t="shared" si="22"/>
        <v>0</v>
      </c>
      <c r="AE78" s="58">
        <f>SUMIFS(Таблица1[8],Таблица1[2],$D78)+SUMIFS(Таблица1[18],Таблица1[2],$D78)</f>
        <v>0</v>
      </c>
      <c r="AF78" s="58">
        <f>SUMIFS(Таблица1[9],Таблица1[2],$D78)+SUMIFS(Таблица1[19],Таблица1[2],$D78)</f>
        <v>0</v>
      </c>
      <c r="AG78" s="59">
        <f t="shared" si="23"/>
        <v>1461.4</v>
      </c>
      <c r="AH78" s="59">
        <f t="shared" si="24"/>
        <v>1461.4</v>
      </c>
      <c r="AI78" s="60">
        <f>519.4-AM78</f>
        <v>519.4</v>
      </c>
      <c r="AJ78" s="60">
        <f t="shared" si="16"/>
        <v>433.9</v>
      </c>
      <c r="AK78" s="60">
        <f>SUMIFS(Таблица1[10],Таблица1[2],$D78)</f>
        <v>85.5</v>
      </c>
      <c r="AL78" s="60">
        <f>SUMIFS(Таблица1[11],Таблица1[2],$D78)</f>
        <v>0</v>
      </c>
      <c r="AM78" s="251">
        <v>0</v>
      </c>
      <c r="AN78" s="249">
        <f t="shared" si="17"/>
        <v>0</v>
      </c>
      <c r="AO78" s="249">
        <f>SUMIFS(Таблица1[12],Таблица1[2],$D78)</f>
        <v>0</v>
      </c>
      <c r="AP78" s="249">
        <f>SUMIFS(Таблица1[13],Таблица1[2],$D78)</f>
        <v>0</v>
      </c>
      <c r="AQ78" s="61">
        <f>370.5</f>
        <v>370.5</v>
      </c>
      <c r="AR78" s="61">
        <f t="shared" si="18"/>
        <v>370.5</v>
      </c>
      <c r="AS78" s="60">
        <f>SUMIFS(Таблица1[14],Таблица1[2],$D78)</f>
        <v>0</v>
      </c>
      <c r="AT78" s="60">
        <f>SUMIFS(Таблица1[15],Таблица1[2],$D78)</f>
        <v>0</v>
      </c>
      <c r="AU78" s="61">
        <v>657</v>
      </c>
      <c r="AV78" s="61">
        <f t="shared" si="19"/>
        <v>657</v>
      </c>
      <c r="AW78" s="60">
        <f>SUMIFS(Таблица1[16],Таблица1[2],$D78)</f>
        <v>0</v>
      </c>
      <c r="AX78" s="60">
        <f>SUMIFS(Таблица1[17],Таблица1[2],$D78)</f>
        <v>0</v>
      </c>
      <c r="AY78" s="263">
        <f>Нежилые!G417</f>
        <v>85.5</v>
      </c>
      <c r="AZ78" s="264"/>
      <c r="BA78" s="296">
        <v>0</v>
      </c>
      <c r="BB78" s="296">
        <f t="shared" si="14"/>
        <v>0</v>
      </c>
      <c r="BC78" s="296">
        <v>0</v>
      </c>
      <c r="BD78" s="296">
        <v>0</v>
      </c>
      <c r="BE78" s="285"/>
      <c r="BF78" s="259">
        <v>2097</v>
      </c>
      <c r="BG78" s="260">
        <v>12134</v>
      </c>
      <c r="BH78" s="62" t="s">
        <v>936</v>
      </c>
      <c r="BI78" s="62" t="s">
        <v>935</v>
      </c>
      <c r="BJ78" s="62"/>
      <c r="BK78" s="267"/>
      <c r="BL78" s="267"/>
      <c r="BM78" s="267" t="s">
        <v>1649</v>
      </c>
      <c r="BN78" s="268"/>
      <c r="BO78" s="62">
        <v>13</v>
      </c>
      <c r="BP78" s="63">
        <v>28566</v>
      </c>
      <c r="BQ78" s="64" t="s">
        <v>1131</v>
      </c>
      <c r="BR78" s="372" t="s">
        <v>2747</v>
      </c>
      <c r="BS78" s="62"/>
      <c r="BT78" s="323"/>
      <c r="BU78" s="62"/>
      <c r="BV78" s="323"/>
      <c r="BW78" s="62"/>
      <c r="BX78" s="336">
        <v>29</v>
      </c>
      <c r="BY78" s="336"/>
    </row>
    <row r="79" spans="1:371" ht="13.15" customHeight="1" outlineLevel="1" x14ac:dyDescent="0.2">
      <c r="A79" s="50">
        <f t="shared" si="26"/>
        <v>74</v>
      </c>
      <c r="B79" s="51">
        <v>37</v>
      </c>
      <c r="C79" s="51">
        <v>38</v>
      </c>
      <c r="D79" s="18" t="s">
        <v>588</v>
      </c>
      <c r="E79" s="18">
        <v>12</v>
      </c>
      <c r="F79" s="18">
        <v>4</v>
      </c>
      <c r="G79" s="52">
        <v>1</v>
      </c>
      <c r="H79" s="237">
        <v>1</v>
      </c>
      <c r="I79" s="65">
        <v>1963</v>
      </c>
      <c r="J79" s="349">
        <v>5</v>
      </c>
      <c r="K79" s="346">
        <f t="shared" si="25"/>
        <v>6</v>
      </c>
      <c r="L79" s="346">
        <v>1</v>
      </c>
      <c r="M79" s="349">
        <v>3</v>
      </c>
      <c r="N79" s="255">
        <f t="shared" si="20"/>
        <v>0</v>
      </c>
      <c r="O79" s="310">
        <v>60</v>
      </c>
      <c r="P79" s="66">
        <v>0</v>
      </c>
      <c r="Q79" s="66"/>
      <c r="R79" s="66">
        <v>10</v>
      </c>
      <c r="S79" s="66">
        <v>45</v>
      </c>
      <c r="T79" s="66">
        <v>5</v>
      </c>
      <c r="U79" s="66">
        <v>0</v>
      </c>
      <c r="V79" s="66">
        <v>0</v>
      </c>
      <c r="W79" s="54">
        <v>0</v>
      </c>
      <c r="X79" s="55">
        <f>SUMIFS(Таблица3[Кол-во квартир],Таблица3[Адрес МКД],$D79)</f>
        <v>60</v>
      </c>
      <c r="Y79" s="56">
        <f>Z79+AB79+AG79+AN79</f>
        <v>3876.7</v>
      </c>
      <c r="Z79" s="253">
        <f>SUMIFS(Таблица3[Площадь жилая],Таблица3[Адрес МКД],$D79)</f>
        <v>2588.4</v>
      </c>
      <c r="AA79" s="261">
        <f>SUMIFS(Таблица3[Площадь нежилых помещений],Таблица3[Адрес МКД],$D79)</f>
        <v>0</v>
      </c>
      <c r="AB79" s="252">
        <f>SUMIFS(Таблица1[1],Таблица1[2],$D79)</f>
        <v>0</v>
      </c>
      <c r="AC79" s="57">
        <f t="shared" si="21"/>
        <v>0</v>
      </c>
      <c r="AD79" s="57">
        <f t="shared" si="22"/>
        <v>0</v>
      </c>
      <c r="AE79" s="58">
        <f>SUMIFS(Таблица1[8],Таблица1[2],$D79)+SUMIFS(Таблица1[18],Таблица1[2],$D79)</f>
        <v>0</v>
      </c>
      <c r="AF79" s="58">
        <f>SUMIFS(Таблица1[9],Таблица1[2],$D79)+SUMIFS(Таблица1[19],Таблица1[2],$D79)</f>
        <v>0</v>
      </c>
      <c r="AG79" s="59">
        <f t="shared" si="23"/>
        <v>1288.3</v>
      </c>
      <c r="AH79" s="59">
        <f t="shared" si="24"/>
        <v>1288.3</v>
      </c>
      <c r="AI79" s="60">
        <f>526.4-AM79</f>
        <v>526.4</v>
      </c>
      <c r="AJ79" s="60">
        <f t="shared" si="16"/>
        <v>526.4</v>
      </c>
      <c r="AK79" s="60">
        <f>SUMIFS(Таблица1[10],Таблица1[2],$D79)</f>
        <v>0</v>
      </c>
      <c r="AL79" s="60">
        <f>SUMIFS(Таблица1[11],Таблица1[2],$D79)</f>
        <v>0</v>
      </c>
      <c r="AM79" s="251">
        <v>0</v>
      </c>
      <c r="AN79" s="249">
        <f t="shared" si="17"/>
        <v>0</v>
      </c>
      <c r="AO79" s="249">
        <f>SUMIFS(Таблица1[12],Таблица1[2],$D79)</f>
        <v>0</v>
      </c>
      <c r="AP79" s="249">
        <f>SUMIFS(Таблица1[13],Таблица1[2],$D79)</f>
        <v>0</v>
      </c>
      <c r="AQ79" s="61">
        <f>206.9</f>
        <v>206.9</v>
      </c>
      <c r="AR79" s="61">
        <f t="shared" si="18"/>
        <v>206.9</v>
      </c>
      <c r="AS79" s="60">
        <f>SUMIFS(Таблица1[14],Таблица1[2],$D79)</f>
        <v>0</v>
      </c>
      <c r="AT79" s="60">
        <f>SUMIFS(Таблица1[15],Таблица1[2],$D79)</f>
        <v>0</v>
      </c>
      <c r="AU79" s="61">
        <v>555</v>
      </c>
      <c r="AV79" s="61">
        <f t="shared" si="19"/>
        <v>555</v>
      </c>
      <c r="AW79" s="60">
        <f>SUMIFS(Таблица1[16],Таблица1[2],$D79)</f>
        <v>0</v>
      </c>
      <c r="AX79" s="60">
        <f>SUMIFS(Таблица1[17],Таблица1[2],$D79)</f>
        <v>0</v>
      </c>
      <c r="AY79" s="263"/>
      <c r="AZ79" s="264"/>
      <c r="BA79" s="296">
        <v>0</v>
      </c>
      <c r="BB79" s="296">
        <f t="shared" si="14"/>
        <v>0</v>
      </c>
      <c r="BC79" s="296">
        <v>0</v>
      </c>
      <c r="BD79" s="296">
        <v>0</v>
      </c>
      <c r="BE79" s="285"/>
      <c r="BF79" s="259">
        <v>1415</v>
      </c>
      <c r="BG79" s="260">
        <v>8844</v>
      </c>
      <c r="BH79" s="62" t="s">
        <v>940</v>
      </c>
      <c r="BI79" s="62" t="s">
        <v>935</v>
      </c>
      <c r="BJ79" s="62"/>
      <c r="BK79" s="267"/>
      <c r="BL79" s="267" t="s">
        <v>1649</v>
      </c>
      <c r="BM79" s="267"/>
      <c r="BN79" s="268"/>
      <c r="BO79" s="62">
        <v>28</v>
      </c>
      <c r="BP79" s="63">
        <v>32079</v>
      </c>
      <c r="BQ79" s="64" t="s">
        <v>1155</v>
      </c>
      <c r="BR79" s="372" t="s">
        <v>2747</v>
      </c>
      <c r="BS79" s="62"/>
      <c r="BT79" s="323"/>
      <c r="BU79" s="62"/>
      <c r="BV79" s="323"/>
      <c r="BW79" s="62"/>
      <c r="BX79" s="336">
        <v>31</v>
      </c>
      <c r="BY79" s="336"/>
    </row>
    <row r="80" spans="1:371" ht="13.15" customHeight="1" outlineLevel="1" x14ac:dyDescent="0.2">
      <c r="A80" s="50">
        <f t="shared" si="26"/>
        <v>75</v>
      </c>
      <c r="B80" s="51">
        <v>38</v>
      </c>
      <c r="C80" s="51">
        <v>39</v>
      </c>
      <c r="D80" s="18" t="s">
        <v>589</v>
      </c>
      <c r="E80" s="18">
        <v>12</v>
      </c>
      <c r="F80" s="18">
        <v>4</v>
      </c>
      <c r="G80" s="52">
        <v>1</v>
      </c>
      <c r="H80" s="237">
        <v>1</v>
      </c>
      <c r="I80" s="65">
        <v>1961</v>
      </c>
      <c r="J80" s="349">
        <v>5</v>
      </c>
      <c r="K80" s="346">
        <f t="shared" si="25"/>
        <v>6</v>
      </c>
      <c r="L80" s="346">
        <v>1</v>
      </c>
      <c r="M80" s="349">
        <v>2</v>
      </c>
      <c r="N80" s="255">
        <f t="shared" si="20"/>
        <v>0</v>
      </c>
      <c r="O80" s="310">
        <v>32</v>
      </c>
      <c r="P80" s="66">
        <v>0</v>
      </c>
      <c r="Q80" s="66"/>
      <c r="R80" s="66">
        <v>8</v>
      </c>
      <c r="S80" s="66">
        <v>24</v>
      </c>
      <c r="T80" s="66">
        <v>0</v>
      </c>
      <c r="U80" s="66">
        <v>0</v>
      </c>
      <c r="V80" s="66">
        <v>0</v>
      </c>
      <c r="W80" s="54">
        <v>0</v>
      </c>
      <c r="X80" s="55">
        <f>SUMIFS(Таблица3[Кол-во квартир],Таблица3[Адрес МКД],$D80)</f>
        <v>32</v>
      </c>
      <c r="Y80" s="56">
        <f>Z80+AB80+AG80+AN80</f>
        <v>2456.9299999999998</v>
      </c>
      <c r="Z80" s="253">
        <f>SUMIFS(Таблица3[Площадь жилая],Таблица3[Адрес МКД],$D80)</f>
        <v>1280.0999999999999</v>
      </c>
      <c r="AA80" s="261">
        <f>SUMIFS(Таблица3[Площадь нежилых помещений],Таблица3[Адрес МКД],$D80)</f>
        <v>497.3</v>
      </c>
      <c r="AB80" s="252">
        <f>SUMIFS(Таблица1[1],Таблица1[2],$D80)</f>
        <v>497.3</v>
      </c>
      <c r="AC80" s="57">
        <f t="shared" si="21"/>
        <v>497.3</v>
      </c>
      <c r="AD80" s="57">
        <f t="shared" si="22"/>
        <v>0</v>
      </c>
      <c r="AE80" s="58">
        <f>SUMIFS(Таблица1[8],Таблица1[2],$D80)+SUMIFS(Таблица1[18],Таблица1[2],$D80)</f>
        <v>336.5</v>
      </c>
      <c r="AF80" s="58">
        <f>SUMIFS(Таблица1[9],Таблица1[2],$D80)+SUMIFS(Таблица1[19],Таблица1[2],$D80)</f>
        <v>0</v>
      </c>
      <c r="AG80" s="59">
        <f t="shared" si="23"/>
        <v>679.53</v>
      </c>
      <c r="AH80" s="59">
        <f t="shared" si="24"/>
        <v>679.53</v>
      </c>
      <c r="AI80" s="60">
        <f>310-AM80</f>
        <v>310</v>
      </c>
      <c r="AJ80" s="60">
        <f t="shared" si="16"/>
        <v>149.19999999999999</v>
      </c>
      <c r="AK80" s="60">
        <f>SUMIFS(Таблица1[10],Таблица1[2],$D80)</f>
        <v>160.80000000000001</v>
      </c>
      <c r="AL80" s="60">
        <f>SUMIFS(Таблица1[11],Таблица1[2],$D80)</f>
        <v>0</v>
      </c>
      <c r="AM80" s="251">
        <v>0</v>
      </c>
      <c r="AN80" s="249">
        <f t="shared" si="17"/>
        <v>0</v>
      </c>
      <c r="AO80" s="249">
        <f>SUMIFS(Таблица1[12],Таблица1[2],$D80)</f>
        <v>0</v>
      </c>
      <c r="AP80" s="249">
        <f>SUMIFS(Таблица1[13],Таблица1[2],$D80)</f>
        <v>0</v>
      </c>
      <c r="AQ80" s="61">
        <f>146.9</f>
        <v>146.9</v>
      </c>
      <c r="AR80" s="61">
        <f t="shared" si="18"/>
        <v>146.9</v>
      </c>
      <c r="AS80" s="60">
        <f>SUMIFS(Таблица1[14],Таблица1[2],$D80)</f>
        <v>0</v>
      </c>
      <c r="AT80" s="60">
        <f>SUMIFS(Таблица1[15],Таблица1[2],$D80)</f>
        <v>0</v>
      </c>
      <c r="AU80" s="61">
        <v>383.43</v>
      </c>
      <c r="AV80" s="61">
        <f t="shared" si="19"/>
        <v>383.43</v>
      </c>
      <c r="AW80" s="60">
        <f>SUMIFS(Таблица1[16],Таблица1[2],$D80)</f>
        <v>0</v>
      </c>
      <c r="AX80" s="60">
        <f>SUMIFS(Таблица1[17],Таблица1[2],$D80)</f>
        <v>0</v>
      </c>
      <c r="AY80" s="263"/>
      <c r="AZ80" s="264"/>
      <c r="BA80" s="296">
        <v>0</v>
      </c>
      <c r="BB80" s="296">
        <f t="shared" si="14"/>
        <v>0</v>
      </c>
      <c r="BC80" s="296">
        <v>0</v>
      </c>
      <c r="BD80" s="296">
        <v>0</v>
      </c>
      <c r="BE80" s="285"/>
      <c r="BF80" s="259">
        <v>1241</v>
      </c>
      <c r="BG80" s="260">
        <v>6440</v>
      </c>
      <c r="BH80" s="62" t="s">
        <v>936</v>
      </c>
      <c r="BI80" s="62" t="s">
        <v>935</v>
      </c>
      <c r="BJ80" s="62"/>
      <c r="BK80" s="267"/>
      <c r="BL80" s="267" t="s">
        <v>1649</v>
      </c>
      <c r="BM80" s="267"/>
      <c r="BN80" s="268"/>
      <c r="BO80" s="62">
        <v>26</v>
      </c>
      <c r="BP80" s="63">
        <v>33374</v>
      </c>
      <c r="BQ80" s="64" t="s">
        <v>1131</v>
      </c>
      <c r="BR80" s="372" t="s">
        <v>2747</v>
      </c>
      <c r="BS80" s="62"/>
      <c r="BT80" s="323"/>
      <c r="BU80" s="62"/>
      <c r="BV80" s="323"/>
      <c r="BW80" s="62"/>
      <c r="BX80" s="336">
        <v>27</v>
      </c>
      <c r="BY80" s="336"/>
    </row>
    <row r="81" spans="1:77" ht="13.15" customHeight="1" outlineLevel="1" x14ac:dyDescent="0.2">
      <c r="A81" s="50">
        <f t="shared" si="26"/>
        <v>76</v>
      </c>
      <c r="B81" s="51">
        <v>39</v>
      </c>
      <c r="C81" s="51">
        <v>40</v>
      </c>
      <c r="D81" s="18" t="s">
        <v>590</v>
      </c>
      <c r="E81" s="18">
        <v>12</v>
      </c>
      <c r="F81" s="18">
        <v>4</v>
      </c>
      <c r="G81" s="52">
        <v>1</v>
      </c>
      <c r="H81" s="237">
        <v>1</v>
      </c>
      <c r="I81" s="65">
        <v>1959</v>
      </c>
      <c r="J81" s="349">
        <v>5</v>
      </c>
      <c r="K81" s="346">
        <f t="shared" si="25"/>
        <v>6</v>
      </c>
      <c r="L81" s="346">
        <v>1</v>
      </c>
      <c r="M81" s="349">
        <v>4</v>
      </c>
      <c r="N81" s="255">
        <f t="shared" si="20"/>
        <v>0</v>
      </c>
      <c r="O81" s="310">
        <v>40</v>
      </c>
      <c r="P81" s="66">
        <v>1</v>
      </c>
      <c r="Q81" s="66"/>
      <c r="R81" s="66">
        <v>0</v>
      </c>
      <c r="S81" s="66">
        <v>20</v>
      </c>
      <c r="T81" s="66">
        <v>20</v>
      </c>
      <c r="U81" s="66">
        <v>0</v>
      </c>
      <c r="V81" s="66">
        <v>0</v>
      </c>
      <c r="W81" s="54">
        <v>0</v>
      </c>
      <c r="X81" s="55">
        <f>SUMIFS(Таблица3[Кол-во квартир],Таблица3[Адрес МКД],$D81)</f>
        <v>39</v>
      </c>
      <c r="Y81" s="56">
        <f>Z81+AB81+AG81+AM81</f>
        <v>4113.4799999999996</v>
      </c>
      <c r="Z81" s="253">
        <f>SUMIFS(Таблица3[Площадь жилая],Таблица3[Адрес МКД],$D81)</f>
        <v>2502</v>
      </c>
      <c r="AA81" s="261">
        <f>SUMIFS(Таблица3[Площадь нежилых помещений],Таблица3[Адрес МКД],$D81)</f>
        <v>71.599999999999994</v>
      </c>
      <c r="AB81" s="252">
        <f>SUMIFS(Таблица1[1],Таблица1[2],$D81)</f>
        <v>161.69999999999999</v>
      </c>
      <c r="AC81" s="57">
        <f t="shared" si="21"/>
        <v>161.69999999999999</v>
      </c>
      <c r="AD81" s="57">
        <f t="shared" si="22"/>
        <v>0</v>
      </c>
      <c r="AE81" s="58">
        <f>SUMIFS(Таблица1[8],Таблица1[2],$D81)+SUMIFS(Таблица1[18],Таблица1[2],$D81)</f>
        <v>71.599999999999994</v>
      </c>
      <c r="AF81" s="58">
        <f>SUMIFS(Таблица1[9],Таблица1[2],$D81)+SUMIFS(Таблица1[19],Таблица1[2],$D81)</f>
        <v>0</v>
      </c>
      <c r="AG81" s="59">
        <f t="shared" si="23"/>
        <v>1449.78</v>
      </c>
      <c r="AH81" s="59">
        <f t="shared" si="24"/>
        <v>1449.78</v>
      </c>
      <c r="AI81" s="60">
        <f>523.8-AM81</f>
        <v>523.79999999999995</v>
      </c>
      <c r="AJ81" s="60">
        <f t="shared" si="16"/>
        <v>433.69999999999993</v>
      </c>
      <c r="AK81" s="60">
        <f>SUMIFS(Таблица1[10],Таблица1[2],$D81)</f>
        <v>90.1</v>
      </c>
      <c r="AL81" s="60">
        <f>SUMIFS(Таблица1[11],Таблица1[2],$D81)</f>
        <v>0</v>
      </c>
      <c r="AM81" s="251">
        <v>0</v>
      </c>
      <c r="AN81" s="249">
        <f t="shared" si="17"/>
        <v>0</v>
      </c>
      <c r="AO81" s="249">
        <f>SUMIFS(Таблица1[12],Таблица1[2],$D81)</f>
        <v>0</v>
      </c>
      <c r="AP81" s="249">
        <f>SUMIFS(Таблица1[13],Таблица1[2],$D81)</f>
        <v>0</v>
      </c>
      <c r="AQ81" s="61">
        <f>364</f>
        <v>364</v>
      </c>
      <c r="AR81" s="61">
        <f t="shared" si="18"/>
        <v>364</v>
      </c>
      <c r="AS81" s="60">
        <f>SUMIFS(Таблица1[14],Таблица1[2],$D81)</f>
        <v>0</v>
      </c>
      <c r="AT81" s="60">
        <f>SUMIFS(Таблица1[15],Таблица1[2],$D81)</f>
        <v>0</v>
      </c>
      <c r="AU81" s="61">
        <v>652.08000000000004</v>
      </c>
      <c r="AV81" s="61">
        <f t="shared" si="19"/>
        <v>652.08000000000004</v>
      </c>
      <c r="AW81" s="60">
        <f>SUMIFS(Таблица1[16],Таблица1[2],$D81)</f>
        <v>0</v>
      </c>
      <c r="AX81" s="60">
        <f>SUMIFS(Таблица1[17],Таблица1[2],$D81)</f>
        <v>0</v>
      </c>
      <c r="AY81" s="263">
        <f>Нежилые!G425</f>
        <v>90.1</v>
      </c>
      <c r="AZ81" s="264"/>
      <c r="BA81" s="296">
        <v>0</v>
      </c>
      <c r="BB81" s="296">
        <f t="shared" si="14"/>
        <v>0</v>
      </c>
      <c r="BC81" s="296">
        <v>0</v>
      </c>
      <c r="BD81" s="296">
        <v>0</v>
      </c>
      <c r="BE81" s="285"/>
      <c r="BF81" s="259">
        <v>2056</v>
      </c>
      <c r="BG81" s="260">
        <v>12100</v>
      </c>
      <c r="BH81" s="62" t="s">
        <v>936</v>
      </c>
      <c r="BI81" s="62" t="s">
        <v>935</v>
      </c>
      <c r="BJ81" s="62"/>
      <c r="BK81" s="267"/>
      <c r="BL81" s="267"/>
      <c r="BM81" s="267" t="s">
        <v>1649</v>
      </c>
      <c r="BN81" s="268"/>
      <c r="BO81" s="62">
        <v>11</v>
      </c>
      <c r="BP81" s="63">
        <v>28566</v>
      </c>
      <c r="BQ81" s="64" t="s">
        <v>1131</v>
      </c>
      <c r="BR81" s="372" t="s">
        <v>2747</v>
      </c>
      <c r="BS81" s="62"/>
      <c r="BT81" s="323"/>
      <c r="BU81" s="62"/>
      <c r="BV81" s="323"/>
      <c r="BW81" s="62"/>
      <c r="BX81" s="336">
        <v>30</v>
      </c>
      <c r="BY81" s="336"/>
    </row>
    <row r="82" spans="1:77" ht="13.15" customHeight="1" outlineLevel="1" x14ac:dyDescent="0.2">
      <c r="A82" s="50">
        <f t="shared" si="26"/>
        <v>77</v>
      </c>
      <c r="B82" s="51">
        <v>40</v>
      </c>
      <c r="C82" s="51">
        <v>41</v>
      </c>
      <c r="D82" s="18" t="s">
        <v>591</v>
      </c>
      <c r="E82" s="18">
        <v>12</v>
      </c>
      <c r="F82" s="18">
        <v>4</v>
      </c>
      <c r="G82" s="52">
        <v>1</v>
      </c>
      <c r="H82" s="237">
        <v>1</v>
      </c>
      <c r="I82" s="65">
        <v>1959</v>
      </c>
      <c r="J82" s="349">
        <v>5</v>
      </c>
      <c r="K82" s="346">
        <f t="shared" si="25"/>
        <v>6</v>
      </c>
      <c r="L82" s="346">
        <v>1</v>
      </c>
      <c r="M82" s="349">
        <v>4</v>
      </c>
      <c r="N82" s="255">
        <f t="shared" si="20"/>
        <v>0</v>
      </c>
      <c r="O82" s="310">
        <v>60</v>
      </c>
      <c r="P82" s="66">
        <v>13</v>
      </c>
      <c r="Q82" s="66"/>
      <c r="R82" s="66">
        <v>10</v>
      </c>
      <c r="S82" s="66">
        <v>30</v>
      </c>
      <c r="T82" s="66">
        <v>15</v>
      </c>
      <c r="U82" s="66">
        <v>5</v>
      </c>
      <c r="V82" s="66">
        <v>0</v>
      </c>
      <c r="W82" s="54">
        <v>0</v>
      </c>
      <c r="X82" s="55">
        <f>SUMIFS(Таблица3[Кол-во квартир],Таблица3[Адрес МКД],$D82)</f>
        <v>47</v>
      </c>
      <c r="Y82" s="56">
        <f t="shared" ref="Y82:Y87" si="27">Z82+AB82+AG82+AN82</f>
        <v>5656.99</v>
      </c>
      <c r="Z82" s="253">
        <f>SUMIFS(Таблица3[Площадь жилая],Таблица3[Адрес МКД],$D82)</f>
        <v>2899.1</v>
      </c>
      <c r="AA82" s="261">
        <f>SUMIFS(Таблица3[Площадь нежилых помещений],Таблица3[Адрес МКД],$D82)</f>
        <v>808</v>
      </c>
      <c r="AB82" s="252">
        <f>SUMIFS(Таблица1[1],Таблица1[2],$D82)</f>
        <v>808</v>
      </c>
      <c r="AC82" s="57">
        <f t="shared" si="21"/>
        <v>808</v>
      </c>
      <c r="AD82" s="57">
        <f t="shared" si="22"/>
        <v>0</v>
      </c>
      <c r="AE82" s="58">
        <f>SUMIFS(Таблица1[8],Таблица1[2],$D82)+SUMIFS(Таблица1[18],Таблица1[2],$D82)</f>
        <v>808</v>
      </c>
      <c r="AF82" s="58">
        <f>SUMIFS(Таблица1[9],Таблица1[2],$D82)+SUMIFS(Таблица1[19],Таблица1[2],$D82)</f>
        <v>0</v>
      </c>
      <c r="AG82" s="59">
        <f t="shared" si="23"/>
        <v>1949.8899999999999</v>
      </c>
      <c r="AH82" s="59">
        <f t="shared" si="24"/>
        <v>1949.8899999999999</v>
      </c>
      <c r="AI82" s="60">
        <f>726.9-AM82</f>
        <v>726.9</v>
      </c>
      <c r="AJ82" s="60">
        <f t="shared" si="16"/>
        <v>726.9</v>
      </c>
      <c r="AK82" s="60">
        <f>SUMIFS(Таблица1[10],Таблица1[2],$D82)</f>
        <v>0</v>
      </c>
      <c r="AL82" s="60">
        <f>SUMIFS(Таблица1[11],Таблица1[2],$D82)</f>
        <v>0</v>
      </c>
      <c r="AM82" s="251">
        <v>0</v>
      </c>
      <c r="AN82" s="249">
        <f t="shared" si="17"/>
        <v>0</v>
      </c>
      <c r="AO82" s="249">
        <f>SUMIFS(Таблица1[12],Таблица1[2],$D82)</f>
        <v>0</v>
      </c>
      <c r="AP82" s="249">
        <f>SUMIFS(Таблица1[13],Таблица1[2],$D82)</f>
        <v>0</v>
      </c>
      <c r="AQ82" s="61">
        <v>371.2</v>
      </c>
      <c r="AR82" s="61">
        <f t="shared" si="18"/>
        <v>371.2</v>
      </c>
      <c r="AS82" s="60">
        <f>SUMIFS(Таблица1[14],Таблица1[2],$D82)</f>
        <v>0</v>
      </c>
      <c r="AT82" s="60">
        <f>SUMIFS(Таблица1[15],Таблица1[2],$D82)</f>
        <v>0</v>
      </c>
      <c r="AU82" s="61">
        <v>851.79</v>
      </c>
      <c r="AV82" s="61">
        <f t="shared" si="19"/>
        <v>851.79</v>
      </c>
      <c r="AW82" s="60">
        <f>SUMIFS(Таблица1[16],Таблица1[2],$D82)</f>
        <v>0</v>
      </c>
      <c r="AX82" s="60">
        <f>SUMIFS(Таблица1[17],Таблица1[2],$D82)</f>
        <v>0</v>
      </c>
      <c r="AY82" s="263"/>
      <c r="AZ82" s="264"/>
      <c r="BA82" s="296">
        <v>0</v>
      </c>
      <c r="BB82" s="296">
        <f t="shared" si="14"/>
        <v>0</v>
      </c>
      <c r="BC82" s="296">
        <v>0</v>
      </c>
      <c r="BD82" s="296">
        <v>0</v>
      </c>
      <c r="BE82" s="285"/>
      <c r="BF82" s="259">
        <v>2969</v>
      </c>
      <c r="BG82" s="260">
        <v>16886</v>
      </c>
      <c r="BH82" s="62" t="s">
        <v>936</v>
      </c>
      <c r="BI82" s="62" t="s">
        <v>935</v>
      </c>
      <c r="BJ82" s="62"/>
      <c r="BK82" s="267"/>
      <c r="BL82" s="267"/>
      <c r="BM82" s="267" t="s">
        <v>1649</v>
      </c>
      <c r="BN82" s="268"/>
      <c r="BO82" s="62">
        <v>13</v>
      </c>
      <c r="BP82" s="63">
        <v>28566</v>
      </c>
      <c r="BQ82" s="64" t="s">
        <v>1131</v>
      </c>
      <c r="BR82" s="372" t="s">
        <v>2747</v>
      </c>
      <c r="BS82" s="62"/>
      <c r="BT82" s="323"/>
      <c r="BU82" s="62"/>
      <c r="BV82" s="323"/>
      <c r="BW82" s="62"/>
      <c r="BX82" s="336">
        <v>37</v>
      </c>
      <c r="BY82" s="336"/>
    </row>
    <row r="83" spans="1:77" ht="13.15" customHeight="1" outlineLevel="1" x14ac:dyDescent="0.2">
      <c r="A83" s="50">
        <f t="shared" si="26"/>
        <v>78</v>
      </c>
      <c r="B83" s="51">
        <v>41</v>
      </c>
      <c r="C83" s="51">
        <v>42</v>
      </c>
      <c r="D83" s="18" t="s">
        <v>592</v>
      </c>
      <c r="E83" s="18">
        <v>12</v>
      </c>
      <c r="F83" s="18">
        <v>4</v>
      </c>
      <c r="G83" s="52">
        <v>1</v>
      </c>
      <c r="H83" s="237">
        <v>1</v>
      </c>
      <c r="I83" s="65">
        <v>1961</v>
      </c>
      <c r="J83" s="349">
        <v>4</v>
      </c>
      <c r="K83" s="346">
        <f t="shared" si="25"/>
        <v>5</v>
      </c>
      <c r="L83" s="346">
        <v>1</v>
      </c>
      <c r="M83" s="349">
        <v>3</v>
      </c>
      <c r="N83" s="255">
        <f t="shared" si="20"/>
        <v>0</v>
      </c>
      <c r="O83" s="310">
        <v>36</v>
      </c>
      <c r="P83" s="66">
        <v>0</v>
      </c>
      <c r="Q83" s="66"/>
      <c r="R83" s="66">
        <v>18</v>
      </c>
      <c r="S83" s="66">
        <v>6</v>
      </c>
      <c r="T83" s="66">
        <v>9</v>
      </c>
      <c r="U83" s="66">
        <v>3</v>
      </c>
      <c r="V83" s="66">
        <v>0</v>
      </c>
      <c r="W83" s="54">
        <v>0</v>
      </c>
      <c r="X83" s="55">
        <f>SUMIFS(Таблица3[Кол-во квартир],Таблица3[Адрес МКД],$D83)</f>
        <v>36</v>
      </c>
      <c r="Y83" s="56">
        <f t="shared" si="27"/>
        <v>3349.59</v>
      </c>
      <c r="Z83" s="253">
        <f>SUMIFS(Таблица3[Площадь жилая],Таблица3[Адрес МКД],$D83)</f>
        <v>1488.3</v>
      </c>
      <c r="AA83" s="261">
        <f>SUMIFS(Таблица3[Площадь нежилых помещений],Таблица3[Адрес МКД],$D83)</f>
        <v>884.5</v>
      </c>
      <c r="AB83" s="252">
        <f>SUMIFS(Таблица1[1],Таблица1[2],$D83)</f>
        <v>884.5</v>
      </c>
      <c r="AC83" s="57">
        <f t="shared" si="21"/>
        <v>884.5</v>
      </c>
      <c r="AD83" s="57">
        <f t="shared" si="22"/>
        <v>0</v>
      </c>
      <c r="AE83" s="58">
        <f>SUMIFS(Таблица1[8],Таблица1[2],$D83)+SUMIFS(Таблица1[18],Таблица1[2],$D83)</f>
        <v>552.9</v>
      </c>
      <c r="AF83" s="58">
        <f>SUMIFS(Таблица1[9],Таблица1[2],$D83)+SUMIFS(Таблица1[19],Таблица1[2],$D83)</f>
        <v>0</v>
      </c>
      <c r="AG83" s="59">
        <f t="shared" si="23"/>
        <v>976.79</v>
      </c>
      <c r="AH83" s="59">
        <f t="shared" si="24"/>
        <v>976.79</v>
      </c>
      <c r="AI83" s="60">
        <f>474.2-AM83</f>
        <v>474.2</v>
      </c>
      <c r="AJ83" s="60">
        <f t="shared" si="16"/>
        <v>142.59999999999997</v>
      </c>
      <c r="AK83" s="60">
        <f>SUMIFS(Таблица1[10],Таблица1[2],$D83)</f>
        <v>331.6</v>
      </c>
      <c r="AL83" s="60">
        <f>SUMIFS(Таблица1[11],Таблица1[2],$D83)</f>
        <v>0</v>
      </c>
      <c r="AM83" s="251">
        <v>0</v>
      </c>
      <c r="AN83" s="249">
        <f t="shared" si="17"/>
        <v>0</v>
      </c>
      <c r="AO83" s="249">
        <f>SUMIFS(Таблица1[12],Таблица1[2],$D83)</f>
        <v>0</v>
      </c>
      <c r="AP83" s="249">
        <f>SUMIFS(Таблица1[13],Таблица1[2],$D83)</f>
        <v>0</v>
      </c>
      <c r="AQ83" s="61">
        <v>181</v>
      </c>
      <c r="AR83" s="61">
        <f t="shared" si="18"/>
        <v>181</v>
      </c>
      <c r="AS83" s="60">
        <f>SUMIFS(Таблица1[14],Таблица1[2],$D83)</f>
        <v>0</v>
      </c>
      <c r="AT83" s="60">
        <f>SUMIFS(Таблица1[15],Таблица1[2],$D83)</f>
        <v>0</v>
      </c>
      <c r="AU83" s="61">
        <v>653.19000000000005</v>
      </c>
      <c r="AV83" s="61">
        <f t="shared" si="19"/>
        <v>653.19000000000005</v>
      </c>
      <c r="AW83" s="60">
        <f>SUMIFS(Таблица1[16],Таблица1[2],$D83)</f>
        <v>0</v>
      </c>
      <c r="AX83" s="60">
        <f>SUMIFS(Таблица1[17],Таблица1[2],$D83)</f>
        <v>0</v>
      </c>
      <c r="AY83" s="263"/>
      <c r="AZ83" s="264"/>
      <c r="BA83" s="296">
        <v>0</v>
      </c>
      <c r="BB83" s="296">
        <f t="shared" si="14"/>
        <v>0</v>
      </c>
      <c r="BC83" s="296">
        <v>0</v>
      </c>
      <c r="BD83" s="296">
        <v>0</v>
      </c>
      <c r="BE83" s="285"/>
      <c r="BF83" s="259">
        <v>1783</v>
      </c>
      <c r="BG83" s="260">
        <v>8479</v>
      </c>
      <c r="BH83" s="62" t="s">
        <v>936</v>
      </c>
      <c r="BI83" s="62" t="s">
        <v>935</v>
      </c>
      <c r="BJ83" s="62"/>
      <c r="BK83" s="267"/>
      <c r="BL83" s="267" t="s">
        <v>1649</v>
      </c>
      <c r="BM83" s="267"/>
      <c r="BN83" s="268"/>
      <c r="BO83" s="62">
        <v>28</v>
      </c>
      <c r="BP83" s="63">
        <v>32112</v>
      </c>
      <c r="BQ83" s="64" t="s">
        <v>1133</v>
      </c>
      <c r="BR83" s="372" t="s">
        <v>2747</v>
      </c>
      <c r="BS83" s="62"/>
      <c r="BT83" s="323"/>
      <c r="BU83" s="62"/>
      <c r="BV83" s="323"/>
      <c r="BW83" s="62"/>
      <c r="BX83" s="336">
        <v>39</v>
      </c>
      <c r="BY83" s="336"/>
    </row>
    <row r="84" spans="1:77" ht="13.15" customHeight="1" outlineLevel="1" x14ac:dyDescent="0.2">
      <c r="A84" s="50">
        <f t="shared" si="26"/>
        <v>79</v>
      </c>
      <c r="B84" s="51">
        <v>42</v>
      </c>
      <c r="C84" s="51">
        <v>43</v>
      </c>
      <c r="D84" s="18" t="s">
        <v>593</v>
      </c>
      <c r="E84" s="18">
        <v>12</v>
      </c>
      <c r="F84" s="18">
        <v>4</v>
      </c>
      <c r="G84" s="52">
        <v>1</v>
      </c>
      <c r="H84" s="237">
        <v>1</v>
      </c>
      <c r="I84" s="65">
        <v>1960</v>
      </c>
      <c r="J84" s="349">
        <v>5</v>
      </c>
      <c r="K84" s="346">
        <f t="shared" si="25"/>
        <v>6</v>
      </c>
      <c r="L84" s="346">
        <v>1</v>
      </c>
      <c r="M84" s="349">
        <v>3</v>
      </c>
      <c r="N84" s="255">
        <f t="shared" si="20"/>
        <v>0</v>
      </c>
      <c r="O84" s="310">
        <v>60</v>
      </c>
      <c r="P84" s="66">
        <v>7</v>
      </c>
      <c r="Q84" s="66"/>
      <c r="R84" s="66">
        <v>10</v>
      </c>
      <c r="S84" s="66">
        <v>45</v>
      </c>
      <c r="T84" s="66">
        <v>5</v>
      </c>
      <c r="U84" s="66">
        <v>0</v>
      </c>
      <c r="V84" s="66">
        <v>0</v>
      </c>
      <c r="W84" s="54">
        <v>0</v>
      </c>
      <c r="X84" s="55">
        <f>SUMIFS(Таблица3[Кол-во квартир],Таблица3[Адрес МКД],$D84)</f>
        <v>53</v>
      </c>
      <c r="Y84" s="56">
        <f t="shared" si="27"/>
        <v>3867.58</v>
      </c>
      <c r="Z84" s="253">
        <f>SUMIFS(Таблица3[Площадь жилая],Таблица3[Адрес МКД],$D84)</f>
        <v>2217.5</v>
      </c>
      <c r="AA84" s="261">
        <f>SUMIFS(Таблица3[Площадь нежилых помещений],Таблица3[Адрес МКД],$D84)</f>
        <v>305</v>
      </c>
      <c r="AB84" s="252">
        <f>SUMIFS(Таблица1[1],Таблица1[2],$D84)</f>
        <v>305</v>
      </c>
      <c r="AC84" s="57">
        <f t="shared" si="21"/>
        <v>305</v>
      </c>
      <c r="AD84" s="57">
        <f t="shared" si="22"/>
        <v>0</v>
      </c>
      <c r="AE84" s="58">
        <f>SUMIFS(Таблица1[8],Таблица1[2],$D84)+SUMIFS(Таблица1[18],Таблица1[2],$D84)</f>
        <v>305</v>
      </c>
      <c r="AF84" s="58">
        <f>SUMIFS(Таблица1[9],Таблица1[2],$D84)+SUMIFS(Таблица1[19],Таблица1[2],$D84)</f>
        <v>0</v>
      </c>
      <c r="AG84" s="59">
        <f t="shared" si="23"/>
        <v>1345.08</v>
      </c>
      <c r="AH84" s="59">
        <f t="shared" si="24"/>
        <v>1345.08</v>
      </c>
      <c r="AI84" s="60">
        <f>520.7-AM84</f>
        <v>520.70000000000005</v>
      </c>
      <c r="AJ84" s="60">
        <f t="shared" si="16"/>
        <v>520.70000000000005</v>
      </c>
      <c r="AK84" s="60">
        <f>SUMIFS(Таблица1[10],Таблица1[2],$D84)</f>
        <v>0</v>
      </c>
      <c r="AL84" s="60">
        <f>SUMIFS(Таблица1[11],Таблица1[2],$D84)</f>
        <v>0</v>
      </c>
      <c r="AM84" s="251">
        <v>0</v>
      </c>
      <c r="AN84" s="249">
        <f t="shared" si="17"/>
        <v>0</v>
      </c>
      <c r="AO84" s="249">
        <f>SUMIFS(Таблица1[12],Таблица1[2],$D84)</f>
        <v>0</v>
      </c>
      <c r="AP84" s="249">
        <f>SUMIFS(Таблица1[13],Таблица1[2],$D84)</f>
        <v>0</v>
      </c>
      <c r="AQ84" s="61">
        <v>218.1</v>
      </c>
      <c r="AR84" s="61">
        <f t="shared" si="18"/>
        <v>218.1</v>
      </c>
      <c r="AS84" s="60">
        <f>SUMIFS(Таблица1[14],Таблица1[2],$D84)</f>
        <v>0</v>
      </c>
      <c r="AT84" s="60">
        <f>SUMIFS(Таблица1[15],Таблица1[2],$D84)</f>
        <v>0</v>
      </c>
      <c r="AU84" s="61">
        <v>606.28</v>
      </c>
      <c r="AV84" s="61">
        <f t="shared" si="19"/>
        <v>606.28</v>
      </c>
      <c r="AW84" s="60">
        <f>SUMIFS(Таблица1[16],Таблица1[2],$D84)</f>
        <v>0</v>
      </c>
      <c r="AX84" s="60">
        <f>SUMIFS(Таблица1[17],Таблица1[2],$D84)</f>
        <v>0</v>
      </c>
      <c r="AY84" s="263"/>
      <c r="AZ84" s="264"/>
      <c r="BA84" s="296">
        <v>0</v>
      </c>
      <c r="BB84" s="296">
        <f t="shared" si="14"/>
        <v>0</v>
      </c>
      <c r="BC84" s="296">
        <v>0</v>
      </c>
      <c r="BD84" s="296">
        <v>0</v>
      </c>
      <c r="BE84" s="285"/>
      <c r="BF84" s="259">
        <v>1644</v>
      </c>
      <c r="BG84" s="260">
        <v>9519</v>
      </c>
      <c r="BH84" s="62" t="s">
        <v>936</v>
      </c>
      <c r="BI84" s="62" t="s">
        <v>935</v>
      </c>
      <c r="BJ84" s="62"/>
      <c r="BK84" s="267"/>
      <c r="BL84" s="267" t="s">
        <v>1649</v>
      </c>
      <c r="BM84" s="267"/>
      <c r="BN84" s="268"/>
      <c r="BO84" s="62">
        <v>17</v>
      </c>
      <c r="BP84" s="63">
        <v>31905</v>
      </c>
      <c r="BQ84" s="64" t="s">
        <v>1136</v>
      </c>
      <c r="BR84" s="372" t="s">
        <v>2747</v>
      </c>
      <c r="BS84" s="62"/>
      <c r="BT84" s="323"/>
      <c r="BU84" s="62"/>
      <c r="BV84" s="323"/>
      <c r="BW84" s="62"/>
      <c r="BX84" s="336">
        <v>39</v>
      </c>
      <c r="BY84" s="336"/>
    </row>
    <row r="85" spans="1:77" ht="13.15" customHeight="1" outlineLevel="1" x14ac:dyDescent="0.2">
      <c r="A85" s="50">
        <f t="shared" si="26"/>
        <v>80</v>
      </c>
      <c r="B85" s="51">
        <v>43</v>
      </c>
      <c r="C85" s="51">
        <v>44</v>
      </c>
      <c r="D85" s="18" t="s">
        <v>594</v>
      </c>
      <c r="E85" s="18">
        <v>12</v>
      </c>
      <c r="F85" s="18">
        <v>4</v>
      </c>
      <c r="G85" s="52">
        <v>1</v>
      </c>
      <c r="H85" s="237">
        <v>1</v>
      </c>
      <c r="I85" s="65">
        <v>1960</v>
      </c>
      <c r="J85" s="349">
        <v>5</v>
      </c>
      <c r="K85" s="346">
        <f t="shared" si="25"/>
        <v>5</v>
      </c>
      <c r="L85" s="346">
        <v>0</v>
      </c>
      <c r="M85" s="349">
        <v>3</v>
      </c>
      <c r="N85" s="255">
        <f t="shared" si="20"/>
        <v>0</v>
      </c>
      <c r="O85" s="310">
        <v>60</v>
      </c>
      <c r="P85" s="66">
        <v>1</v>
      </c>
      <c r="Q85" s="66"/>
      <c r="R85" s="66">
        <v>10</v>
      </c>
      <c r="S85" s="66">
        <v>45</v>
      </c>
      <c r="T85" s="66">
        <v>5</v>
      </c>
      <c r="U85" s="66">
        <v>0</v>
      </c>
      <c r="V85" s="66">
        <v>0</v>
      </c>
      <c r="W85" s="54">
        <v>0</v>
      </c>
      <c r="X85" s="55">
        <f>SUMIFS(Таблица3[Кол-во квартир],Таблица3[Адрес МКД],$D85)</f>
        <v>59</v>
      </c>
      <c r="Y85" s="56">
        <f t="shared" si="27"/>
        <v>3285.6400000000003</v>
      </c>
      <c r="Z85" s="253">
        <f>SUMIFS(Таблица3[Площадь жилая],Таблица3[Адрес МКД],$D85)</f>
        <v>2456.5</v>
      </c>
      <c r="AA85" s="261">
        <f>SUMIFS(Таблица3[Площадь нежилых помещений],Таблица3[Адрес МКД],$D85)</f>
        <v>42.9</v>
      </c>
      <c r="AB85" s="252">
        <f>SUMIFS(Таблица1[1],Таблица1[2],$D85)</f>
        <v>42.9</v>
      </c>
      <c r="AC85" s="57">
        <f t="shared" si="21"/>
        <v>42.9</v>
      </c>
      <c r="AD85" s="57">
        <f t="shared" si="22"/>
        <v>0</v>
      </c>
      <c r="AE85" s="58">
        <f>SUMIFS(Таблица1[8],Таблица1[2],$D85)+SUMIFS(Таблица1[18],Таблица1[2],$D85)</f>
        <v>42.9</v>
      </c>
      <c r="AF85" s="58">
        <f>SUMIFS(Таблица1[9],Таблица1[2],$D85)+SUMIFS(Таблица1[19],Таблица1[2],$D85)</f>
        <v>0</v>
      </c>
      <c r="AG85" s="59">
        <f t="shared" si="23"/>
        <v>786.24</v>
      </c>
      <c r="AH85" s="59">
        <f t="shared" si="24"/>
        <v>786.24</v>
      </c>
      <c r="AI85" s="60">
        <f>0-AM85</f>
        <v>0</v>
      </c>
      <c r="AJ85" s="60">
        <f t="shared" si="16"/>
        <v>0</v>
      </c>
      <c r="AK85" s="60">
        <f>SUMIFS(Таблица1[10],Таблица1[2],$D85)</f>
        <v>0</v>
      </c>
      <c r="AL85" s="60">
        <f>SUMIFS(Таблица1[11],Таблица1[2],$D85)</f>
        <v>0</v>
      </c>
      <c r="AM85" s="251">
        <v>0</v>
      </c>
      <c r="AN85" s="249">
        <f t="shared" si="17"/>
        <v>0</v>
      </c>
      <c r="AO85" s="249">
        <f>SUMIFS(Таблица1[12],Таблица1[2],$D85)</f>
        <v>0</v>
      </c>
      <c r="AP85" s="249">
        <f>SUMIFS(Таблица1[13],Таблица1[2],$D85)</f>
        <v>0</v>
      </c>
      <c r="AQ85" s="61">
        <v>181.2</v>
      </c>
      <c r="AR85" s="61">
        <f t="shared" si="18"/>
        <v>181.2</v>
      </c>
      <c r="AS85" s="60">
        <f>SUMIFS(Таблица1[14],Таблица1[2],$D85)</f>
        <v>0</v>
      </c>
      <c r="AT85" s="60">
        <f>SUMIFS(Таблица1[15],Таблица1[2],$D85)</f>
        <v>0</v>
      </c>
      <c r="AU85" s="61">
        <v>605.04</v>
      </c>
      <c r="AV85" s="61">
        <f t="shared" si="19"/>
        <v>605.04</v>
      </c>
      <c r="AW85" s="60">
        <f>SUMIFS(Таблица1[16],Таблица1[2],$D85)</f>
        <v>0</v>
      </c>
      <c r="AX85" s="60">
        <f>SUMIFS(Таблица1[17],Таблица1[2],$D85)</f>
        <v>0</v>
      </c>
      <c r="AY85" s="263"/>
      <c r="AZ85" s="264"/>
      <c r="BA85" s="296">
        <v>0</v>
      </c>
      <c r="BB85" s="296">
        <f t="shared" ref="BB85:BB148" si="28">BA85-BC85-BD85</f>
        <v>0</v>
      </c>
      <c r="BC85" s="296">
        <v>0</v>
      </c>
      <c r="BD85" s="296">
        <v>0</v>
      </c>
      <c r="BE85" s="285"/>
      <c r="BF85" s="259">
        <v>0</v>
      </c>
      <c r="BG85" s="260">
        <v>9521</v>
      </c>
      <c r="BH85" s="62" t="s">
        <v>936</v>
      </c>
      <c r="BI85" s="62" t="s">
        <v>935</v>
      </c>
      <c r="BJ85" s="62"/>
      <c r="BK85" s="267"/>
      <c r="BL85" s="267" t="s">
        <v>1649</v>
      </c>
      <c r="BM85" s="267"/>
      <c r="BN85" s="268"/>
      <c r="BO85" s="62">
        <v>28</v>
      </c>
      <c r="BP85" s="63">
        <v>31905</v>
      </c>
      <c r="BQ85" s="64" t="s">
        <v>1136</v>
      </c>
      <c r="BR85" s="372" t="s">
        <v>2747</v>
      </c>
      <c r="BS85" s="62"/>
      <c r="BT85" s="323"/>
      <c r="BU85" s="62"/>
      <c r="BV85" s="323"/>
      <c r="BW85" s="62"/>
      <c r="BX85" s="336">
        <v>39</v>
      </c>
      <c r="BY85" s="336"/>
    </row>
    <row r="86" spans="1:77" ht="13.15" customHeight="1" outlineLevel="1" x14ac:dyDescent="0.2">
      <c r="A86" s="50">
        <f t="shared" si="26"/>
        <v>81</v>
      </c>
      <c r="B86" s="51">
        <v>44</v>
      </c>
      <c r="C86" s="51">
        <v>45</v>
      </c>
      <c r="D86" s="18" t="s">
        <v>595</v>
      </c>
      <c r="E86" s="18">
        <v>12</v>
      </c>
      <c r="F86" s="18">
        <v>4</v>
      </c>
      <c r="G86" s="52">
        <v>1</v>
      </c>
      <c r="H86" s="237">
        <v>1</v>
      </c>
      <c r="I86" s="65">
        <v>1959</v>
      </c>
      <c r="J86" s="349">
        <v>5</v>
      </c>
      <c r="K86" s="346">
        <f t="shared" si="25"/>
        <v>6</v>
      </c>
      <c r="L86" s="346">
        <v>1</v>
      </c>
      <c r="M86" s="349">
        <v>3</v>
      </c>
      <c r="N86" s="255">
        <f t="shared" si="20"/>
        <v>0</v>
      </c>
      <c r="O86" s="310">
        <v>60</v>
      </c>
      <c r="P86" s="327">
        <v>9</v>
      </c>
      <c r="Q86" s="66"/>
      <c r="R86" s="66">
        <v>10</v>
      </c>
      <c r="S86" s="66">
        <v>35</v>
      </c>
      <c r="T86" s="66">
        <v>15</v>
      </c>
      <c r="U86" s="66">
        <v>0</v>
      </c>
      <c r="V86" s="66">
        <v>0</v>
      </c>
      <c r="W86" s="54">
        <v>0</v>
      </c>
      <c r="X86" s="55">
        <f>SUMIFS(Таблица3[Кол-во квартир],Таблица3[Адрес МКД],$D86)</f>
        <v>51</v>
      </c>
      <c r="Y86" s="56">
        <f t="shared" si="27"/>
        <v>3930.5</v>
      </c>
      <c r="Z86" s="253">
        <f>SUMIFS(Таблица3[Площадь жилая],Таблица3[Адрес МКД],$D86)</f>
        <v>2115</v>
      </c>
      <c r="AA86" s="261">
        <f>SUMIFS(Таблица3[Площадь нежилых помещений],Таблица3[Адрес МКД],$D86)</f>
        <v>387.6</v>
      </c>
      <c r="AB86" s="252">
        <f>SUMIFS(Таблица1[1],Таблица1[2],$D86)</f>
        <v>387.59999999999997</v>
      </c>
      <c r="AC86" s="57">
        <f t="shared" si="21"/>
        <v>387.59999999999997</v>
      </c>
      <c r="AD86" s="57">
        <f t="shared" si="22"/>
        <v>0</v>
      </c>
      <c r="AE86" s="58">
        <f>SUMIFS(Таблица1[8],Таблица1[2],$D86)+SUMIFS(Таблица1[18],Таблица1[2],$D86)</f>
        <v>387.59999999999997</v>
      </c>
      <c r="AF86" s="58">
        <f>SUMIFS(Таблица1[9],Таблица1[2],$D86)+SUMIFS(Таблица1[19],Таблица1[2],$D86)</f>
        <v>0</v>
      </c>
      <c r="AG86" s="59">
        <f t="shared" si="23"/>
        <v>1427.9</v>
      </c>
      <c r="AH86" s="59">
        <f t="shared" si="24"/>
        <v>1427.9</v>
      </c>
      <c r="AI86" s="60">
        <f>462.1-AM86</f>
        <v>462.1</v>
      </c>
      <c r="AJ86" s="60">
        <f t="shared" si="16"/>
        <v>462.1</v>
      </c>
      <c r="AK86" s="60">
        <f>SUMIFS(Таблица1[10],Таблица1[2],$D86)</f>
        <v>0</v>
      </c>
      <c r="AL86" s="60">
        <f>SUMIFS(Таблица1[11],Таблица1[2],$D86)</f>
        <v>0</v>
      </c>
      <c r="AM86" s="251">
        <v>0</v>
      </c>
      <c r="AN86" s="249">
        <f t="shared" si="17"/>
        <v>0</v>
      </c>
      <c r="AO86" s="249">
        <f>SUMIFS(Таблица1[12],Таблица1[2],$D86)</f>
        <v>0</v>
      </c>
      <c r="AP86" s="249">
        <f>SUMIFS(Таблица1[13],Таблица1[2],$D86)</f>
        <v>0</v>
      </c>
      <c r="AQ86" s="61">
        <v>365.7</v>
      </c>
      <c r="AR86" s="61">
        <f t="shared" si="18"/>
        <v>365.7</v>
      </c>
      <c r="AS86" s="60">
        <f>SUMIFS(Таблица1[14],Таблица1[2],$D86)</f>
        <v>0</v>
      </c>
      <c r="AT86" s="60">
        <f>SUMIFS(Таблица1[15],Таблица1[2],$D86)</f>
        <v>0</v>
      </c>
      <c r="AU86" s="61">
        <v>600.1</v>
      </c>
      <c r="AV86" s="61">
        <f t="shared" si="19"/>
        <v>600.1</v>
      </c>
      <c r="AW86" s="60">
        <f>SUMIFS(Таблица1[16],Таблица1[2],$D86)</f>
        <v>0</v>
      </c>
      <c r="AX86" s="60">
        <f>SUMIFS(Таблица1[17],Таблица1[2],$D86)</f>
        <v>0</v>
      </c>
      <c r="AY86" s="263"/>
      <c r="AZ86" s="264"/>
      <c r="BA86" s="296">
        <v>0</v>
      </c>
      <c r="BB86" s="296">
        <f t="shared" si="28"/>
        <v>0</v>
      </c>
      <c r="BC86" s="296">
        <v>0</v>
      </c>
      <c r="BD86" s="296">
        <v>0</v>
      </c>
      <c r="BE86" s="285"/>
      <c r="BF86" s="259">
        <v>1646</v>
      </c>
      <c r="BG86" s="260">
        <v>9430</v>
      </c>
      <c r="BH86" s="62" t="s">
        <v>936</v>
      </c>
      <c r="BI86" s="62" t="s">
        <v>935</v>
      </c>
      <c r="BJ86" s="62"/>
      <c r="BK86" s="267"/>
      <c r="BL86" s="267" t="s">
        <v>1649</v>
      </c>
      <c r="BM86" s="267"/>
      <c r="BN86" s="268"/>
      <c r="BO86" s="62">
        <v>16</v>
      </c>
      <c r="BP86" s="63">
        <v>31905</v>
      </c>
      <c r="BQ86" s="64" t="s">
        <v>1136</v>
      </c>
      <c r="BR86" s="372" t="s">
        <v>2747</v>
      </c>
      <c r="BS86" s="62"/>
      <c r="BT86" s="323"/>
      <c r="BU86" s="62"/>
      <c r="BV86" s="323"/>
      <c r="BW86" s="62"/>
      <c r="BX86" s="336">
        <v>35</v>
      </c>
      <c r="BY86" s="336"/>
    </row>
    <row r="87" spans="1:77" ht="13.15" customHeight="1" outlineLevel="1" x14ac:dyDescent="0.2">
      <c r="A87" s="50">
        <f t="shared" si="26"/>
        <v>82</v>
      </c>
      <c r="B87" s="51">
        <v>45</v>
      </c>
      <c r="C87" s="51">
        <v>46</v>
      </c>
      <c r="D87" s="18" t="s">
        <v>596</v>
      </c>
      <c r="E87" s="18">
        <v>12</v>
      </c>
      <c r="F87" s="18">
        <v>4</v>
      </c>
      <c r="G87" s="52">
        <v>2</v>
      </c>
      <c r="H87" s="237">
        <v>2</v>
      </c>
      <c r="I87" s="53">
        <v>1960</v>
      </c>
      <c r="J87" s="348">
        <v>5</v>
      </c>
      <c r="K87" s="346">
        <f t="shared" si="25"/>
        <v>6</v>
      </c>
      <c r="L87" s="346">
        <v>1</v>
      </c>
      <c r="M87" s="349">
        <v>4</v>
      </c>
      <c r="N87" s="255">
        <f t="shared" si="20"/>
        <v>0</v>
      </c>
      <c r="O87" s="310">
        <v>74</v>
      </c>
      <c r="P87" s="66">
        <v>8</v>
      </c>
      <c r="Q87" s="66"/>
      <c r="R87" s="66">
        <v>11</v>
      </c>
      <c r="S87" s="66">
        <v>51</v>
      </c>
      <c r="T87" s="66">
        <v>12</v>
      </c>
      <c r="U87" s="66">
        <v>0</v>
      </c>
      <c r="V87" s="66">
        <v>0</v>
      </c>
      <c r="W87" s="54">
        <v>0</v>
      </c>
      <c r="X87" s="55">
        <f>SUMIFS(Таблица3[Кол-во квартир],Таблица3[Адрес МКД],$D87)</f>
        <v>66</v>
      </c>
      <c r="Y87" s="56">
        <f t="shared" si="27"/>
        <v>5144.7299999999996</v>
      </c>
      <c r="Z87" s="253">
        <f>SUMIFS(Таблица3[Площадь жилая],Таблица3[Адрес МКД],$D87)</f>
        <v>2788.8</v>
      </c>
      <c r="AA87" s="261">
        <f>SUMIFS(Таблица3[Площадь нежилых помещений],Таблица3[Адрес МКД],$D87)</f>
        <v>572.5</v>
      </c>
      <c r="AB87" s="252">
        <f>SUMIFS(Таблица1[1],Таблица1[2],$D87)</f>
        <v>577.1</v>
      </c>
      <c r="AC87" s="57">
        <f t="shared" si="21"/>
        <v>577.1</v>
      </c>
      <c r="AD87" s="57">
        <f t="shared" si="22"/>
        <v>0</v>
      </c>
      <c r="AE87" s="58">
        <f>SUMIFS(Таблица1[8],Таблица1[2],$D87)+SUMIFS(Таблица1[18],Таблица1[2],$D87)</f>
        <v>577.1</v>
      </c>
      <c r="AF87" s="58">
        <f>SUMIFS(Таблица1[9],Таблица1[2],$D87)+SUMIFS(Таблица1[19],Таблица1[2],$D87)</f>
        <v>0</v>
      </c>
      <c r="AG87" s="59">
        <f t="shared" si="23"/>
        <v>1778.83</v>
      </c>
      <c r="AH87" s="59">
        <f t="shared" si="24"/>
        <v>1778.83</v>
      </c>
      <c r="AI87" s="60">
        <f>650.2-AM87</f>
        <v>650.20000000000005</v>
      </c>
      <c r="AJ87" s="60">
        <f t="shared" si="16"/>
        <v>650.20000000000005</v>
      </c>
      <c r="AK87" s="60">
        <f>SUMIFS(Таблица1[10],Таблица1[2],$D87)</f>
        <v>0</v>
      </c>
      <c r="AL87" s="60">
        <f>SUMIFS(Таблица1[11],Таблица1[2],$D87)</f>
        <v>0</v>
      </c>
      <c r="AM87" s="251">
        <v>0</v>
      </c>
      <c r="AN87" s="249">
        <f t="shared" si="17"/>
        <v>0</v>
      </c>
      <c r="AO87" s="249">
        <f>SUMIFS(Таблица1[12],Таблица1[2],$D87)</f>
        <v>0</v>
      </c>
      <c r="AP87" s="249">
        <f>SUMIFS(Таблица1[13],Таблица1[2],$D87)</f>
        <v>0</v>
      </c>
      <c r="AQ87" s="61">
        <v>288.2</v>
      </c>
      <c r="AR87" s="61">
        <f t="shared" si="18"/>
        <v>288.2</v>
      </c>
      <c r="AS87" s="60">
        <f>SUMIFS(Таблица1[14],Таблица1[2],$D87)</f>
        <v>0</v>
      </c>
      <c r="AT87" s="60">
        <f>SUMIFS(Таблица1[15],Таблица1[2],$D87)</f>
        <v>0</v>
      </c>
      <c r="AU87" s="61">
        <v>840.43</v>
      </c>
      <c r="AV87" s="61">
        <f t="shared" si="19"/>
        <v>840.43</v>
      </c>
      <c r="AW87" s="60">
        <f>SUMIFS(Таблица1[16],Таблица1[2],$D87)</f>
        <v>0</v>
      </c>
      <c r="AX87" s="60">
        <f>SUMIFS(Таблица1[17],Таблица1[2],$D87)</f>
        <v>0</v>
      </c>
      <c r="AY87" s="263"/>
      <c r="AZ87" s="264"/>
      <c r="BA87" s="296">
        <v>0</v>
      </c>
      <c r="BB87" s="296">
        <f t="shared" si="28"/>
        <v>0</v>
      </c>
      <c r="BC87" s="296">
        <v>0</v>
      </c>
      <c r="BD87" s="296">
        <v>0</v>
      </c>
      <c r="BE87" s="285"/>
      <c r="BF87" s="259">
        <v>2227</v>
      </c>
      <c r="BG87" s="260">
        <v>12804</v>
      </c>
      <c r="BH87" s="62" t="s">
        <v>936</v>
      </c>
      <c r="BI87" s="62" t="s">
        <v>935</v>
      </c>
      <c r="BJ87" s="62"/>
      <c r="BK87" s="267"/>
      <c r="BL87" s="267" t="s">
        <v>1649</v>
      </c>
      <c r="BM87" s="267"/>
      <c r="BN87" s="268"/>
      <c r="BO87" s="62">
        <v>18</v>
      </c>
      <c r="BP87" s="63">
        <v>31905</v>
      </c>
      <c r="BQ87" s="64" t="s">
        <v>1138</v>
      </c>
      <c r="BR87" s="372" t="s">
        <v>2747</v>
      </c>
      <c r="BS87" s="62"/>
      <c r="BT87" s="323"/>
      <c r="BU87" s="62"/>
      <c r="BV87" s="323"/>
      <c r="BW87" s="62"/>
      <c r="BX87" s="336">
        <v>52</v>
      </c>
      <c r="BY87" s="336"/>
    </row>
    <row r="88" spans="1:77" ht="13.15" customHeight="1" outlineLevel="1" x14ac:dyDescent="0.2">
      <c r="A88" s="50">
        <f t="shared" si="26"/>
        <v>83</v>
      </c>
      <c r="B88" s="51">
        <v>46</v>
      </c>
      <c r="C88" s="51">
        <v>47</v>
      </c>
      <c r="D88" s="18" t="s">
        <v>597</v>
      </c>
      <c r="E88" s="18">
        <v>12</v>
      </c>
      <c r="F88" s="18">
        <v>4</v>
      </c>
      <c r="G88" s="52">
        <v>1</v>
      </c>
      <c r="H88" s="237">
        <v>1</v>
      </c>
      <c r="I88" s="53">
        <v>1960</v>
      </c>
      <c r="J88" s="348">
        <v>5</v>
      </c>
      <c r="K88" s="346">
        <f t="shared" si="25"/>
        <v>6</v>
      </c>
      <c r="L88" s="346">
        <v>1</v>
      </c>
      <c r="M88" s="349">
        <v>4</v>
      </c>
      <c r="N88" s="255">
        <f t="shared" si="20"/>
        <v>0</v>
      </c>
      <c r="O88" s="310">
        <v>80</v>
      </c>
      <c r="P88" s="66">
        <v>0</v>
      </c>
      <c r="Q88" s="66"/>
      <c r="R88" s="66">
        <v>40</v>
      </c>
      <c r="S88" s="66">
        <v>20</v>
      </c>
      <c r="T88" s="66">
        <v>20</v>
      </c>
      <c r="U88" s="66">
        <v>0</v>
      </c>
      <c r="V88" s="66">
        <v>0</v>
      </c>
      <c r="W88" s="54">
        <v>0</v>
      </c>
      <c r="X88" s="55">
        <f>SUMIFS(Таблица3[Кол-во квартир],Таблица3[Адрес МКД],$D88)</f>
        <v>80</v>
      </c>
      <c r="Y88" s="56">
        <f>Z88+AB88+AG88+AM88</f>
        <v>4887.5200000000004</v>
      </c>
      <c r="Z88" s="253">
        <f>SUMIFS(Таблица3[Площадь жилая],Таблица3[Адрес МКД],$D88)</f>
        <v>3116.7000000000003</v>
      </c>
      <c r="AA88" s="261">
        <f>SUMIFS(Таблица3[Площадь нежилых помещений],Таблица3[Адрес МКД],$D88)</f>
        <v>259.8</v>
      </c>
      <c r="AB88" s="252">
        <f>SUMIFS(Таблица1[1],Таблица1[2],$D88)</f>
        <v>309.7</v>
      </c>
      <c r="AC88" s="57">
        <f t="shared" si="21"/>
        <v>309.70000000000005</v>
      </c>
      <c r="AD88" s="57">
        <f t="shared" si="22"/>
        <v>0</v>
      </c>
      <c r="AE88" s="58">
        <f>SUMIFS(Таблица1[8],Таблица1[2],$D88)+SUMIFS(Таблица1[18],Таблица1[2],$D88)</f>
        <v>43.1</v>
      </c>
      <c r="AF88" s="58">
        <f>SUMIFS(Таблица1[9],Таблица1[2],$D88)+SUMIFS(Таблица1[19],Таблица1[2],$D88)</f>
        <v>0</v>
      </c>
      <c r="AG88" s="59">
        <f t="shared" si="23"/>
        <v>1461.12</v>
      </c>
      <c r="AH88" s="59">
        <f t="shared" si="24"/>
        <v>1461.12</v>
      </c>
      <c r="AI88" s="60">
        <f>692.4-AM88</f>
        <v>692.4</v>
      </c>
      <c r="AJ88" s="60">
        <f t="shared" si="16"/>
        <v>425.79999999999995</v>
      </c>
      <c r="AK88" s="60">
        <f>SUMIFS(Таблица1[10],Таблица1[2],$D88)</f>
        <v>266.60000000000002</v>
      </c>
      <c r="AL88" s="60">
        <f>SUMIFS(Таблица1[11],Таблица1[2],$D88)</f>
        <v>0</v>
      </c>
      <c r="AM88" s="251">
        <v>0</v>
      </c>
      <c r="AN88" s="249">
        <f t="shared" si="17"/>
        <v>0</v>
      </c>
      <c r="AO88" s="249">
        <f>SUMIFS(Таблица1[12],Таблица1[2],$D88)</f>
        <v>0</v>
      </c>
      <c r="AP88" s="249">
        <f>SUMIFS(Таблица1[13],Таблица1[2],$D88)</f>
        <v>0</v>
      </c>
      <c r="AQ88" s="61">
        <v>266.7</v>
      </c>
      <c r="AR88" s="61">
        <f t="shared" si="18"/>
        <v>266.7</v>
      </c>
      <c r="AS88" s="60">
        <f>SUMIFS(Таблица1[14],Таблица1[2],$D88)</f>
        <v>0</v>
      </c>
      <c r="AT88" s="60">
        <f>SUMIFS(Таблица1[15],Таблица1[2],$D88)</f>
        <v>0</v>
      </c>
      <c r="AU88" s="61">
        <v>768.62</v>
      </c>
      <c r="AV88" s="61">
        <f t="shared" si="19"/>
        <v>768.62</v>
      </c>
      <c r="AW88" s="60">
        <f>SUMIFS(Таблица1[16],Таблица1[2],$D88)</f>
        <v>0</v>
      </c>
      <c r="AX88" s="60">
        <f>SUMIFS(Таблица1[17],Таблица1[2],$D88)</f>
        <v>0</v>
      </c>
      <c r="AY88" s="263">
        <f>Нежилые!G462</f>
        <v>49.9</v>
      </c>
      <c r="AZ88" s="264"/>
      <c r="BA88" s="296">
        <v>0</v>
      </c>
      <c r="BB88" s="296">
        <f t="shared" si="28"/>
        <v>0</v>
      </c>
      <c r="BC88" s="296">
        <v>0</v>
      </c>
      <c r="BD88" s="296">
        <v>0</v>
      </c>
      <c r="BE88" s="285"/>
      <c r="BF88" s="259">
        <v>2447</v>
      </c>
      <c r="BG88" s="260">
        <v>11123</v>
      </c>
      <c r="BH88" s="62" t="s">
        <v>936</v>
      </c>
      <c r="BI88" s="62" t="s">
        <v>935</v>
      </c>
      <c r="BJ88" s="62"/>
      <c r="BK88" s="267"/>
      <c r="BL88" s="267" t="s">
        <v>1649</v>
      </c>
      <c r="BM88" s="267"/>
      <c r="BN88" s="268"/>
      <c r="BO88" s="62">
        <v>33</v>
      </c>
      <c r="BP88" s="63">
        <v>32121</v>
      </c>
      <c r="BQ88" s="64" t="s">
        <v>1133</v>
      </c>
      <c r="BR88" s="372" t="s">
        <v>2747</v>
      </c>
      <c r="BS88" s="62"/>
      <c r="BT88" s="323"/>
      <c r="BU88" s="62"/>
      <c r="BV88" s="323"/>
      <c r="BW88" s="62"/>
      <c r="BX88" s="336">
        <v>50</v>
      </c>
      <c r="BY88" s="336"/>
    </row>
    <row r="89" spans="1:77" ht="13.15" customHeight="1" outlineLevel="1" x14ac:dyDescent="0.2">
      <c r="A89" s="50">
        <f t="shared" si="26"/>
        <v>84</v>
      </c>
      <c r="B89" s="51">
        <v>47</v>
      </c>
      <c r="C89" s="51">
        <v>48</v>
      </c>
      <c r="D89" s="18" t="s">
        <v>598</v>
      </c>
      <c r="E89" s="18">
        <v>12</v>
      </c>
      <c r="F89" s="18">
        <v>4</v>
      </c>
      <c r="G89" s="52">
        <v>1</v>
      </c>
      <c r="H89" s="237">
        <v>1</v>
      </c>
      <c r="I89" s="53">
        <v>1960</v>
      </c>
      <c r="J89" s="348">
        <v>5</v>
      </c>
      <c r="K89" s="346">
        <f t="shared" si="25"/>
        <v>6</v>
      </c>
      <c r="L89" s="346">
        <v>1</v>
      </c>
      <c r="M89" s="349">
        <v>4</v>
      </c>
      <c r="N89" s="255">
        <f t="shared" si="20"/>
        <v>0</v>
      </c>
      <c r="O89" s="310">
        <v>78</v>
      </c>
      <c r="P89" s="66">
        <v>2</v>
      </c>
      <c r="Q89" s="66"/>
      <c r="R89" s="66">
        <v>38</v>
      </c>
      <c r="S89" s="66">
        <v>18</v>
      </c>
      <c r="T89" s="66">
        <v>22</v>
      </c>
      <c r="U89" s="66">
        <v>0</v>
      </c>
      <c r="V89" s="66">
        <v>0</v>
      </c>
      <c r="W89" s="54">
        <v>0</v>
      </c>
      <c r="X89" s="55">
        <f>SUMIFS(Таблица3[Кол-во квартир],Таблица3[Адрес МКД],$D89)</f>
        <v>76</v>
      </c>
      <c r="Y89" s="56">
        <f t="shared" ref="Y89:Y120" si="29">Z89+AB89+AG89+AN89</f>
        <v>4579.0300000000007</v>
      </c>
      <c r="Z89" s="253">
        <f>SUMIFS(Таблица3[Площадь жилая],Таблица3[Адрес МКД],$D89)</f>
        <v>3053.7000000000003</v>
      </c>
      <c r="AA89" s="261">
        <f>SUMIFS(Таблица3[Площадь нежилых помещений],Таблица3[Адрес МКД],$D89)</f>
        <v>97.2</v>
      </c>
      <c r="AB89" s="252">
        <f>SUMIFS(Таблица1[1],Таблица1[2],$D89)</f>
        <v>97.2</v>
      </c>
      <c r="AC89" s="57">
        <f t="shared" si="21"/>
        <v>97.2</v>
      </c>
      <c r="AD89" s="57">
        <f t="shared" si="22"/>
        <v>0</v>
      </c>
      <c r="AE89" s="58">
        <f>SUMIFS(Таблица1[8],Таблица1[2],$D89)+SUMIFS(Таблица1[18],Таблица1[2],$D89)</f>
        <v>97.2</v>
      </c>
      <c r="AF89" s="58">
        <f>SUMIFS(Таблица1[9],Таблица1[2],$D89)+SUMIFS(Таблица1[19],Таблица1[2],$D89)</f>
        <v>0</v>
      </c>
      <c r="AG89" s="59">
        <f t="shared" si="23"/>
        <v>1428.13</v>
      </c>
      <c r="AH89" s="59">
        <f t="shared" si="24"/>
        <v>1428.13</v>
      </c>
      <c r="AI89" s="60">
        <f>401.3-AM89</f>
        <v>401.3</v>
      </c>
      <c r="AJ89" s="60">
        <f t="shared" si="16"/>
        <v>401.3</v>
      </c>
      <c r="AK89" s="60">
        <f>SUMIFS(Таблица1[10],Таблица1[2],$D89)</f>
        <v>0</v>
      </c>
      <c r="AL89" s="60">
        <f>SUMIFS(Таблица1[11],Таблица1[2],$D89)</f>
        <v>0</v>
      </c>
      <c r="AM89" s="251">
        <v>0</v>
      </c>
      <c r="AN89" s="249">
        <f t="shared" si="17"/>
        <v>0</v>
      </c>
      <c r="AO89" s="249">
        <f>SUMIFS(Таблица1[12],Таблица1[2],$D89)</f>
        <v>0</v>
      </c>
      <c r="AP89" s="249">
        <f>SUMIFS(Таблица1[13],Таблица1[2],$D89)</f>
        <v>0</v>
      </c>
      <c r="AQ89" s="61">
        <v>297.8</v>
      </c>
      <c r="AR89" s="61">
        <f t="shared" si="18"/>
        <v>297.8</v>
      </c>
      <c r="AS89" s="60">
        <f>SUMIFS(Таблица1[14],Таблица1[2],$D89)</f>
        <v>0</v>
      </c>
      <c r="AT89" s="60">
        <f>SUMIFS(Таблица1[15],Таблица1[2],$D89)</f>
        <v>0</v>
      </c>
      <c r="AU89" s="61">
        <v>729.03</v>
      </c>
      <c r="AV89" s="61">
        <f t="shared" si="19"/>
        <v>729.03</v>
      </c>
      <c r="AW89" s="60">
        <f>SUMIFS(Таблица1[16],Таблица1[2],$D89)</f>
        <v>0</v>
      </c>
      <c r="AX89" s="60">
        <f>SUMIFS(Таблица1[17],Таблица1[2],$D89)</f>
        <v>0</v>
      </c>
      <c r="AY89" s="263"/>
      <c r="AZ89" s="264"/>
      <c r="BA89" s="296">
        <v>0</v>
      </c>
      <c r="BB89" s="296">
        <f t="shared" si="28"/>
        <v>0</v>
      </c>
      <c r="BC89" s="296">
        <v>0</v>
      </c>
      <c r="BD89" s="296">
        <v>0</v>
      </c>
      <c r="BE89" s="285"/>
      <c r="BF89" s="259">
        <v>959</v>
      </c>
      <c r="BG89" s="260">
        <v>11936</v>
      </c>
      <c r="BH89" s="62" t="s">
        <v>936</v>
      </c>
      <c r="BI89" s="62" t="s">
        <v>935</v>
      </c>
      <c r="BJ89" s="62"/>
      <c r="BK89" s="267"/>
      <c r="BL89" s="267" t="s">
        <v>1649</v>
      </c>
      <c r="BM89" s="267"/>
      <c r="BN89" s="268"/>
      <c r="BO89" s="62">
        <v>17</v>
      </c>
      <c r="BP89" s="63">
        <v>31905</v>
      </c>
      <c r="BQ89" s="64" t="s">
        <v>1137</v>
      </c>
      <c r="BR89" s="372" t="s">
        <v>2747</v>
      </c>
      <c r="BS89" s="62"/>
      <c r="BT89" s="323"/>
      <c r="BU89" s="62"/>
      <c r="BV89" s="323"/>
      <c r="BW89" s="62"/>
      <c r="BX89" s="336">
        <v>53</v>
      </c>
      <c r="BY89" s="336"/>
    </row>
    <row r="90" spans="1:77" ht="13.15" hidden="1" customHeight="1" outlineLevel="1" x14ac:dyDescent="0.2">
      <c r="A90" s="50">
        <f t="shared" si="26"/>
        <v>85</v>
      </c>
      <c r="B90" s="51">
        <v>4</v>
      </c>
      <c r="C90" s="51">
        <v>13</v>
      </c>
      <c r="D90" s="18" t="s">
        <v>1329</v>
      </c>
      <c r="E90" s="18">
        <v>9</v>
      </c>
      <c r="F90" s="18">
        <v>1</v>
      </c>
      <c r="G90" s="52">
        <v>1</v>
      </c>
      <c r="H90" s="237">
        <v>1</v>
      </c>
      <c r="I90" s="53">
        <v>1949</v>
      </c>
      <c r="J90" s="348">
        <v>3</v>
      </c>
      <c r="K90" s="346">
        <f t="shared" si="25"/>
        <v>4</v>
      </c>
      <c r="L90" s="346">
        <v>1</v>
      </c>
      <c r="M90" s="349">
        <v>4</v>
      </c>
      <c r="N90" s="255">
        <f t="shared" si="20"/>
        <v>1</v>
      </c>
      <c r="O90" s="310">
        <v>31</v>
      </c>
      <c r="P90" s="66">
        <v>4</v>
      </c>
      <c r="Q90" s="66"/>
      <c r="R90" s="66">
        <v>0</v>
      </c>
      <c r="S90" s="66">
        <v>24</v>
      </c>
      <c r="T90" s="66">
        <v>7</v>
      </c>
      <c r="U90" s="66">
        <v>0</v>
      </c>
      <c r="V90" s="66">
        <v>0</v>
      </c>
      <c r="W90" s="54">
        <v>0</v>
      </c>
      <c r="X90" s="55">
        <f>SUMIFS(Таблица3[Кол-во квартир],Таблица3[Адрес МКД],$D90)</f>
        <v>26</v>
      </c>
      <c r="Y90" s="56">
        <f t="shared" si="29"/>
        <v>3934.8999999999996</v>
      </c>
      <c r="Z90" s="253">
        <f>SUMIFS(Таблица3[Площадь жилая],Таблица3[Адрес МКД],$D90)</f>
        <v>1794.1</v>
      </c>
      <c r="AA90" s="261">
        <f>SUMIFS(Таблица3[Площадь нежилых помещений],Таблица3[Адрес МКД],$D90)</f>
        <v>654</v>
      </c>
      <c r="AB90" s="252">
        <f>SUMIFS(Таблица1[1],Таблица1[2],$D90)</f>
        <v>664.3</v>
      </c>
      <c r="AC90" s="57">
        <f t="shared" si="21"/>
        <v>654</v>
      </c>
      <c r="AD90" s="57">
        <f t="shared" si="22"/>
        <v>10.3</v>
      </c>
      <c r="AE90" s="58">
        <f>SUMIFS(Таблица1[8],Таблица1[2],$D90)+SUMIFS(Таблица1[18],Таблица1[2],$D90)</f>
        <v>258.7</v>
      </c>
      <c r="AF90" s="58">
        <f>SUMIFS(Таблица1[9],Таблица1[2],$D90)+SUMIFS(Таблица1[19],Таблица1[2],$D90)</f>
        <v>0</v>
      </c>
      <c r="AG90" s="59">
        <f t="shared" si="23"/>
        <v>1476.5</v>
      </c>
      <c r="AH90" s="59">
        <f t="shared" si="24"/>
        <v>1486.8000000000002</v>
      </c>
      <c r="AI90" s="60">
        <f>670.2-AM90</f>
        <v>670.2</v>
      </c>
      <c r="AJ90" s="60">
        <f t="shared" si="16"/>
        <v>274.90000000000003</v>
      </c>
      <c r="AK90" s="60">
        <f>SUMIFS(Таблица1[10],Таблица1[2],$D90)</f>
        <v>395.3</v>
      </c>
      <c r="AL90" s="60">
        <f>SUMIFS(Таблица1[11],Таблица1[2],$D90)</f>
        <v>0</v>
      </c>
      <c r="AM90" s="251">
        <v>0</v>
      </c>
      <c r="AN90" s="249">
        <f t="shared" si="17"/>
        <v>0</v>
      </c>
      <c r="AO90" s="249">
        <f>SUMIFS(Таблица1[12],Таблица1[2],$D90)</f>
        <v>0</v>
      </c>
      <c r="AP90" s="249">
        <f>SUMIFS(Таблица1[13],Таблица1[2],$D90)</f>
        <v>0</v>
      </c>
      <c r="AQ90" s="61">
        <f>232.7</f>
        <v>232.7</v>
      </c>
      <c r="AR90" s="61">
        <f t="shared" si="18"/>
        <v>222.39999999999998</v>
      </c>
      <c r="AS90" s="60">
        <f>SUMIFS(Таблица1[14],Таблица1[2],$D90)</f>
        <v>0</v>
      </c>
      <c r="AT90" s="60">
        <f>SUMIFS(Таблица1[15],Таблица1[2],$D90)</f>
        <v>10.3</v>
      </c>
      <c r="AU90" s="61">
        <v>979.2</v>
      </c>
      <c r="AV90" s="61">
        <f t="shared" si="19"/>
        <v>979.2</v>
      </c>
      <c r="AW90" s="60">
        <f>SUMIFS(Таблица1[16],Таблица1[2],$D90)</f>
        <v>0</v>
      </c>
      <c r="AX90" s="60">
        <f>SUMIFS(Таблица1[17],Таблица1[2],$D90)</f>
        <v>0</v>
      </c>
      <c r="AY90" s="263"/>
      <c r="AZ90" s="264"/>
      <c r="BA90" s="296">
        <v>0</v>
      </c>
      <c r="BB90" s="296">
        <f t="shared" si="28"/>
        <v>0</v>
      </c>
      <c r="BC90" s="296">
        <v>0</v>
      </c>
      <c r="BD90" s="296">
        <v>0</v>
      </c>
      <c r="BE90" s="285"/>
      <c r="BF90" s="259">
        <v>2836</v>
      </c>
      <c r="BG90" s="260">
        <v>9591</v>
      </c>
      <c r="BH90" s="62" t="s">
        <v>939</v>
      </c>
      <c r="BI90" s="62" t="s">
        <v>935</v>
      </c>
      <c r="BJ90" s="62" t="s">
        <v>944</v>
      </c>
      <c r="BK90" s="267"/>
      <c r="BL90" s="267"/>
      <c r="BM90" s="267" t="s">
        <v>1649</v>
      </c>
      <c r="BN90" s="268"/>
      <c r="BO90" s="62">
        <v>28</v>
      </c>
      <c r="BP90" s="63">
        <v>29998</v>
      </c>
      <c r="BQ90" s="64" t="s">
        <v>1131</v>
      </c>
      <c r="BR90" s="372" t="s">
        <v>2747</v>
      </c>
      <c r="BS90" s="62"/>
      <c r="BT90" s="323"/>
      <c r="BU90" s="62"/>
      <c r="BV90" s="323"/>
      <c r="BW90" s="62"/>
      <c r="BX90" s="336">
        <v>37</v>
      </c>
      <c r="BY90" s="336" t="s">
        <v>1649</v>
      </c>
    </row>
    <row r="91" spans="1:77" ht="13.15" hidden="1" customHeight="1" outlineLevel="1" x14ac:dyDescent="0.2">
      <c r="A91" s="50">
        <f t="shared" si="26"/>
        <v>86</v>
      </c>
      <c r="B91" s="51">
        <v>10</v>
      </c>
      <c r="C91" s="51">
        <v>14</v>
      </c>
      <c r="D91" s="18" t="s">
        <v>358</v>
      </c>
      <c r="E91" s="18">
        <v>9</v>
      </c>
      <c r="F91" s="18">
        <v>1</v>
      </c>
      <c r="G91" s="52">
        <v>1</v>
      </c>
      <c r="H91" s="237">
        <v>1</v>
      </c>
      <c r="I91" s="53">
        <v>1948</v>
      </c>
      <c r="J91" s="348">
        <v>2</v>
      </c>
      <c r="K91" s="346">
        <f t="shared" si="25"/>
        <v>3</v>
      </c>
      <c r="L91" s="346">
        <v>1</v>
      </c>
      <c r="M91" s="349">
        <v>2</v>
      </c>
      <c r="N91" s="255">
        <f t="shared" si="20"/>
        <v>0</v>
      </c>
      <c r="O91" s="310">
        <v>16</v>
      </c>
      <c r="P91" s="66">
        <v>1</v>
      </c>
      <c r="Q91" s="66"/>
      <c r="R91" s="66">
        <v>4</v>
      </c>
      <c r="S91" s="66">
        <v>9</v>
      </c>
      <c r="T91" s="66">
        <v>3</v>
      </c>
      <c r="U91" s="66">
        <v>0</v>
      </c>
      <c r="V91" s="66">
        <v>0</v>
      </c>
      <c r="W91" s="54">
        <v>0</v>
      </c>
      <c r="X91" s="55">
        <f>SUMIFS(Таблица3[Кол-во квартир],Таблица3[Адрес МКД],$D91)</f>
        <v>15</v>
      </c>
      <c r="Y91" s="56">
        <f t="shared" si="29"/>
        <v>1700.6</v>
      </c>
      <c r="Z91" s="253">
        <f>SUMIFS(Таблица3[Площадь жилая],Таблица3[Адрес МКД],$D91)</f>
        <v>705.9</v>
      </c>
      <c r="AA91" s="261">
        <f>SUMIFS(Таблица3[Площадь нежилых помещений],Таблица3[Адрес МКД],$D91)</f>
        <v>242.4</v>
      </c>
      <c r="AB91" s="252">
        <f>SUMIFS(Таблица1[1],Таблица1[2],$D91)</f>
        <v>242.4</v>
      </c>
      <c r="AC91" s="57">
        <f t="shared" si="21"/>
        <v>242.4</v>
      </c>
      <c r="AD91" s="57">
        <f t="shared" si="22"/>
        <v>0</v>
      </c>
      <c r="AE91" s="58">
        <f>SUMIFS(Таблица1[8],Таблица1[2],$D91)+SUMIFS(Таблица1[18],Таблица1[2],$D91)</f>
        <v>52.6</v>
      </c>
      <c r="AF91" s="58">
        <f>SUMIFS(Таблица1[9],Таблица1[2],$D91)+SUMIFS(Таблица1[19],Таблица1[2],$D91)</f>
        <v>0</v>
      </c>
      <c r="AG91" s="59">
        <f t="shared" si="23"/>
        <v>752.3</v>
      </c>
      <c r="AH91" s="59">
        <f t="shared" si="24"/>
        <v>752.3</v>
      </c>
      <c r="AI91" s="60">
        <f>379.2-AM91</f>
        <v>379.2</v>
      </c>
      <c r="AJ91" s="60">
        <f t="shared" si="16"/>
        <v>189.39999999999998</v>
      </c>
      <c r="AK91" s="60">
        <f>SUMIFS(Таблица1[10],Таблица1[2],$D91)</f>
        <v>189.8</v>
      </c>
      <c r="AL91" s="60">
        <f>SUMIFS(Таблица1[11],Таблица1[2],$D91)</f>
        <v>0</v>
      </c>
      <c r="AM91" s="251">
        <v>0</v>
      </c>
      <c r="AN91" s="249">
        <f t="shared" si="17"/>
        <v>0</v>
      </c>
      <c r="AO91" s="249">
        <f>SUMIFS(Таблица1[12],Таблица1[2],$D91)</f>
        <v>0</v>
      </c>
      <c r="AP91" s="249">
        <f>SUMIFS(Таблица1[13],Таблица1[2],$D91)</f>
        <v>0</v>
      </c>
      <c r="AQ91" s="61">
        <v>88.9</v>
      </c>
      <c r="AR91" s="61">
        <f t="shared" si="18"/>
        <v>88.9</v>
      </c>
      <c r="AS91" s="60">
        <f>SUMIFS(Таблица1[14],Таблица1[2],$D91)</f>
        <v>0</v>
      </c>
      <c r="AT91" s="60">
        <f>SUMIFS(Таблица1[15],Таблица1[2],$D91)</f>
        <v>0</v>
      </c>
      <c r="AU91" s="61">
        <v>474</v>
      </c>
      <c r="AV91" s="61">
        <f t="shared" si="19"/>
        <v>474</v>
      </c>
      <c r="AW91" s="60">
        <f>SUMIFS(Таблица1[16],Таблица1[2],$D91)</f>
        <v>0</v>
      </c>
      <c r="AX91" s="60">
        <f>SUMIFS(Таблица1[17],Таблица1[2],$D91)</f>
        <v>0</v>
      </c>
      <c r="AY91" s="263"/>
      <c r="AZ91" s="264"/>
      <c r="BA91" s="296">
        <v>0</v>
      </c>
      <c r="BB91" s="296">
        <f t="shared" si="28"/>
        <v>0</v>
      </c>
      <c r="BC91" s="296">
        <v>0</v>
      </c>
      <c r="BD91" s="296">
        <v>0</v>
      </c>
      <c r="BE91" s="285"/>
      <c r="BF91" s="259">
        <v>1387</v>
      </c>
      <c r="BG91" s="260">
        <v>3557</v>
      </c>
      <c r="BH91" s="62" t="s">
        <v>936</v>
      </c>
      <c r="BI91" s="62" t="s">
        <v>935</v>
      </c>
      <c r="BJ91" s="62"/>
      <c r="BK91" s="267"/>
      <c r="BL91" s="267"/>
      <c r="BM91" s="267" t="s">
        <v>1649</v>
      </c>
      <c r="BN91" s="268"/>
      <c r="BO91" s="62">
        <v>39</v>
      </c>
      <c r="BP91" s="63">
        <v>28564</v>
      </c>
      <c r="BQ91" s="64" t="s">
        <v>1131</v>
      </c>
      <c r="BR91" s="372" t="s">
        <v>2747</v>
      </c>
      <c r="BS91" s="62"/>
      <c r="BT91" s="323"/>
      <c r="BU91" s="62"/>
      <c r="BV91" s="323"/>
      <c r="BW91" s="62"/>
      <c r="BX91" s="336">
        <v>25</v>
      </c>
      <c r="BY91" s="336"/>
    </row>
    <row r="92" spans="1:77" ht="13.15" hidden="1" customHeight="1" outlineLevel="1" x14ac:dyDescent="0.2">
      <c r="A92" s="50">
        <f t="shared" si="26"/>
        <v>87</v>
      </c>
      <c r="B92" s="51">
        <v>11</v>
      </c>
      <c r="C92" s="51">
        <v>15</v>
      </c>
      <c r="D92" s="18" t="s">
        <v>359</v>
      </c>
      <c r="E92" s="18">
        <v>9</v>
      </c>
      <c r="F92" s="18">
        <v>1</v>
      </c>
      <c r="G92" s="52">
        <v>1</v>
      </c>
      <c r="H92" s="237">
        <v>1</v>
      </c>
      <c r="I92" s="53">
        <v>1948</v>
      </c>
      <c r="J92" s="348">
        <v>3</v>
      </c>
      <c r="K92" s="346">
        <f t="shared" si="25"/>
        <v>4</v>
      </c>
      <c r="L92" s="346">
        <v>1</v>
      </c>
      <c r="M92" s="349">
        <v>2</v>
      </c>
      <c r="N92" s="255">
        <f t="shared" si="20"/>
        <v>0</v>
      </c>
      <c r="O92" s="310">
        <v>16</v>
      </c>
      <c r="P92" s="66">
        <v>0</v>
      </c>
      <c r="Q92" s="66"/>
      <c r="R92" s="66">
        <v>0</v>
      </c>
      <c r="S92" s="66">
        <v>12</v>
      </c>
      <c r="T92" s="66">
        <v>4</v>
      </c>
      <c r="U92" s="66">
        <v>0</v>
      </c>
      <c r="V92" s="66">
        <v>0</v>
      </c>
      <c r="W92" s="54">
        <v>0</v>
      </c>
      <c r="X92" s="55">
        <f>SUMIFS(Таблица3[Кол-во квартир],Таблица3[Адрес МКД],$D92)</f>
        <v>16</v>
      </c>
      <c r="Y92" s="56">
        <f t="shared" si="29"/>
        <v>1916.1</v>
      </c>
      <c r="Z92" s="253">
        <f>SUMIFS(Таблица3[Площадь жилая],Таблица3[Адрес МКД],$D92)</f>
        <v>1079.3</v>
      </c>
      <c r="AA92" s="261">
        <f>SUMIFS(Таблица3[Площадь нежилых помещений],Таблица3[Адрес МКД],$D92)</f>
        <v>0</v>
      </c>
      <c r="AB92" s="252">
        <f>SUMIFS(Таблица1[1],Таблица1[2],$D92)</f>
        <v>0</v>
      </c>
      <c r="AC92" s="57">
        <f t="shared" si="21"/>
        <v>0</v>
      </c>
      <c r="AD92" s="57">
        <f t="shared" si="22"/>
        <v>0</v>
      </c>
      <c r="AE92" s="58">
        <f>SUMIFS(Таблица1[8],Таблица1[2],$D92)+SUMIFS(Таблица1[18],Таблица1[2],$D92)</f>
        <v>0</v>
      </c>
      <c r="AF92" s="58">
        <f>SUMIFS(Таблица1[9],Таблица1[2],$D92)+SUMIFS(Таблица1[19],Таблица1[2],$D92)</f>
        <v>0</v>
      </c>
      <c r="AG92" s="59">
        <f t="shared" si="23"/>
        <v>836.8</v>
      </c>
      <c r="AH92" s="59">
        <f t="shared" si="24"/>
        <v>836.8</v>
      </c>
      <c r="AI92" s="60">
        <f>85.9+159-AM92</f>
        <v>244.9</v>
      </c>
      <c r="AJ92" s="60">
        <f t="shared" si="16"/>
        <v>244.9</v>
      </c>
      <c r="AK92" s="60">
        <f>SUMIFS(Таблица1[10],Таблица1[2],$D92)</f>
        <v>0</v>
      </c>
      <c r="AL92" s="60">
        <f>SUMIFS(Таблица1[11],Таблица1[2],$D92)</f>
        <v>0</v>
      </c>
      <c r="AM92" s="251">
        <v>0</v>
      </c>
      <c r="AN92" s="249">
        <f t="shared" si="17"/>
        <v>0</v>
      </c>
      <c r="AO92" s="249">
        <f>SUMIFS(Таблица1[12],Таблица1[2],$D92)</f>
        <v>0</v>
      </c>
      <c r="AP92" s="249">
        <f>SUMIFS(Таблица1[13],Таблица1[2],$D92)</f>
        <v>0</v>
      </c>
      <c r="AQ92" s="61">
        <v>136.6</v>
      </c>
      <c r="AR92" s="61">
        <f t="shared" si="18"/>
        <v>136.6</v>
      </c>
      <c r="AS92" s="60">
        <f>SUMIFS(Таблица1[14],Таблица1[2],$D92)</f>
        <v>0</v>
      </c>
      <c r="AT92" s="60">
        <f>SUMIFS(Таблица1[15],Таблица1[2],$D92)</f>
        <v>0</v>
      </c>
      <c r="AU92" s="61">
        <v>455.3</v>
      </c>
      <c r="AV92" s="61">
        <f t="shared" si="19"/>
        <v>455.3</v>
      </c>
      <c r="AW92" s="60">
        <f>SUMIFS(Таблица1[16],Таблица1[2],$D92)</f>
        <v>0</v>
      </c>
      <c r="AX92" s="60">
        <f>SUMIFS(Таблица1[17],Таблица1[2],$D92)</f>
        <v>0</v>
      </c>
      <c r="AY92" s="263"/>
      <c r="AZ92" s="264"/>
      <c r="BA92" s="296">
        <v>0</v>
      </c>
      <c r="BB92" s="296">
        <f t="shared" si="28"/>
        <v>0</v>
      </c>
      <c r="BC92" s="296">
        <v>0</v>
      </c>
      <c r="BD92" s="296">
        <v>0</v>
      </c>
      <c r="BE92" s="285"/>
      <c r="BF92" s="259">
        <v>344</v>
      </c>
      <c r="BG92" s="260">
        <f>1739+3442</f>
        <v>5181</v>
      </c>
      <c r="BH92" s="62" t="s">
        <v>936</v>
      </c>
      <c r="BI92" s="62" t="s">
        <v>935</v>
      </c>
      <c r="BJ92" s="62"/>
      <c r="BK92" s="267"/>
      <c r="BL92" s="267"/>
      <c r="BM92" s="267" t="s">
        <v>1649</v>
      </c>
      <c r="BN92" s="268"/>
      <c r="BO92" s="62">
        <v>25</v>
      </c>
      <c r="BP92" s="63">
        <v>28564</v>
      </c>
      <c r="BQ92" s="64" t="s">
        <v>1131</v>
      </c>
      <c r="BR92" s="372" t="s">
        <v>2747</v>
      </c>
      <c r="BS92" s="62"/>
      <c r="BT92" s="323"/>
      <c r="BU92" s="62"/>
      <c r="BV92" s="323"/>
      <c r="BW92" s="62"/>
      <c r="BX92" s="336">
        <v>16</v>
      </c>
      <c r="BY92" s="336" t="s">
        <v>1649</v>
      </c>
    </row>
    <row r="93" spans="1:77" ht="13.15" hidden="1" customHeight="1" outlineLevel="1" x14ac:dyDescent="0.2">
      <c r="A93" s="50">
        <f t="shared" si="26"/>
        <v>88</v>
      </c>
      <c r="B93" s="51">
        <v>12</v>
      </c>
      <c r="C93" s="51">
        <v>16</v>
      </c>
      <c r="D93" s="18" t="s">
        <v>360</v>
      </c>
      <c r="E93" s="18">
        <v>9</v>
      </c>
      <c r="F93" s="18">
        <v>1</v>
      </c>
      <c r="G93" s="52">
        <v>1</v>
      </c>
      <c r="H93" s="237">
        <v>1</v>
      </c>
      <c r="I93" s="53">
        <v>1948</v>
      </c>
      <c r="J93" s="348">
        <v>2</v>
      </c>
      <c r="K93" s="346">
        <f t="shared" si="25"/>
        <v>3</v>
      </c>
      <c r="L93" s="346">
        <v>1</v>
      </c>
      <c r="M93" s="349">
        <v>2</v>
      </c>
      <c r="N93" s="255">
        <f t="shared" si="20"/>
        <v>0</v>
      </c>
      <c r="O93" s="310">
        <v>16</v>
      </c>
      <c r="P93" s="66">
        <v>0</v>
      </c>
      <c r="Q93" s="66"/>
      <c r="R93" s="66">
        <v>4</v>
      </c>
      <c r="S93" s="66">
        <v>8</v>
      </c>
      <c r="T93" s="66">
        <v>4</v>
      </c>
      <c r="U93" s="66">
        <v>0</v>
      </c>
      <c r="V93" s="66">
        <v>0</v>
      </c>
      <c r="W93" s="54">
        <v>0</v>
      </c>
      <c r="X93" s="55">
        <f>SUMIFS(Таблица3[Кол-во квартир],Таблица3[Адрес МКД],$D93)</f>
        <v>16</v>
      </c>
      <c r="Y93" s="56">
        <f t="shared" si="29"/>
        <v>1768.9</v>
      </c>
      <c r="Z93" s="253">
        <f>SUMIFS(Таблица3[Площадь жилая],Таблица3[Адрес МКД],$D93)</f>
        <v>752.1</v>
      </c>
      <c r="AA93" s="261">
        <f>SUMIFS(Таблица3[Площадь нежилых помещений],Таблица3[Адрес МКД],$D93)</f>
        <v>0</v>
      </c>
      <c r="AB93" s="252">
        <f>SUMIFS(Таблица1[1],Таблица1[2],$D93)</f>
        <v>0</v>
      </c>
      <c r="AC93" s="57">
        <f t="shared" si="21"/>
        <v>0</v>
      </c>
      <c r="AD93" s="57">
        <f t="shared" si="22"/>
        <v>0</v>
      </c>
      <c r="AE93" s="58">
        <f>SUMIFS(Таблица1[8],Таблица1[2],$D93)+SUMIFS(Таблица1[18],Таблица1[2],$D93)</f>
        <v>0</v>
      </c>
      <c r="AF93" s="58">
        <f>SUMIFS(Таблица1[9],Таблица1[2],$D93)+SUMIFS(Таблица1[19],Таблица1[2],$D93)</f>
        <v>0</v>
      </c>
      <c r="AG93" s="59">
        <f t="shared" si="23"/>
        <v>1016.8</v>
      </c>
      <c r="AH93" s="59">
        <f t="shared" si="24"/>
        <v>1016.8</v>
      </c>
      <c r="AI93" s="60">
        <f>181.8-AM93</f>
        <v>181.8</v>
      </c>
      <c r="AJ93" s="60">
        <f t="shared" si="16"/>
        <v>181.8</v>
      </c>
      <c r="AK93" s="60">
        <f>SUMIFS(Таблица1[10],Таблица1[2],$D93)</f>
        <v>0</v>
      </c>
      <c r="AL93" s="60">
        <f>SUMIFS(Таблица1[11],Таблица1[2],$D93)</f>
        <v>0</v>
      </c>
      <c r="AM93" s="251">
        <v>0</v>
      </c>
      <c r="AN93" s="249">
        <f t="shared" si="17"/>
        <v>0</v>
      </c>
      <c r="AO93" s="249">
        <f>SUMIFS(Таблица1[12],Таблица1[2],$D93)</f>
        <v>0</v>
      </c>
      <c r="AP93" s="249">
        <f>SUMIFS(Таблица1[13],Таблица1[2],$D93)</f>
        <v>0</v>
      </c>
      <c r="AQ93" s="61">
        <v>87.5</v>
      </c>
      <c r="AR93" s="61">
        <f t="shared" si="18"/>
        <v>87.5</v>
      </c>
      <c r="AS93" s="60">
        <f>SUMIFS(Таблица1[14],Таблица1[2],$D93)</f>
        <v>0</v>
      </c>
      <c r="AT93" s="60">
        <f>SUMIFS(Таблица1[15],Таблица1[2],$D93)</f>
        <v>0</v>
      </c>
      <c r="AU93" s="61">
        <v>747.5</v>
      </c>
      <c r="AV93" s="61">
        <f t="shared" si="19"/>
        <v>747.5</v>
      </c>
      <c r="AW93" s="60">
        <f>SUMIFS(Таблица1[16],Таблица1[2],$D93)</f>
        <v>0</v>
      </c>
      <c r="AX93" s="60">
        <f>SUMIFS(Таблица1[17],Таблица1[2],$D93)</f>
        <v>0</v>
      </c>
      <c r="AY93" s="263"/>
      <c r="AZ93" s="264"/>
      <c r="BA93" s="296">
        <v>0</v>
      </c>
      <c r="BB93" s="296">
        <f t="shared" si="28"/>
        <v>0</v>
      </c>
      <c r="BC93" s="296">
        <v>0</v>
      </c>
      <c r="BD93" s="296">
        <v>0</v>
      </c>
      <c r="BE93" s="285"/>
      <c r="BF93" s="259">
        <v>568</v>
      </c>
      <c r="BG93" s="260">
        <v>3564</v>
      </c>
      <c r="BH93" s="62" t="s">
        <v>936</v>
      </c>
      <c r="BI93" s="62" t="s">
        <v>935</v>
      </c>
      <c r="BJ93" s="62"/>
      <c r="BK93" s="267"/>
      <c r="BL93" s="267"/>
      <c r="BM93" s="267" t="s">
        <v>1649</v>
      </c>
      <c r="BN93" s="268"/>
      <c r="BO93" s="62">
        <v>37</v>
      </c>
      <c r="BP93" s="63">
        <v>28564</v>
      </c>
      <c r="BQ93" s="64" t="s">
        <v>1131</v>
      </c>
      <c r="BR93" s="372" t="s">
        <v>2747</v>
      </c>
      <c r="BS93" s="62"/>
      <c r="BT93" s="323"/>
      <c r="BU93" s="62"/>
      <c r="BV93" s="323"/>
      <c r="BW93" s="62"/>
      <c r="BX93" s="336">
        <v>21</v>
      </c>
      <c r="BY93" s="336" t="s">
        <v>1649</v>
      </c>
    </row>
    <row r="94" spans="1:77" ht="13.15" hidden="1" customHeight="1" outlineLevel="1" x14ac:dyDescent="0.2">
      <c r="A94" s="50">
        <f t="shared" si="26"/>
        <v>89</v>
      </c>
      <c r="B94" s="51">
        <v>13</v>
      </c>
      <c r="C94" s="51">
        <v>17</v>
      </c>
      <c r="D94" s="18" t="s">
        <v>361</v>
      </c>
      <c r="E94" s="18">
        <v>9</v>
      </c>
      <c r="F94" s="18">
        <v>1</v>
      </c>
      <c r="G94" s="52">
        <v>1</v>
      </c>
      <c r="H94" s="237">
        <v>1</v>
      </c>
      <c r="I94" s="53">
        <v>1948</v>
      </c>
      <c r="J94" s="348">
        <v>3</v>
      </c>
      <c r="K94" s="346">
        <f t="shared" si="25"/>
        <v>4</v>
      </c>
      <c r="L94" s="346">
        <v>1</v>
      </c>
      <c r="M94" s="349">
        <v>2</v>
      </c>
      <c r="N94" s="255">
        <f t="shared" si="20"/>
        <v>0</v>
      </c>
      <c r="O94" s="310">
        <v>16</v>
      </c>
      <c r="P94" s="66">
        <v>3</v>
      </c>
      <c r="Q94" s="66"/>
      <c r="R94" s="66">
        <v>0</v>
      </c>
      <c r="S94" s="66">
        <v>12</v>
      </c>
      <c r="T94" s="66">
        <v>4</v>
      </c>
      <c r="U94" s="66">
        <v>0</v>
      </c>
      <c r="V94" s="66">
        <v>0</v>
      </c>
      <c r="W94" s="54">
        <v>0</v>
      </c>
      <c r="X94" s="55">
        <f>SUMIFS(Таблица3[Кол-во квартир],Таблица3[Адрес МКД],$D94)</f>
        <v>13</v>
      </c>
      <c r="Y94" s="56">
        <f t="shared" si="29"/>
        <v>1882</v>
      </c>
      <c r="Z94" s="253">
        <f>SUMIFS(Таблица3[Площадь жилая],Таблица3[Адрес МКД],$D94)</f>
        <v>813.7</v>
      </c>
      <c r="AA94" s="261">
        <f>SUMIFS(Таблица3[Площадь нежилых помещений],Таблица3[Адрес МКД],$D94)</f>
        <v>250.5</v>
      </c>
      <c r="AB94" s="252">
        <f>SUMIFS(Таблица1[1],Таблица1[2],$D94)</f>
        <v>258.7</v>
      </c>
      <c r="AC94" s="57">
        <f t="shared" si="21"/>
        <v>250.5</v>
      </c>
      <c r="AD94" s="57">
        <f t="shared" si="22"/>
        <v>8.1999999999999993</v>
      </c>
      <c r="AE94" s="58">
        <f>SUMIFS(Таблица1[8],Таблица1[2],$D94)+SUMIFS(Таблица1[18],Таблица1[2],$D94)</f>
        <v>250.5</v>
      </c>
      <c r="AF94" s="58">
        <f>SUMIFS(Таблица1[9],Таблица1[2],$D94)+SUMIFS(Таблица1[19],Таблица1[2],$D94)</f>
        <v>0</v>
      </c>
      <c r="AG94" s="59">
        <f t="shared" si="23"/>
        <v>809.6</v>
      </c>
      <c r="AH94" s="59">
        <f t="shared" si="24"/>
        <v>817.8</v>
      </c>
      <c r="AI94" s="60">
        <f>230.9-AM94</f>
        <v>230.9</v>
      </c>
      <c r="AJ94" s="60">
        <f t="shared" si="16"/>
        <v>230.9</v>
      </c>
      <c r="AK94" s="60">
        <f>SUMIFS(Таблица1[10],Таблица1[2],$D94)</f>
        <v>0</v>
      </c>
      <c r="AL94" s="60">
        <f>SUMIFS(Таблица1[11],Таблица1[2],$D94)</f>
        <v>0</v>
      </c>
      <c r="AM94" s="251">
        <v>0</v>
      </c>
      <c r="AN94" s="249">
        <f t="shared" si="17"/>
        <v>0</v>
      </c>
      <c r="AO94" s="249">
        <f>SUMIFS(Таблица1[12],Таблица1[2],$D94)</f>
        <v>0</v>
      </c>
      <c r="AP94" s="249">
        <f>SUMIFS(Таблица1[13],Таблица1[2],$D94)</f>
        <v>0</v>
      </c>
      <c r="AQ94" s="61">
        <f>134.8</f>
        <v>134.80000000000001</v>
      </c>
      <c r="AR94" s="61">
        <f t="shared" si="18"/>
        <v>126.60000000000001</v>
      </c>
      <c r="AS94" s="60">
        <f>SUMIFS(Таблица1[14],Таблица1[2],$D94)</f>
        <v>0</v>
      </c>
      <c r="AT94" s="60">
        <f>SUMIFS(Таблица1[15],Таблица1[2],$D94)</f>
        <v>8.1999999999999993</v>
      </c>
      <c r="AU94" s="61">
        <v>452.1</v>
      </c>
      <c r="AV94" s="61">
        <f t="shared" si="19"/>
        <v>452.1</v>
      </c>
      <c r="AW94" s="60">
        <f>SUMIFS(Таблица1[16],Таблица1[2],$D94)</f>
        <v>0</v>
      </c>
      <c r="AX94" s="60">
        <f>SUMIFS(Таблица1[17],Таблица1[2],$D94)</f>
        <v>0</v>
      </c>
      <c r="AY94" s="263"/>
      <c r="AZ94" s="264"/>
      <c r="BA94" s="296">
        <v>0</v>
      </c>
      <c r="BB94" s="296">
        <f t="shared" si="28"/>
        <v>0</v>
      </c>
      <c r="BC94" s="296">
        <v>0</v>
      </c>
      <c r="BD94" s="296">
        <v>0</v>
      </c>
      <c r="BE94" s="285"/>
      <c r="BF94" s="259">
        <v>832</v>
      </c>
      <c r="BG94" s="260">
        <f>1734+3384</f>
        <v>5118</v>
      </c>
      <c r="BH94" s="62" t="s">
        <v>939</v>
      </c>
      <c r="BI94" s="62" t="s">
        <v>935</v>
      </c>
      <c r="BJ94" s="62"/>
      <c r="BK94" s="267"/>
      <c r="BL94" s="267"/>
      <c r="BM94" s="267" t="s">
        <v>1649</v>
      </c>
      <c r="BN94" s="268"/>
      <c r="BO94" s="62">
        <v>41</v>
      </c>
      <c r="BP94" s="63">
        <v>28564</v>
      </c>
      <c r="BQ94" s="64" t="s">
        <v>1131</v>
      </c>
      <c r="BR94" s="372" t="s">
        <v>2747</v>
      </c>
      <c r="BS94" s="62"/>
      <c r="BT94" s="323"/>
      <c r="BU94" s="62"/>
      <c r="BV94" s="323"/>
      <c r="BW94" s="62"/>
      <c r="BX94" s="336">
        <v>17</v>
      </c>
      <c r="BY94" s="336" t="s">
        <v>1649</v>
      </c>
    </row>
    <row r="95" spans="1:77" ht="13.15" hidden="1" customHeight="1" outlineLevel="1" x14ac:dyDescent="0.2">
      <c r="A95" s="50">
        <f t="shared" si="26"/>
        <v>90</v>
      </c>
      <c r="B95" s="51">
        <v>14</v>
      </c>
      <c r="C95" s="51">
        <v>18</v>
      </c>
      <c r="D95" s="18" t="s">
        <v>362</v>
      </c>
      <c r="E95" s="18">
        <v>9</v>
      </c>
      <c r="F95" s="18">
        <v>1</v>
      </c>
      <c r="G95" s="52">
        <v>1</v>
      </c>
      <c r="H95" s="237">
        <v>1</v>
      </c>
      <c r="I95" s="53">
        <v>1949</v>
      </c>
      <c r="J95" s="348">
        <v>3</v>
      </c>
      <c r="K95" s="346">
        <f t="shared" si="25"/>
        <v>4</v>
      </c>
      <c r="L95" s="346">
        <v>1</v>
      </c>
      <c r="M95" s="349">
        <v>4</v>
      </c>
      <c r="N95" s="255">
        <f t="shared" si="20"/>
        <v>0</v>
      </c>
      <c r="O95" s="310">
        <v>21</v>
      </c>
      <c r="P95" s="66">
        <v>1</v>
      </c>
      <c r="Q95" s="66"/>
      <c r="R95" s="66">
        <v>0</v>
      </c>
      <c r="S95" s="66">
        <v>13</v>
      </c>
      <c r="T95" s="66">
        <v>3</v>
      </c>
      <c r="U95" s="66">
        <v>5</v>
      </c>
      <c r="V95" s="66">
        <v>0</v>
      </c>
      <c r="W95" s="54">
        <v>0</v>
      </c>
      <c r="X95" s="55">
        <f>SUMIFS(Таблица3[Кол-во квартир],Таблица3[Адрес МКД],$D95)</f>
        <v>20</v>
      </c>
      <c r="Y95" s="56">
        <f t="shared" si="29"/>
        <v>3914</v>
      </c>
      <c r="Z95" s="253">
        <f>SUMIFS(Таблица3[Площадь жилая],Таблица3[Адрес МКД],$D95)</f>
        <v>1425</v>
      </c>
      <c r="AA95" s="261">
        <f>SUMIFS(Таблица3[Площадь нежилых помещений],Таблица3[Адрес МКД],$D95)</f>
        <v>1117.7</v>
      </c>
      <c r="AB95" s="252">
        <f>SUMIFS(Таблица1[1],Таблица1[2],$D95)</f>
        <v>1163.7</v>
      </c>
      <c r="AC95" s="57">
        <f t="shared" si="21"/>
        <v>1117.7</v>
      </c>
      <c r="AD95" s="57">
        <f t="shared" si="22"/>
        <v>46</v>
      </c>
      <c r="AE95" s="58">
        <f>SUMIFS(Таблица1[8],Таблица1[2],$D95)+SUMIFS(Таблица1[18],Таблица1[2],$D95)</f>
        <v>729.1</v>
      </c>
      <c r="AF95" s="58">
        <f>SUMIFS(Таблица1[9],Таблица1[2],$D95)+SUMIFS(Таблица1[19],Таблица1[2],$D95)</f>
        <v>0</v>
      </c>
      <c r="AG95" s="59">
        <f t="shared" si="23"/>
        <v>1325.3</v>
      </c>
      <c r="AH95" s="59">
        <f t="shared" si="24"/>
        <v>1371.3</v>
      </c>
      <c r="AI95" s="60">
        <f>647.4-AM95</f>
        <v>647.4</v>
      </c>
      <c r="AJ95" s="60">
        <f t="shared" si="16"/>
        <v>212.79999999999995</v>
      </c>
      <c r="AK95" s="60">
        <f>SUMIFS(Таблица1[10],Таблица1[2],$D95)</f>
        <v>388.6</v>
      </c>
      <c r="AL95" s="60">
        <f>SUMIFS(Таблица1[11],Таблица1[2],$D95)</f>
        <v>46</v>
      </c>
      <c r="AM95" s="251">
        <v>0</v>
      </c>
      <c r="AN95" s="249">
        <f t="shared" si="17"/>
        <v>0</v>
      </c>
      <c r="AO95" s="249">
        <f>SUMIFS(Таблица1[12],Таблица1[2],$D95)</f>
        <v>0</v>
      </c>
      <c r="AP95" s="249">
        <f>SUMIFS(Таблица1[13],Таблица1[2],$D95)</f>
        <v>0</v>
      </c>
      <c r="AQ95" s="61">
        <v>205.9</v>
      </c>
      <c r="AR95" s="61">
        <f t="shared" si="18"/>
        <v>205.9</v>
      </c>
      <c r="AS95" s="60">
        <f>SUMIFS(Таблица1[14],Таблица1[2],$D95)</f>
        <v>0</v>
      </c>
      <c r="AT95" s="60">
        <f>SUMIFS(Таблица1[15],Таблица1[2],$D95)</f>
        <v>0</v>
      </c>
      <c r="AU95" s="61">
        <v>906.6</v>
      </c>
      <c r="AV95" s="61">
        <f t="shared" si="19"/>
        <v>906.6</v>
      </c>
      <c r="AW95" s="60">
        <f>SUMIFS(Таблица1[16],Таблица1[2],$D95)</f>
        <v>0</v>
      </c>
      <c r="AX95" s="60">
        <f>SUMIFS(Таблица1[17],Таблица1[2],$D95)</f>
        <v>0</v>
      </c>
      <c r="AY95" s="263"/>
      <c r="AZ95" s="264"/>
      <c r="BA95" s="296">
        <v>0</v>
      </c>
      <c r="BB95" s="296">
        <f t="shared" si="28"/>
        <v>0</v>
      </c>
      <c r="BC95" s="296">
        <v>0</v>
      </c>
      <c r="BD95" s="296">
        <v>0</v>
      </c>
      <c r="BE95" s="285"/>
      <c r="BF95" s="259">
        <v>2664</v>
      </c>
      <c r="BG95" s="260">
        <f>4273+6673</f>
        <v>10946</v>
      </c>
      <c r="BH95" s="62" t="s">
        <v>939</v>
      </c>
      <c r="BI95" s="62" t="s">
        <v>935</v>
      </c>
      <c r="BJ95" s="62" t="s">
        <v>1017</v>
      </c>
      <c r="BK95" s="267"/>
      <c r="BL95" s="267"/>
      <c r="BM95" s="267" t="s">
        <v>1649</v>
      </c>
      <c r="BN95" s="268"/>
      <c r="BO95" s="62">
        <v>38</v>
      </c>
      <c r="BP95" s="63">
        <v>28563</v>
      </c>
      <c r="BQ95" s="64" t="s">
        <v>1131</v>
      </c>
      <c r="BR95" s="372" t="s">
        <v>2747</v>
      </c>
      <c r="BS95" s="62"/>
      <c r="BT95" s="323"/>
      <c r="BU95" s="62"/>
      <c r="BV95" s="323"/>
      <c r="BW95" s="62"/>
      <c r="BX95" s="336">
        <v>32</v>
      </c>
      <c r="BY95" s="336"/>
    </row>
    <row r="96" spans="1:77" ht="13.15" hidden="1" customHeight="1" outlineLevel="1" x14ac:dyDescent="0.2">
      <c r="A96" s="50">
        <f t="shared" si="26"/>
        <v>91</v>
      </c>
      <c r="B96" s="51">
        <v>18</v>
      </c>
      <c r="C96" s="51">
        <v>19</v>
      </c>
      <c r="D96" s="18" t="s">
        <v>444</v>
      </c>
      <c r="E96" s="18">
        <v>10</v>
      </c>
      <c r="F96" s="18">
        <v>1</v>
      </c>
      <c r="G96" s="52">
        <v>1</v>
      </c>
      <c r="H96" s="237">
        <v>1</v>
      </c>
      <c r="I96" s="53">
        <v>1948</v>
      </c>
      <c r="J96" s="348">
        <v>3</v>
      </c>
      <c r="K96" s="346">
        <f t="shared" si="25"/>
        <v>4</v>
      </c>
      <c r="L96" s="346">
        <v>1</v>
      </c>
      <c r="M96" s="349">
        <v>5</v>
      </c>
      <c r="N96" s="255">
        <f t="shared" si="20"/>
        <v>1</v>
      </c>
      <c r="O96" s="310">
        <v>30</v>
      </c>
      <c r="P96" s="66">
        <v>3</v>
      </c>
      <c r="Q96" s="66"/>
      <c r="R96" s="66">
        <v>0</v>
      </c>
      <c r="S96" s="66">
        <v>18</v>
      </c>
      <c r="T96" s="66">
        <v>7</v>
      </c>
      <c r="U96" s="66">
        <v>5</v>
      </c>
      <c r="V96" s="66">
        <v>0</v>
      </c>
      <c r="W96" s="54">
        <v>0</v>
      </c>
      <c r="X96" s="55">
        <f>SUMIFS(Таблица3[Кол-во квартир],Таблица3[Адрес МКД],$D96)</f>
        <v>26</v>
      </c>
      <c r="Y96" s="56">
        <f t="shared" si="29"/>
        <v>5041.0999999999995</v>
      </c>
      <c r="Z96" s="253">
        <f>SUMIFS(Таблица3[Площадь жилая],Таблица3[Адрес МКД],$D96)</f>
        <v>1921.3</v>
      </c>
      <c r="AA96" s="261">
        <f>SUMIFS(Таблица3[Площадь нежилых помещений],Таблица3[Адрес МКД],$D96)</f>
        <v>1216.7</v>
      </c>
      <c r="AB96" s="252">
        <f>SUMIFS(Таблица1[1],Таблица1[2],$D96)</f>
        <v>1254.9599999999998</v>
      </c>
      <c r="AC96" s="57">
        <f t="shared" si="21"/>
        <v>1254.96</v>
      </c>
      <c r="AD96" s="57">
        <f t="shared" si="22"/>
        <v>0</v>
      </c>
      <c r="AE96" s="58">
        <f>SUMIFS(Таблица1[8],Таблица1[2],$D96)+SUMIFS(Таблица1[18],Таблица1[2],$D96)</f>
        <v>871.3</v>
      </c>
      <c r="AF96" s="58">
        <f>SUMIFS(Таблица1[9],Таблица1[2],$D96)+SUMIFS(Таблица1[19],Таблица1[2],$D96)</f>
        <v>0</v>
      </c>
      <c r="AG96" s="59">
        <f t="shared" si="23"/>
        <v>1864.84</v>
      </c>
      <c r="AH96" s="59">
        <f t="shared" si="24"/>
        <v>1864.84</v>
      </c>
      <c r="AI96" s="60">
        <f>885.3-AM96</f>
        <v>885.3</v>
      </c>
      <c r="AJ96" s="60">
        <f t="shared" si="16"/>
        <v>501.63999999999993</v>
      </c>
      <c r="AK96" s="60">
        <f>SUMIFS(Таблица1[10],Таблица1[2],$D96)</f>
        <v>383.66</v>
      </c>
      <c r="AL96" s="60">
        <f>SUMIFS(Таблица1[11],Таблица1[2],$D96)</f>
        <v>0</v>
      </c>
      <c r="AM96" s="251">
        <v>0</v>
      </c>
      <c r="AN96" s="249">
        <f t="shared" si="17"/>
        <v>0</v>
      </c>
      <c r="AO96" s="249">
        <f>SUMIFS(Таблица1[12],Таблица1[2],$D96)</f>
        <v>0</v>
      </c>
      <c r="AP96" s="249">
        <f>SUMIFS(Таблица1[13],Таблица1[2],$D96)</f>
        <v>0</v>
      </c>
      <c r="AQ96" s="61">
        <v>254.2</v>
      </c>
      <c r="AR96" s="61">
        <f t="shared" si="18"/>
        <v>254.2</v>
      </c>
      <c r="AS96" s="60">
        <f>SUMIFS(Таблица1[14],Таблица1[2],$D96)</f>
        <v>0</v>
      </c>
      <c r="AT96" s="60">
        <f>SUMIFS(Таблица1[15],Таблица1[2],$D96)</f>
        <v>0</v>
      </c>
      <c r="AU96" s="61">
        <v>1109</v>
      </c>
      <c r="AV96" s="61">
        <f t="shared" si="19"/>
        <v>1109</v>
      </c>
      <c r="AW96" s="60">
        <f>SUMIFS(Таблица1[16],Таблица1[2],$D96)</f>
        <v>0</v>
      </c>
      <c r="AX96" s="60">
        <f>SUMIFS(Таблица1[17],Таблица1[2],$D96)</f>
        <v>0</v>
      </c>
      <c r="AY96" s="263">
        <f>Нежилые!G521</f>
        <v>38.26</v>
      </c>
      <c r="AZ96" s="264"/>
      <c r="BA96" s="296">
        <v>0</v>
      </c>
      <c r="BB96" s="296">
        <f t="shared" si="28"/>
        <v>0</v>
      </c>
      <c r="BC96" s="296">
        <v>0</v>
      </c>
      <c r="BD96" s="296">
        <v>0</v>
      </c>
      <c r="BE96" s="285"/>
      <c r="BF96" s="259">
        <v>3381</v>
      </c>
      <c r="BG96" s="260">
        <v>13553</v>
      </c>
      <c r="BH96" s="62" t="s">
        <v>936</v>
      </c>
      <c r="BI96" s="62" t="s">
        <v>935</v>
      </c>
      <c r="BJ96" s="62"/>
      <c r="BK96" s="267"/>
      <c r="BL96" s="267"/>
      <c r="BM96" s="267" t="s">
        <v>1649</v>
      </c>
      <c r="BN96" s="268"/>
      <c r="BO96" s="62">
        <v>24</v>
      </c>
      <c r="BP96" s="63">
        <v>30298</v>
      </c>
      <c r="BQ96" s="64" t="s">
        <v>1131</v>
      </c>
      <c r="BR96" s="372" t="s">
        <v>2747</v>
      </c>
      <c r="BS96" s="62"/>
      <c r="BT96" s="323"/>
      <c r="BU96" s="62"/>
      <c r="BV96" s="323"/>
      <c r="BW96" s="62"/>
      <c r="BX96" s="336">
        <v>48</v>
      </c>
      <c r="BY96" s="336" t="s">
        <v>1649</v>
      </c>
    </row>
    <row r="97" spans="1:77" ht="13.15" hidden="1" customHeight="1" outlineLevel="1" x14ac:dyDescent="0.2">
      <c r="A97" s="50">
        <f t="shared" si="26"/>
        <v>92</v>
      </c>
      <c r="B97" s="51">
        <v>19</v>
      </c>
      <c r="C97" s="51">
        <v>20</v>
      </c>
      <c r="D97" s="18" t="s">
        <v>445</v>
      </c>
      <c r="E97" s="18">
        <v>10</v>
      </c>
      <c r="F97" s="18">
        <v>1</v>
      </c>
      <c r="G97" s="52">
        <v>1</v>
      </c>
      <c r="H97" s="237">
        <v>1</v>
      </c>
      <c r="I97" s="53">
        <v>1948</v>
      </c>
      <c r="J97" s="348">
        <v>3</v>
      </c>
      <c r="K97" s="346">
        <f t="shared" si="25"/>
        <v>4</v>
      </c>
      <c r="L97" s="346">
        <v>1</v>
      </c>
      <c r="M97" s="349">
        <v>4</v>
      </c>
      <c r="N97" s="255">
        <f t="shared" si="20"/>
        <v>0</v>
      </c>
      <c r="O97" s="310">
        <v>36</v>
      </c>
      <c r="P97" s="66">
        <v>8</v>
      </c>
      <c r="Q97" s="66"/>
      <c r="R97" s="66">
        <v>8</v>
      </c>
      <c r="S97" s="66">
        <v>24</v>
      </c>
      <c r="T97" s="66">
        <v>4</v>
      </c>
      <c r="U97" s="66">
        <v>0</v>
      </c>
      <c r="V97" s="66">
        <v>0</v>
      </c>
      <c r="W97" s="54">
        <v>0</v>
      </c>
      <c r="X97" s="55">
        <f>SUMIFS(Таблица3[Кол-во квартир],Таблица3[Адрес МКД],$D97)</f>
        <v>28</v>
      </c>
      <c r="Y97" s="56">
        <f t="shared" si="29"/>
        <v>3830.5</v>
      </c>
      <c r="Z97" s="253">
        <f>SUMIFS(Таблица3[Площадь жилая],Таблица3[Адрес МКД],$D97)</f>
        <v>1642</v>
      </c>
      <c r="AA97" s="261">
        <f>SUMIFS(Таблица3[Площадь нежилых помещений],Таблица3[Адрес МКД],$D97)</f>
        <v>463.2</v>
      </c>
      <c r="AB97" s="252">
        <f>SUMIFS(Таблица1[1],Таблица1[2],$D97)</f>
        <v>587.29999999999995</v>
      </c>
      <c r="AC97" s="57">
        <f t="shared" si="21"/>
        <v>463.19999999999993</v>
      </c>
      <c r="AD97" s="57">
        <f t="shared" si="22"/>
        <v>124.1</v>
      </c>
      <c r="AE97" s="58">
        <f>SUMIFS(Таблица1[8],Таблица1[2],$D97)+SUMIFS(Таблица1[18],Таблица1[2],$D97)</f>
        <v>463.19999999999993</v>
      </c>
      <c r="AF97" s="58">
        <f>SUMIFS(Таблица1[9],Таблица1[2],$D97)+SUMIFS(Таблица1[19],Таблица1[2],$D97)</f>
        <v>0</v>
      </c>
      <c r="AG97" s="59">
        <f t="shared" si="23"/>
        <v>1601.2</v>
      </c>
      <c r="AH97" s="59">
        <f t="shared" si="24"/>
        <v>1725.3000000000002</v>
      </c>
      <c r="AI97" s="60">
        <f>484.3-AM97</f>
        <v>484.3</v>
      </c>
      <c r="AJ97" s="60">
        <f t="shared" si="16"/>
        <v>405.20000000000005</v>
      </c>
      <c r="AK97" s="60">
        <f>SUMIFS(Таблица1[10],Таблица1[2],$D97)</f>
        <v>0</v>
      </c>
      <c r="AL97" s="60">
        <f>SUMIFS(Таблица1[11],Таблица1[2],$D97)</f>
        <v>79.099999999999994</v>
      </c>
      <c r="AM97" s="251">
        <v>0</v>
      </c>
      <c r="AN97" s="249">
        <f t="shared" si="17"/>
        <v>0</v>
      </c>
      <c r="AO97" s="249">
        <f>SUMIFS(Таблица1[12],Таблица1[2],$D97)</f>
        <v>0</v>
      </c>
      <c r="AP97" s="249">
        <f>SUMIFS(Таблица1[13],Таблица1[2],$D97)</f>
        <v>0</v>
      </c>
      <c r="AQ97" s="61">
        <f>268.6</f>
        <v>268.60000000000002</v>
      </c>
      <c r="AR97" s="61">
        <f t="shared" si="18"/>
        <v>223.60000000000002</v>
      </c>
      <c r="AS97" s="60">
        <f>SUMIFS(Таблица1[14],Таблица1[2],$D97)</f>
        <v>0</v>
      </c>
      <c r="AT97" s="60">
        <f>SUMIFS(Таблица1[15],Таблица1[2],$D97)</f>
        <v>45</v>
      </c>
      <c r="AU97" s="61">
        <v>972.4</v>
      </c>
      <c r="AV97" s="61">
        <f t="shared" si="19"/>
        <v>972.4</v>
      </c>
      <c r="AW97" s="60">
        <f>SUMIFS(Таблица1[16],Таблица1[2],$D97)</f>
        <v>0</v>
      </c>
      <c r="AX97" s="60">
        <f>SUMIFS(Таблица1[17],Таблица1[2],$D97)</f>
        <v>0</v>
      </c>
      <c r="AY97" s="263"/>
      <c r="AZ97" s="264"/>
      <c r="BA97" s="296">
        <v>0</v>
      </c>
      <c r="BB97" s="296">
        <f t="shared" si="28"/>
        <v>0</v>
      </c>
      <c r="BC97" s="296">
        <v>0</v>
      </c>
      <c r="BD97" s="296">
        <v>0</v>
      </c>
      <c r="BE97" s="285"/>
      <c r="BF97" s="259">
        <v>2425</v>
      </c>
      <c r="BG97" s="260">
        <f>3348+6685</f>
        <v>10033</v>
      </c>
      <c r="BH97" s="62" t="s">
        <v>936</v>
      </c>
      <c r="BI97" s="62" t="s">
        <v>935</v>
      </c>
      <c r="BJ97" s="62"/>
      <c r="BK97" s="267"/>
      <c r="BL97" s="267"/>
      <c r="BM97" s="267" t="s">
        <v>1649</v>
      </c>
      <c r="BN97" s="268"/>
      <c r="BO97" s="62">
        <v>30</v>
      </c>
      <c r="BP97" s="63">
        <v>30333</v>
      </c>
      <c r="BQ97" s="64" t="s">
        <v>1131</v>
      </c>
      <c r="BR97" s="372" t="s">
        <v>2747</v>
      </c>
      <c r="BS97" s="62"/>
      <c r="BT97" s="323"/>
      <c r="BU97" s="62"/>
      <c r="BV97" s="323"/>
      <c r="BW97" s="62"/>
      <c r="BX97" s="336">
        <v>34</v>
      </c>
      <c r="BY97" s="336"/>
    </row>
    <row r="98" spans="1:77" ht="13.15" hidden="1" customHeight="1" outlineLevel="1" x14ac:dyDescent="0.2">
      <c r="A98" s="50">
        <f t="shared" si="26"/>
        <v>93</v>
      </c>
      <c r="B98" s="51">
        <v>20</v>
      </c>
      <c r="C98" s="51">
        <v>21</v>
      </c>
      <c r="D98" s="18" t="s">
        <v>446</v>
      </c>
      <c r="E98" s="18">
        <v>10</v>
      </c>
      <c r="F98" s="18">
        <v>1</v>
      </c>
      <c r="G98" s="52">
        <v>1</v>
      </c>
      <c r="H98" s="237">
        <v>1</v>
      </c>
      <c r="I98" s="53">
        <v>1949</v>
      </c>
      <c r="J98" s="348">
        <v>3</v>
      </c>
      <c r="K98" s="346">
        <f t="shared" si="25"/>
        <v>4</v>
      </c>
      <c r="L98" s="346">
        <v>1</v>
      </c>
      <c r="M98" s="349">
        <v>4</v>
      </c>
      <c r="N98" s="255">
        <f t="shared" si="20"/>
        <v>0</v>
      </c>
      <c r="O98" s="310">
        <v>36</v>
      </c>
      <c r="P98" s="66">
        <v>9</v>
      </c>
      <c r="Q98" s="66"/>
      <c r="R98" s="66">
        <v>6</v>
      </c>
      <c r="S98" s="66">
        <v>24</v>
      </c>
      <c r="T98" s="66">
        <v>6</v>
      </c>
      <c r="U98" s="66">
        <v>0</v>
      </c>
      <c r="V98" s="66">
        <v>0</v>
      </c>
      <c r="W98" s="54">
        <v>0</v>
      </c>
      <c r="X98" s="55">
        <f>SUMIFS(Таблица3[Кол-во квартир],Таблица3[Адрес МКД],$D98)</f>
        <v>27</v>
      </c>
      <c r="Y98" s="56">
        <f t="shared" si="29"/>
        <v>4011.7</v>
      </c>
      <c r="Z98" s="253">
        <f>SUMIFS(Таблица3[Площадь жилая],Таблица3[Адрес МКД],$D98)</f>
        <v>1643.8</v>
      </c>
      <c r="AA98" s="261">
        <f>SUMIFS(Таблица3[Площадь нежилых помещений],Таблица3[Адрес МКД],$D98)</f>
        <v>562.4</v>
      </c>
      <c r="AB98" s="252">
        <f>SUMIFS(Таблица1[1],Таблица1[2],$D98)</f>
        <v>585.79999999999995</v>
      </c>
      <c r="AC98" s="57">
        <f t="shared" si="21"/>
        <v>562.4</v>
      </c>
      <c r="AD98" s="57">
        <f t="shared" si="22"/>
        <v>23.4</v>
      </c>
      <c r="AE98" s="58">
        <f>SUMIFS(Таблица1[8],Таблица1[2],$D98)+SUMIFS(Таблица1[18],Таблица1[2],$D98)</f>
        <v>562.4</v>
      </c>
      <c r="AF98" s="58">
        <f>SUMIFS(Таблица1[9],Таблица1[2],$D98)+SUMIFS(Таблица1[19],Таблица1[2],$D98)</f>
        <v>0</v>
      </c>
      <c r="AG98" s="59">
        <f t="shared" si="23"/>
        <v>1782.1</v>
      </c>
      <c r="AH98" s="59">
        <f t="shared" si="24"/>
        <v>1805.5</v>
      </c>
      <c r="AI98" s="60">
        <f>591.3-AM98</f>
        <v>591.29999999999995</v>
      </c>
      <c r="AJ98" s="60">
        <f t="shared" si="16"/>
        <v>591.29999999999995</v>
      </c>
      <c r="AK98" s="60">
        <f>SUMIFS(Таблица1[10],Таблица1[2],$D98)</f>
        <v>0</v>
      </c>
      <c r="AL98" s="60">
        <f>SUMIFS(Таблица1[11],Таблица1[2],$D98)</f>
        <v>0</v>
      </c>
      <c r="AM98" s="251">
        <v>0</v>
      </c>
      <c r="AN98" s="249">
        <f t="shared" si="17"/>
        <v>0</v>
      </c>
      <c r="AO98" s="249">
        <f>SUMIFS(Таблица1[12],Таблица1[2],$D98)</f>
        <v>0</v>
      </c>
      <c r="AP98" s="249">
        <f>SUMIFS(Таблица1[13],Таблица1[2],$D98)</f>
        <v>0</v>
      </c>
      <c r="AQ98" s="61">
        <f>250.6</f>
        <v>250.6</v>
      </c>
      <c r="AR98" s="61">
        <f t="shared" si="18"/>
        <v>227.2</v>
      </c>
      <c r="AS98" s="60">
        <f>SUMIFS(Таблица1[14],Таблица1[2],$D98)</f>
        <v>0</v>
      </c>
      <c r="AT98" s="60">
        <f>SUMIFS(Таблица1[15],Таблица1[2],$D98)</f>
        <v>23.4</v>
      </c>
      <c r="AU98" s="61">
        <v>963.6</v>
      </c>
      <c r="AV98" s="61">
        <f t="shared" si="19"/>
        <v>963.6</v>
      </c>
      <c r="AW98" s="60">
        <f>SUMIFS(Таблица1[16],Таблица1[2],$D98)</f>
        <v>0</v>
      </c>
      <c r="AX98" s="60">
        <f>SUMIFS(Таблица1[17],Таблица1[2],$D98)</f>
        <v>0</v>
      </c>
      <c r="AY98" s="263"/>
      <c r="AZ98" s="264"/>
      <c r="BA98" s="296">
        <v>0</v>
      </c>
      <c r="BB98" s="296">
        <f t="shared" si="28"/>
        <v>0</v>
      </c>
      <c r="BC98" s="296">
        <v>0</v>
      </c>
      <c r="BD98" s="296">
        <v>0</v>
      </c>
      <c r="BE98" s="285"/>
      <c r="BF98" s="259">
        <f>710+1848</f>
        <v>2558</v>
      </c>
      <c r="BG98" s="260">
        <v>10759</v>
      </c>
      <c r="BH98" s="62" t="s">
        <v>936</v>
      </c>
      <c r="BI98" s="62" t="s">
        <v>935</v>
      </c>
      <c r="BJ98" s="62"/>
      <c r="BK98" s="267"/>
      <c r="BL98" s="267"/>
      <c r="BM98" s="267" t="s">
        <v>1649</v>
      </c>
      <c r="BN98" s="268"/>
      <c r="BO98" s="62">
        <v>28</v>
      </c>
      <c r="BP98" s="63">
        <v>30292</v>
      </c>
      <c r="BQ98" s="64" t="s">
        <v>1131</v>
      </c>
      <c r="BR98" s="372" t="s">
        <v>2747</v>
      </c>
      <c r="BS98" s="62"/>
      <c r="BT98" s="323"/>
      <c r="BU98" s="62"/>
      <c r="BV98" s="323"/>
      <c r="BW98" s="62"/>
      <c r="BX98" s="336">
        <v>36</v>
      </c>
      <c r="BY98" s="336"/>
    </row>
    <row r="99" spans="1:77" ht="13.15" hidden="1" customHeight="1" outlineLevel="1" x14ac:dyDescent="0.2">
      <c r="A99" s="50">
        <f t="shared" si="26"/>
        <v>94</v>
      </c>
      <c r="B99" s="51">
        <v>21</v>
      </c>
      <c r="C99" s="51">
        <v>22</v>
      </c>
      <c r="D99" s="18" t="s">
        <v>447</v>
      </c>
      <c r="E99" s="18">
        <v>10</v>
      </c>
      <c r="F99" s="18">
        <v>1</v>
      </c>
      <c r="G99" s="52">
        <v>1</v>
      </c>
      <c r="H99" s="237">
        <v>1</v>
      </c>
      <c r="I99" s="53">
        <v>1958</v>
      </c>
      <c r="J99" s="348">
        <v>4</v>
      </c>
      <c r="K99" s="346">
        <f t="shared" si="25"/>
        <v>5</v>
      </c>
      <c r="L99" s="346">
        <v>1</v>
      </c>
      <c r="M99" s="349">
        <v>4</v>
      </c>
      <c r="N99" s="255">
        <f t="shared" si="20"/>
        <v>1</v>
      </c>
      <c r="O99" s="310">
        <v>55</v>
      </c>
      <c r="P99" s="327">
        <v>6</v>
      </c>
      <c r="Q99" s="66"/>
      <c r="R99" s="66">
        <v>18</v>
      </c>
      <c r="S99" s="66">
        <v>13</v>
      </c>
      <c r="T99" s="66">
        <v>24</v>
      </c>
      <c r="U99" s="66">
        <v>0</v>
      </c>
      <c r="V99" s="66">
        <v>0</v>
      </c>
      <c r="W99" s="54">
        <v>0</v>
      </c>
      <c r="X99" s="55">
        <f>SUMIFS(Таблица3[Кол-во квартир],Таблица3[Адрес МКД],$D99)</f>
        <v>48</v>
      </c>
      <c r="Y99" s="56">
        <f t="shared" si="29"/>
        <v>5162.82</v>
      </c>
      <c r="Z99" s="253">
        <f>SUMIFS(Таблица3[Площадь жилая],Таблица3[Адрес МКД],$D99)</f>
        <v>2674.02</v>
      </c>
      <c r="AA99" s="261">
        <f>SUMIFS(Таблица3[Площадь нежилых помещений],Таблица3[Адрес МКД],$D99)</f>
        <v>366.1</v>
      </c>
      <c r="AB99" s="252">
        <f>SUMIFS(Таблица1[1],Таблица1[2],$D99)</f>
        <v>395.8</v>
      </c>
      <c r="AC99" s="57">
        <f t="shared" si="21"/>
        <v>366.1</v>
      </c>
      <c r="AD99" s="57">
        <f t="shared" si="22"/>
        <v>29.700000000000003</v>
      </c>
      <c r="AE99" s="58">
        <f>SUMIFS(Таблица1[8],Таблица1[2],$D99)+SUMIFS(Таблица1[18],Таблица1[2],$D99)</f>
        <v>366.1</v>
      </c>
      <c r="AF99" s="58">
        <f>SUMIFS(Таблица1[9],Таблица1[2],$D99)+SUMIFS(Таблица1[19],Таблица1[2],$D99)</f>
        <v>0</v>
      </c>
      <c r="AG99" s="59">
        <f t="shared" si="23"/>
        <v>2093</v>
      </c>
      <c r="AH99" s="59">
        <f t="shared" si="24"/>
        <v>2122.6999999999998</v>
      </c>
      <c r="AI99" s="60">
        <f>711.5-AM99</f>
        <v>711.5</v>
      </c>
      <c r="AJ99" s="60">
        <f t="shared" si="16"/>
        <v>700.4</v>
      </c>
      <c r="AK99" s="60">
        <f>SUMIFS(Таблица1[10],Таблица1[2],$D99)</f>
        <v>0</v>
      </c>
      <c r="AL99" s="60">
        <f>SUMIFS(Таблица1[11],Таблица1[2],$D99)</f>
        <v>11.1</v>
      </c>
      <c r="AM99" s="251">
        <v>0</v>
      </c>
      <c r="AN99" s="249">
        <f t="shared" si="17"/>
        <v>0</v>
      </c>
      <c r="AO99" s="249">
        <f>SUMIFS(Таблица1[12],Таблица1[2],$D99)</f>
        <v>0</v>
      </c>
      <c r="AP99" s="249">
        <f>SUMIFS(Таблица1[13],Таблица1[2],$D99)</f>
        <v>0</v>
      </c>
      <c r="AQ99" s="61">
        <f>448.2</f>
        <v>448.2</v>
      </c>
      <c r="AR99" s="61">
        <f t="shared" si="18"/>
        <v>429.59999999999997</v>
      </c>
      <c r="AS99" s="60">
        <f>SUMIFS(Таблица1[14],Таблица1[2],$D99)</f>
        <v>0</v>
      </c>
      <c r="AT99" s="60">
        <f>SUMIFS(Таблица1[15],Таблица1[2],$D99)</f>
        <v>18.600000000000001</v>
      </c>
      <c r="AU99" s="61">
        <v>963</v>
      </c>
      <c r="AV99" s="61">
        <f t="shared" si="19"/>
        <v>963</v>
      </c>
      <c r="AW99" s="60">
        <f>SUMIFS(Таблица1[16],Таблица1[2],$D99)</f>
        <v>0</v>
      </c>
      <c r="AX99" s="60">
        <f>SUMIFS(Таблица1[17],Таблица1[2],$D99)</f>
        <v>0</v>
      </c>
      <c r="AY99" s="263"/>
      <c r="AZ99" s="264"/>
      <c r="BA99" s="296">
        <v>0</v>
      </c>
      <c r="BB99" s="296">
        <f t="shared" si="28"/>
        <v>0</v>
      </c>
      <c r="BC99" s="296">
        <v>0</v>
      </c>
      <c r="BD99" s="296">
        <v>0</v>
      </c>
      <c r="BE99" s="285"/>
      <c r="BF99" s="259">
        <v>3904</v>
      </c>
      <c r="BG99" s="260">
        <f>3263+10044</f>
        <v>13307</v>
      </c>
      <c r="BH99" s="62" t="s">
        <v>940</v>
      </c>
      <c r="BI99" s="62" t="s">
        <v>935</v>
      </c>
      <c r="BJ99" s="62" t="s">
        <v>944</v>
      </c>
      <c r="BK99" s="267"/>
      <c r="BL99" s="267"/>
      <c r="BM99" s="267" t="s">
        <v>1649</v>
      </c>
      <c r="BN99" s="268"/>
      <c r="BO99" s="62">
        <v>21</v>
      </c>
      <c r="BP99" s="63">
        <v>31876</v>
      </c>
      <c r="BQ99" s="64" t="s">
        <v>1131</v>
      </c>
      <c r="BR99" s="372" t="s">
        <v>2747</v>
      </c>
      <c r="BS99" s="62"/>
      <c r="BT99" s="323"/>
      <c r="BU99" s="62"/>
      <c r="BV99" s="323"/>
      <c r="BW99" s="62"/>
      <c r="BX99" s="336">
        <v>42</v>
      </c>
      <c r="BY99" s="336"/>
    </row>
    <row r="100" spans="1:77" ht="13.15" hidden="1" customHeight="1" outlineLevel="1" x14ac:dyDescent="0.2">
      <c r="A100" s="50">
        <f t="shared" si="26"/>
        <v>95</v>
      </c>
      <c r="B100" s="51">
        <v>5</v>
      </c>
      <c r="C100" s="51">
        <v>23</v>
      </c>
      <c r="D100" s="18" t="s">
        <v>354</v>
      </c>
      <c r="E100" s="18">
        <v>9</v>
      </c>
      <c r="F100" s="18">
        <v>1</v>
      </c>
      <c r="G100" s="52">
        <v>1</v>
      </c>
      <c r="H100" s="237">
        <v>1</v>
      </c>
      <c r="I100" s="53">
        <v>1949</v>
      </c>
      <c r="J100" s="348">
        <v>3</v>
      </c>
      <c r="K100" s="346">
        <f t="shared" si="25"/>
        <v>4</v>
      </c>
      <c r="L100" s="346">
        <v>1</v>
      </c>
      <c r="M100" s="349">
        <v>2</v>
      </c>
      <c r="N100" s="255">
        <f t="shared" si="20"/>
        <v>0</v>
      </c>
      <c r="O100" s="310">
        <v>16</v>
      </c>
      <c r="P100" s="66">
        <v>1</v>
      </c>
      <c r="Q100" s="66"/>
      <c r="R100" s="66">
        <v>0</v>
      </c>
      <c r="S100" s="66">
        <v>12</v>
      </c>
      <c r="T100" s="66">
        <v>4</v>
      </c>
      <c r="U100" s="66">
        <v>0</v>
      </c>
      <c r="V100" s="66">
        <v>0</v>
      </c>
      <c r="W100" s="54">
        <v>0</v>
      </c>
      <c r="X100" s="55">
        <f>SUMIFS(Таблица3[Кол-во квартир],Таблица3[Адрес МКД],$D100)</f>
        <v>15</v>
      </c>
      <c r="Y100" s="56">
        <f t="shared" si="29"/>
        <v>2411.9</v>
      </c>
      <c r="Z100" s="253">
        <f>SUMIFS(Таблица3[Площадь жилая],Таблица3[Адрес МКД],$D100)</f>
        <v>989.1</v>
      </c>
      <c r="AA100" s="261">
        <f>SUMIFS(Таблица3[Площадь нежилых помещений],Таблица3[Адрес МКД],$D100)</f>
        <v>120.8</v>
      </c>
      <c r="AB100" s="252">
        <f>SUMIFS(Таблица1[1],Таблица1[2],$D100)</f>
        <v>120.8</v>
      </c>
      <c r="AC100" s="57">
        <f t="shared" si="21"/>
        <v>120.8</v>
      </c>
      <c r="AD100" s="57">
        <f t="shared" si="22"/>
        <v>0</v>
      </c>
      <c r="AE100" s="58">
        <f>SUMIFS(Таблица1[8],Таблица1[2],$D100)+SUMIFS(Таблица1[18],Таблица1[2],$D100)</f>
        <v>81.099999999999994</v>
      </c>
      <c r="AF100" s="58">
        <f>SUMIFS(Таблица1[9],Таблица1[2],$D100)+SUMIFS(Таблица1[19],Таблица1[2],$D100)</f>
        <v>0</v>
      </c>
      <c r="AG100" s="59">
        <f t="shared" si="23"/>
        <v>1302</v>
      </c>
      <c r="AH100" s="59">
        <f t="shared" si="24"/>
        <v>1302</v>
      </c>
      <c r="AI100" s="60">
        <f>451.1-AM100</f>
        <v>451.1</v>
      </c>
      <c r="AJ100" s="60">
        <f t="shared" si="16"/>
        <v>411.40000000000003</v>
      </c>
      <c r="AK100" s="60">
        <f>SUMIFS(Таблица1[10],Таблица1[2],$D100)</f>
        <v>39.700000000000003</v>
      </c>
      <c r="AL100" s="60">
        <f>SUMIFS(Таблица1[11],Таблица1[2],$D100)</f>
        <v>0</v>
      </c>
      <c r="AM100" s="251">
        <v>0</v>
      </c>
      <c r="AN100" s="249">
        <f t="shared" si="17"/>
        <v>0</v>
      </c>
      <c r="AO100" s="249">
        <f>SUMIFS(Таблица1[12],Таблица1[2],$D100)</f>
        <v>0</v>
      </c>
      <c r="AP100" s="249">
        <f>SUMIFS(Таблица1[13],Таблица1[2],$D100)</f>
        <v>0</v>
      </c>
      <c r="AQ100" s="61">
        <f>163.8</f>
        <v>163.80000000000001</v>
      </c>
      <c r="AR100" s="61">
        <f t="shared" si="18"/>
        <v>163.80000000000001</v>
      </c>
      <c r="AS100" s="60">
        <f>SUMIFS(Таблица1[14],Таблица1[2],$D100)</f>
        <v>0</v>
      </c>
      <c r="AT100" s="60">
        <f>SUMIFS(Таблица1[15],Таблица1[2],$D100)</f>
        <v>0</v>
      </c>
      <c r="AU100" s="61">
        <v>726.8</v>
      </c>
      <c r="AV100" s="61">
        <f t="shared" si="19"/>
        <v>726.8</v>
      </c>
      <c r="AW100" s="60">
        <f>SUMIFS(Таблица1[16],Таблица1[2],$D100)</f>
        <v>0</v>
      </c>
      <c r="AX100" s="60">
        <f>SUMIFS(Таблица1[17],Таблица1[2],$D100)</f>
        <v>0</v>
      </c>
      <c r="AY100" s="263"/>
      <c r="AZ100" s="264"/>
      <c r="BA100" s="296">
        <v>0</v>
      </c>
      <c r="BB100" s="296">
        <f t="shared" si="28"/>
        <v>0</v>
      </c>
      <c r="BC100" s="296">
        <v>0</v>
      </c>
      <c r="BD100" s="296">
        <v>0</v>
      </c>
      <c r="BE100" s="285"/>
      <c r="BF100" s="259">
        <v>1008</v>
      </c>
      <c r="BG100" s="260">
        <v>8105</v>
      </c>
      <c r="BH100" s="62" t="s">
        <v>936</v>
      </c>
      <c r="BI100" s="62" t="s">
        <v>935</v>
      </c>
      <c r="BJ100" s="62" t="s">
        <v>944</v>
      </c>
      <c r="BK100" s="267"/>
      <c r="BL100" s="267"/>
      <c r="BM100" s="267" t="s">
        <v>1649</v>
      </c>
      <c r="BN100" s="268"/>
      <c r="BO100" s="62">
        <v>26</v>
      </c>
      <c r="BP100" s="63">
        <v>29970</v>
      </c>
      <c r="BQ100" s="64" t="s">
        <v>1131</v>
      </c>
      <c r="BR100" s="372" t="s">
        <v>2747</v>
      </c>
      <c r="BS100" s="62"/>
      <c r="BT100" s="323"/>
      <c r="BU100" s="62"/>
      <c r="BV100" s="323"/>
      <c r="BW100" s="62"/>
      <c r="BX100" s="336">
        <v>16</v>
      </c>
      <c r="BY100" s="336" t="s">
        <v>1649</v>
      </c>
    </row>
    <row r="101" spans="1:77" ht="13.15" hidden="1" customHeight="1" outlineLevel="1" x14ac:dyDescent="0.2">
      <c r="A101" s="50">
        <f t="shared" si="26"/>
        <v>96</v>
      </c>
      <c r="B101" s="51">
        <v>6</v>
      </c>
      <c r="C101" s="51">
        <v>24</v>
      </c>
      <c r="D101" s="18" t="s">
        <v>355</v>
      </c>
      <c r="E101" s="18">
        <v>9</v>
      </c>
      <c r="F101" s="18">
        <v>1</v>
      </c>
      <c r="G101" s="52">
        <v>1</v>
      </c>
      <c r="H101" s="237">
        <v>1</v>
      </c>
      <c r="I101" s="53">
        <v>1949</v>
      </c>
      <c r="J101" s="348">
        <v>2</v>
      </c>
      <c r="K101" s="346">
        <f t="shared" si="25"/>
        <v>3</v>
      </c>
      <c r="L101" s="346">
        <v>1</v>
      </c>
      <c r="M101" s="349">
        <v>3</v>
      </c>
      <c r="N101" s="255">
        <f t="shared" si="20"/>
        <v>0</v>
      </c>
      <c r="O101" s="310">
        <v>18</v>
      </c>
      <c r="P101" s="66">
        <v>0</v>
      </c>
      <c r="Q101" s="66"/>
      <c r="R101" s="66">
        <v>0</v>
      </c>
      <c r="S101" s="66">
        <v>18</v>
      </c>
      <c r="T101" s="66">
        <v>0</v>
      </c>
      <c r="U101" s="66">
        <v>0</v>
      </c>
      <c r="V101" s="66">
        <v>0</v>
      </c>
      <c r="W101" s="54">
        <v>0</v>
      </c>
      <c r="X101" s="55">
        <f>SUMIFS(Таблица3[Кол-во квартир],Таблица3[Адрес МКД],$D101)</f>
        <v>18</v>
      </c>
      <c r="Y101" s="56">
        <f t="shared" si="29"/>
        <v>2382</v>
      </c>
      <c r="Z101" s="253">
        <f>SUMIFS(Таблица3[Площадь жилая],Таблица3[Адрес МКД],$D101)</f>
        <v>1130</v>
      </c>
      <c r="AA101" s="261">
        <f>SUMIFS(Таблица3[Площадь нежилых помещений],Таблица3[Адрес МКД],$D101)</f>
        <v>296.3</v>
      </c>
      <c r="AB101" s="252">
        <f>SUMIFS(Таблица1[1],Таблица1[2],$D101)</f>
        <v>296.3</v>
      </c>
      <c r="AC101" s="57">
        <f t="shared" si="21"/>
        <v>296.3</v>
      </c>
      <c r="AD101" s="57">
        <f t="shared" si="22"/>
        <v>0</v>
      </c>
      <c r="AE101" s="58">
        <f>SUMIFS(Таблица1[8],Таблица1[2],$D101)+SUMIFS(Таблица1[18],Таблица1[2],$D101)</f>
        <v>0</v>
      </c>
      <c r="AF101" s="58">
        <f>SUMIFS(Таблица1[9],Таблица1[2],$D101)+SUMIFS(Таблица1[19],Таблица1[2],$D101)</f>
        <v>0</v>
      </c>
      <c r="AG101" s="59">
        <f t="shared" si="23"/>
        <v>955.69999999999993</v>
      </c>
      <c r="AH101" s="59">
        <f t="shared" si="24"/>
        <v>955.69999999999993</v>
      </c>
      <c r="AI101" s="60">
        <f>446.7-AM101</f>
        <v>261.29999999999995</v>
      </c>
      <c r="AJ101" s="60">
        <f t="shared" si="16"/>
        <v>150.39999999999995</v>
      </c>
      <c r="AK101" s="60">
        <f>SUMIFS(Таблица1[10],Таблица1[2],$D101)</f>
        <v>110.9</v>
      </c>
      <c r="AL101" s="60">
        <f>SUMIFS(Таблица1[11],Таблица1[2],$D101)</f>
        <v>0</v>
      </c>
      <c r="AM101" s="251">
        <v>185.4</v>
      </c>
      <c r="AN101" s="249">
        <f t="shared" si="17"/>
        <v>0</v>
      </c>
      <c r="AO101" s="249">
        <f>SUMIFS(Таблица1[12],Таблица1[2],$D101)</f>
        <v>185.4</v>
      </c>
      <c r="AP101" s="249">
        <f>SUMIFS(Таблица1[13],Таблица1[2],$D101)</f>
        <v>0</v>
      </c>
      <c r="AQ101" s="61">
        <v>124.3</v>
      </c>
      <c r="AR101" s="61">
        <f t="shared" si="18"/>
        <v>124.3</v>
      </c>
      <c r="AS101" s="60">
        <f>SUMIFS(Таблица1[14],Таблица1[2],$D101)</f>
        <v>0</v>
      </c>
      <c r="AT101" s="60">
        <f>SUMIFS(Таблица1[15],Таблица1[2],$D101)</f>
        <v>0</v>
      </c>
      <c r="AU101" s="61">
        <v>681</v>
      </c>
      <c r="AV101" s="61">
        <f t="shared" si="19"/>
        <v>681</v>
      </c>
      <c r="AW101" s="60">
        <f>SUMIFS(Таблица1[16],Таблица1[2],$D101)</f>
        <v>0</v>
      </c>
      <c r="AX101" s="60">
        <f>SUMIFS(Таблица1[17],Таблица1[2],$D101)</f>
        <v>0</v>
      </c>
      <c r="AY101" s="263">
        <f>Нежилые!G487</f>
        <v>61.8</v>
      </c>
      <c r="AZ101" s="264"/>
      <c r="BA101" s="296">
        <v>0</v>
      </c>
      <c r="BB101" s="296">
        <f t="shared" si="28"/>
        <v>0</v>
      </c>
      <c r="BC101" s="296">
        <v>0</v>
      </c>
      <c r="BD101" s="296">
        <v>0</v>
      </c>
      <c r="BE101" s="285"/>
      <c r="BF101" s="259">
        <v>1638</v>
      </c>
      <c r="BG101" s="260">
        <v>5110</v>
      </c>
      <c r="BH101" s="62" t="s">
        <v>936</v>
      </c>
      <c r="BI101" s="62" t="s">
        <v>935</v>
      </c>
      <c r="BJ101" s="62"/>
      <c r="BK101" s="267"/>
      <c r="BL101" s="267"/>
      <c r="BM101" s="267" t="s">
        <v>1649</v>
      </c>
      <c r="BN101" s="268"/>
      <c r="BO101" s="62">
        <v>26</v>
      </c>
      <c r="BP101" s="63">
        <v>29970</v>
      </c>
      <c r="BQ101" s="64" t="s">
        <v>1131</v>
      </c>
      <c r="BR101" s="372" t="s">
        <v>2747</v>
      </c>
      <c r="BS101" s="62"/>
      <c r="BT101" s="323"/>
      <c r="BU101" s="62"/>
      <c r="BV101" s="323"/>
      <c r="BW101" s="62"/>
      <c r="BX101" s="336">
        <v>24</v>
      </c>
      <c r="BY101" s="336" t="s">
        <v>1649</v>
      </c>
    </row>
    <row r="102" spans="1:77" ht="13.15" hidden="1" customHeight="1" outlineLevel="1" x14ac:dyDescent="0.2">
      <c r="A102" s="50">
        <f t="shared" si="26"/>
        <v>97</v>
      </c>
      <c r="B102" s="51">
        <v>22</v>
      </c>
      <c r="C102" s="51">
        <v>25</v>
      </c>
      <c r="D102" s="18" t="s">
        <v>448</v>
      </c>
      <c r="E102" s="18">
        <v>10</v>
      </c>
      <c r="F102" s="18">
        <v>1</v>
      </c>
      <c r="G102" s="52">
        <v>1</v>
      </c>
      <c r="H102" s="237">
        <v>1</v>
      </c>
      <c r="I102" s="53">
        <v>1956</v>
      </c>
      <c r="J102" s="348">
        <v>4</v>
      </c>
      <c r="K102" s="346">
        <f t="shared" si="25"/>
        <v>5</v>
      </c>
      <c r="L102" s="346">
        <v>1</v>
      </c>
      <c r="M102" s="349">
        <v>7</v>
      </c>
      <c r="N102" s="255">
        <f t="shared" si="20"/>
        <v>0</v>
      </c>
      <c r="O102" s="310">
        <v>85</v>
      </c>
      <c r="P102" s="66">
        <v>9</v>
      </c>
      <c r="Q102" s="66"/>
      <c r="R102" s="66">
        <v>11</v>
      </c>
      <c r="S102" s="66">
        <v>24</v>
      </c>
      <c r="T102" s="66">
        <v>50</v>
      </c>
      <c r="U102" s="66">
        <v>0</v>
      </c>
      <c r="V102" s="66">
        <v>0</v>
      </c>
      <c r="W102" s="54">
        <v>0</v>
      </c>
      <c r="X102" s="55">
        <f>SUMIFS(Таблица3[Кол-во квартир],Таблица3[Адрес МКД],$D102)</f>
        <v>76</v>
      </c>
      <c r="Y102" s="56">
        <f t="shared" si="29"/>
        <v>9395.7999999999993</v>
      </c>
      <c r="Z102" s="253">
        <f>SUMIFS(Таблица3[Площадь жилая],Таблица3[Адрес МКД],$D102)</f>
        <v>4810.1000000000004</v>
      </c>
      <c r="AA102" s="261">
        <f>SUMIFS(Таблица3[Площадь нежилых помещений],Таблица3[Адрес МКД],$D102)</f>
        <v>1171.2</v>
      </c>
      <c r="AB102" s="252">
        <f>SUMIFS(Таблица1[1],Таблица1[2],$D102)</f>
        <v>1147.4000000000001</v>
      </c>
      <c r="AC102" s="57">
        <f t="shared" si="21"/>
        <v>1147.4000000000001</v>
      </c>
      <c r="AD102" s="57">
        <f t="shared" si="22"/>
        <v>0</v>
      </c>
      <c r="AE102" s="58">
        <f>SUMIFS(Таблица1[8],Таблица1[2],$D102)+SUMIFS(Таблица1[18],Таблица1[2],$D102)</f>
        <v>744.8</v>
      </c>
      <c r="AF102" s="58">
        <f>SUMIFS(Таблица1[9],Таблица1[2],$D102)+SUMIFS(Таблица1[19],Таблица1[2],$D102)</f>
        <v>0</v>
      </c>
      <c r="AG102" s="59">
        <f t="shared" si="23"/>
        <v>3414.5</v>
      </c>
      <c r="AH102" s="59">
        <f t="shared" si="24"/>
        <v>3414.5</v>
      </c>
      <c r="AI102" s="60">
        <f>1207.3-AM102</f>
        <v>939</v>
      </c>
      <c r="AJ102" s="60">
        <f t="shared" si="16"/>
        <v>780.9</v>
      </c>
      <c r="AK102" s="60">
        <f>SUMIFS(Таблица1[10],Таблица1[2],$D102)</f>
        <v>158.1</v>
      </c>
      <c r="AL102" s="60">
        <f>SUMIFS(Таблица1[11],Таблица1[2],$D102)</f>
        <v>0</v>
      </c>
      <c r="AM102" s="251">
        <f>268.3</f>
        <v>268.3</v>
      </c>
      <c r="AN102" s="249">
        <f t="shared" si="17"/>
        <v>23.799999999999983</v>
      </c>
      <c r="AO102" s="249">
        <f>SUMIFS(Таблица1[12],Таблица1[2],$D102)</f>
        <v>244.50000000000003</v>
      </c>
      <c r="AP102" s="249">
        <f>SUMIFS(Таблица1[13],Таблица1[2],$D102)</f>
        <v>0</v>
      </c>
      <c r="AQ102" s="61">
        <v>754</v>
      </c>
      <c r="AR102" s="61">
        <f t="shared" si="18"/>
        <v>754</v>
      </c>
      <c r="AS102" s="60">
        <f>SUMIFS(Таблица1[14],Таблица1[2],$D102)</f>
        <v>0</v>
      </c>
      <c r="AT102" s="60">
        <f>SUMIFS(Таблица1[15],Таблица1[2],$D102)</f>
        <v>0</v>
      </c>
      <c r="AU102" s="61">
        <v>1879.6</v>
      </c>
      <c r="AV102" s="61">
        <f t="shared" si="19"/>
        <v>1879.6</v>
      </c>
      <c r="AW102" s="60">
        <f>SUMIFS(Таблица1[16],Таблица1[2],$D102)</f>
        <v>0</v>
      </c>
      <c r="AX102" s="60">
        <f>SUMIFS(Таблица1[17],Таблица1[2],$D102)</f>
        <v>0</v>
      </c>
      <c r="AY102" s="263"/>
      <c r="AZ102" s="264"/>
      <c r="BA102" s="296">
        <v>0</v>
      </c>
      <c r="BB102" s="296">
        <f t="shared" si="28"/>
        <v>0</v>
      </c>
      <c r="BC102" s="296">
        <v>0</v>
      </c>
      <c r="BD102" s="296">
        <v>0</v>
      </c>
      <c r="BE102" s="285"/>
      <c r="BF102" s="259">
        <v>5327</v>
      </c>
      <c r="BG102" s="260">
        <f>6203+18557+13</f>
        <v>24773</v>
      </c>
      <c r="BH102" s="62" t="s">
        <v>940</v>
      </c>
      <c r="BI102" s="62" t="s">
        <v>935</v>
      </c>
      <c r="BJ102" s="62"/>
      <c r="BK102" s="267"/>
      <c r="BL102" s="267"/>
      <c r="BM102" s="267" t="s">
        <v>1649</v>
      </c>
      <c r="BN102" s="268"/>
      <c r="BO102" s="62">
        <v>25</v>
      </c>
      <c r="BP102" s="63">
        <v>31871</v>
      </c>
      <c r="BQ102" s="64" t="s">
        <v>1131</v>
      </c>
      <c r="BR102" s="372" t="s">
        <v>2747</v>
      </c>
      <c r="BS102" s="62"/>
      <c r="BT102" s="323"/>
      <c r="BU102" s="62"/>
      <c r="BV102" s="323"/>
      <c r="BW102" s="62"/>
      <c r="BX102" s="338"/>
      <c r="BY102" s="336" t="s">
        <v>58</v>
      </c>
    </row>
    <row r="103" spans="1:77" ht="13.15" hidden="1" customHeight="1" outlineLevel="1" x14ac:dyDescent="0.2">
      <c r="A103" s="50">
        <f t="shared" si="26"/>
        <v>98</v>
      </c>
      <c r="B103" s="51">
        <v>7</v>
      </c>
      <c r="C103" s="51">
        <v>26</v>
      </c>
      <c r="D103" s="18" t="s">
        <v>1328</v>
      </c>
      <c r="E103" s="18">
        <v>9</v>
      </c>
      <c r="F103" s="18">
        <v>1</v>
      </c>
      <c r="G103" s="52">
        <v>1</v>
      </c>
      <c r="H103" s="237">
        <v>1</v>
      </c>
      <c r="I103" s="53">
        <v>1949</v>
      </c>
      <c r="J103" s="348">
        <v>3</v>
      </c>
      <c r="K103" s="346">
        <f t="shared" si="25"/>
        <v>4</v>
      </c>
      <c r="L103" s="346">
        <v>1</v>
      </c>
      <c r="M103" s="349">
        <v>2</v>
      </c>
      <c r="N103" s="255">
        <f t="shared" si="20"/>
        <v>0</v>
      </c>
      <c r="O103" s="310">
        <v>21</v>
      </c>
      <c r="P103" s="66">
        <v>1</v>
      </c>
      <c r="Q103" s="66"/>
      <c r="R103" s="66">
        <v>3</v>
      </c>
      <c r="S103" s="66">
        <v>12</v>
      </c>
      <c r="T103" s="66">
        <v>6</v>
      </c>
      <c r="U103" s="66">
        <v>0</v>
      </c>
      <c r="V103" s="66">
        <v>0</v>
      </c>
      <c r="W103" s="54">
        <v>0</v>
      </c>
      <c r="X103" s="55">
        <f>SUMIFS(Таблица3[Кол-во квартир],Таблица3[Адрес МКД],$D103)</f>
        <v>20</v>
      </c>
      <c r="Y103" s="56">
        <f t="shared" si="29"/>
        <v>2156.3000000000002</v>
      </c>
      <c r="Z103" s="253">
        <f>SUMIFS(Таблица3[Площадь жилая],Таблица3[Адрес МКД],$D103)</f>
        <v>1094.2</v>
      </c>
      <c r="AA103" s="261">
        <f>SUMIFS(Таблица3[Площадь нежилых помещений],Таблица3[Адрес МКД],$D103)</f>
        <v>72.2</v>
      </c>
      <c r="AB103" s="252">
        <f>SUMIFS(Таблица1[1],Таблица1[2],$D103)</f>
        <v>72.2</v>
      </c>
      <c r="AC103" s="57">
        <f t="shared" si="21"/>
        <v>72.2</v>
      </c>
      <c r="AD103" s="57">
        <f t="shared" si="22"/>
        <v>0</v>
      </c>
      <c r="AE103" s="58">
        <f>SUMIFS(Таблица1[8],Таблица1[2],$D103)+SUMIFS(Таблица1[18],Таблица1[2],$D103)</f>
        <v>72.2</v>
      </c>
      <c r="AF103" s="58">
        <f>SUMIFS(Таблица1[9],Таблица1[2],$D103)+SUMIFS(Таблица1[19],Таблица1[2],$D103)</f>
        <v>0</v>
      </c>
      <c r="AG103" s="59">
        <f t="shared" si="23"/>
        <v>989.90000000000009</v>
      </c>
      <c r="AH103" s="59">
        <f t="shared" si="24"/>
        <v>989.90000000000009</v>
      </c>
      <c r="AI103" s="60">
        <f>295.1-AM103</f>
        <v>295.10000000000002</v>
      </c>
      <c r="AJ103" s="60">
        <f t="shared" si="16"/>
        <v>295.10000000000002</v>
      </c>
      <c r="AK103" s="60">
        <f>SUMIFS(Таблица1[10],Таблица1[2],$D103)</f>
        <v>0</v>
      </c>
      <c r="AL103" s="60">
        <f>SUMIFS(Таблица1[11],Таблица1[2],$D103)</f>
        <v>0</v>
      </c>
      <c r="AM103" s="251">
        <v>0</v>
      </c>
      <c r="AN103" s="249">
        <f t="shared" si="17"/>
        <v>0</v>
      </c>
      <c r="AO103" s="249">
        <f>SUMIFS(Таблица1[12],Таблица1[2],$D103)</f>
        <v>0</v>
      </c>
      <c r="AP103" s="249">
        <f>SUMIFS(Таблица1[13],Таблица1[2],$D103)</f>
        <v>0</v>
      </c>
      <c r="AQ103" s="61">
        <v>113.6</v>
      </c>
      <c r="AR103" s="61">
        <f t="shared" si="18"/>
        <v>113.6</v>
      </c>
      <c r="AS103" s="60">
        <f>SUMIFS(Таблица1[14],Таблица1[2],$D103)</f>
        <v>0</v>
      </c>
      <c r="AT103" s="60">
        <f>SUMIFS(Таблица1[15],Таблица1[2],$D103)</f>
        <v>0</v>
      </c>
      <c r="AU103" s="61">
        <v>581.20000000000005</v>
      </c>
      <c r="AV103" s="61">
        <f t="shared" si="19"/>
        <v>581.20000000000005</v>
      </c>
      <c r="AW103" s="60">
        <f>SUMIFS(Таблица1[16],Таблица1[2],$D103)</f>
        <v>0</v>
      </c>
      <c r="AX103" s="60">
        <f>SUMIFS(Таблица1[17],Таблица1[2],$D103)</f>
        <v>0</v>
      </c>
      <c r="AY103" s="263"/>
      <c r="AZ103" s="264"/>
      <c r="BA103" s="296">
        <v>0</v>
      </c>
      <c r="BB103" s="296">
        <f t="shared" si="28"/>
        <v>0</v>
      </c>
      <c r="BC103" s="296">
        <v>0</v>
      </c>
      <c r="BD103" s="296">
        <v>0</v>
      </c>
      <c r="BE103" s="285"/>
      <c r="BF103" s="259">
        <v>1462</v>
      </c>
      <c r="BG103" s="260">
        <f>1838+3574</f>
        <v>5412</v>
      </c>
      <c r="BH103" s="62" t="s">
        <v>939</v>
      </c>
      <c r="BI103" s="62" t="s">
        <v>935</v>
      </c>
      <c r="BJ103" s="62" t="s">
        <v>944</v>
      </c>
      <c r="BK103" s="267"/>
      <c r="BL103" s="267"/>
      <c r="BM103" s="267" t="s">
        <v>1649</v>
      </c>
      <c r="BN103" s="268"/>
      <c r="BO103" s="62">
        <v>32</v>
      </c>
      <c r="BP103" s="63">
        <v>30593</v>
      </c>
      <c r="BQ103" s="64" t="s">
        <v>1131</v>
      </c>
      <c r="BR103" s="372" t="s">
        <v>2747</v>
      </c>
      <c r="BS103" s="62"/>
      <c r="BT103" s="323"/>
      <c r="BU103" s="62"/>
      <c r="BV103" s="323"/>
      <c r="BW103" s="62"/>
      <c r="BX103" s="336">
        <v>21</v>
      </c>
      <c r="BY103" s="336" t="s">
        <v>1649</v>
      </c>
    </row>
    <row r="104" spans="1:77" ht="13.15" hidden="1" customHeight="1" outlineLevel="1" x14ac:dyDescent="0.2">
      <c r="A104" s="50">
        <f t="shared" si="26"/>
        <v>99</v>
      </c>
      <c r="B104" s="51">
        <v>8</v>
      </c>
      <c r="C104" s="51">
        <v>27</v>
      </c>
      <c r="D104" s="18" t="s">
        <v>356</v>
      </c>
      <c r="E104" s="18">
        <v>9</v>
      </c>
      <c r="F104" s="18">
        <v>1</v>
      </c>
      <c r="G104" s="52">
        <v>1</v>
      </c>
      <c r="H104" s="237">
        <v>1</v>
      </c>
      <c r="I104" s="53">
        <v>1948</v>
      </c>
      <c r="J104" s="348">
        <v>3</v>
      </c>
      <c r="K104" s="346">
        <f t="shared" si="25"/>
        <v>4</v>
      </c>
      <c r="L104" s="346">
        <v>1</v>
      </c>
      <c r="M104" s="349">
        <v>4</v>
      </c>
      <c r="N104" s="255">
        <f t="shared" si="20"/>
        <v>-1</v>
      </c>
      <c r="O104" s="310">
        <v>30</v>
      </c>
      <c r="P104" s="66">
        <v>3</v>
      </c>
      <c r="Q104" s="66"/>
      <c r="R104" s="66">
        <v>0</v>
      </c>
      <c r="S104" s="66">
        <v>24</v>
      </c>
      <c r="T104" s="66">
        <v>6</v>
      </c>
      <c r="U104" s="66">
        <v>0</v>
      </c>
      <c r="V104" s="66">
        <v>0</v>
      </c>
      <c r="W104" s="54">
        <v>0</v>
      </c>
      <c r="X104" s="55">
        <f>SUMIFS(Таблица3[Кол-во квартир],Таблица3[Адрес МКД],$D104)</f>
        <v>28</v>
      </c>
      <c r="Y104" s="56">
        <f t="shared" si="29"/>
        <v>3724.6</v>
      </c>
      <c r="Z104" s="253">
        <f>SUMIFS(Таблица3[Площадь жилая],Таблица3[Адрес МКД],$D104)</f>
        <v>1827.3</v>
      </c>
      <c r="AA104" s="261">
        <f>SUMIFS(Таблица3[Площадь нежилых помещений],Таблица3[Адрес МКД],$D104)</f>
        <v>336.6</v>
      </c>
      <c r="AB104" s="252">
        <f>SUMIFS(Таблица1[1],Таблица1[2],$D104)</f>
        <v>345.2</v>
      </c>
      <c r="AC104" s="57">
        <f t="shared" si="21"/>
        <v>336.6</v>
      </c>
      <c r="AD104" s="57">
        <f t="shared" si="22"/>
        <v>8.6</v>
      </c>
      <c r="AE104" s="58">
        <f>SUMIFS(Таблица1[8],Таблица1[2],$D104)+SUMIFS(Таблица1[18],Таблица1[2],$D104)</f>
        <v>257.3</v>
      </c>
      <c r="AF104" s="58">
        <f>SUMIFS(Таблица1[9],Таблица1[2],$D104)+SUMIFS(Таблица1[19],Таблица1[2],$D104)</f>
        <v>0</v>
      </c>
      <c r="AG104" s="59">
        <f t="shared" si="23"/>
        <v>1552.1</v>
      </c>
      <c r="AH104" s="59">
        <f t="shared" si="24"/>
        <v>1560.7</v>
      </c>
      <c r="AI104" s="60">
        <f>459.5-AM104</f>
        <v>459.5</v>
      </c>
      <c r="AJ104" s="60">
        <f t="shared" si="16"/>
        <v>380.2</v>
      </c>
      <c r="AK104" s="60">
        <f>SUMIFS(Таблица1[10],Таблица1[2],$D104)</f>
        <v>79.3</v>
      </c>
      <c r="AL104" s="60">
        <f>SUMIFS(Таблица1[11],Таблица1[2],$D104)</f>
        <v>0</v>
      </c>
      <c r="AM104" s="251">
        <v>0</v>
      </c>
      <c r="AN104" s="249">
        <f t="shared" si="17"/>
        <v>0</v>
      </c>
      <c r="AO104" s="249">
        <f>SUMIFS(Таблица1[12],Таблица1[2],$D104)</f>
        <v>0</v>
      </c>
      <c r="AP104" s="249">
        <f>SUMIFS(Таблица1[13],Таблица1[2],$D104)</f>
        <v>0</v>
      </c>
      <c r="AQ104" s="61">
        <f>224</f>
        <v>224</v>
      </c>
      <c r="AR104" s="61">
        <f t="shared" si="18"/>
        <v>215.4</v>
      </c>
      <c r="AS104" s="60">
        <f>SUMIFS(Таблица1[14],Таблица1[2],$D104)</f>
        <v>0</v>
      </c>
      <c r="AT104" s="60">
        <f>SUMIFS(Таблица1[15],Таблица1[2],$D104)</f>
        <v>8.6</v>
      </c>
      <c r="AU104" s="61">
        <v>956.5</v>
      </c>
      <c r="AV104" s="61">
        <f t="shared" si="19"/>
        <v>956.5</v>
      </c>
      <c r="AW104" s="60">
        <f>SUMIFS(Таблица1[16],Таблица1[2],$D104)</f>
        <v>0</v>
      </c>
      <c r="AX104" s="60">
        <f>SUMIFS(Таблица1[17],Таблица1[2],$D104)</f>
        <v>0</v>
      </c>
      <c r="AY104" s="263"/>
      <c r="AZ104" s="264"/>
      <c r="BA104" s="296">
        <v>0</v>
      </c>
      <c r="BB104" s="296">
        <f t="shared" si="28"/>
        <v>0</v>
      </c>
      <c r="BC104" s="296">
        <v>0</v>
      </c>
      <c r="BD104" s="296">
        <v>0</v>
      </c>
      <c r="BE104" s="285"/>
      <c r="BF104" s="259">
        <f>387+1798</f>
        <v>2185</v>
      </c>
      <c r="BG104" s="260">
        <f>2680+5264+1725</f>
        <v>9669</v>
      </c>
      <c r="BH104" s="62" t="s">
        <v>936</v>
      </c>
      <c r="BI104" s="62" t="s">
        <v>935</v>
      </c>
      <c r="BJ104" s="62" t="s">
        <v>944</v>
      </c>
      <c r="BK104" s="267"/>
      <c r="BL104" s="267"/>
      <c r="BM104" s="267" t="s">
        <v>1649</v>
      </c>
      <c r="BN104" s="268"/>
      <c r="BO104" s="62">
        <v>40</v>
      </c>
      <c r="BP104" s="63">
        <v>28564</v>
      </c>
      <c r="BQ104" s="64" t="s">
        <v>1131</v>
      </c>
      <c r="BR104" s="372" t="s">
        <v>2747</v>
      </c>
      <c r="BS104" s="62"/>
      <c r="BT104" s="323"/>
      <c r="BU104" s="62"/>
      <c r="BV104" s="323"/>
      <c r="BW104" s="62"/>
      <c r="BX104" s="336">
        <v>37</v>
      </c>
      <c r="BY104" s="336" t="s">
        <v>1649</v>
      </c>
    </row>
    <row r="105" spans="1:77" ht="13.15" hidden="1" customHeight="1" outlineLevel="1" x14ac:dyDescent="0.2">
      <c r="A105" s="50">
        <f t="shared" si="26"/>
        <v>100</v>
      </c>
      <c r="B105" s="51">
        <v>9</v>
      </c>
      <c r="C105" s="51">
        <v>28</v>
      </c>
      <c r="D105" s="18" t="s">
        <v>357</v>
      </c>
      <c r="E105" s="18">
        <v>9</v>
      </c>
      <c r="F105" s="18">
        <v>1</v>
      </c>
      <c r="G105" s="52">
        <v>1</v>
      </c>
      <c r="H105" s="237">
        <v>1</v>
      </c>
      <c r="I105" s="53">
        <v>1948</v>
      </c>
      <c r="J105" s="348">
        <v>3</v>
      </c>
      <c r="K105" s="346">
        <f t="shared" si="25"/>
        <v>4</v>
      </c>
      <c r="L105" s="346">
        <v>1</v>
      </c>
      <c r="M105" s="349">
        <v>2</v>
      </c>
      <c r="N105" s="255">
        <f t="shared" si="20"/>
        <v>0</v>
      </c>
      <c r="O105" s="310">
        <v>16</v>
      </c>
      <c r="P105" s="66">
        <v>0</v>
      </c>
      <c r="Q105" s="66"/>
      <c r="R105" s="66">
        <v>0</v>
      </c>
      <c r="S105" s="66">
        <v>12</v>
      </c>
      <c r="T105" s="66">
        <v>4</v>
      </c>
      <c r="U105" s="66">
        <v>0</v>
      </c>
      <c r="V105" s="66">
        <v>0</v>
      </c>
      <c r="W105" s="54">
        <v>0</v>
      </c>
      <c r="X105" s="55">
        <f>SUMIFS(Таблица3[Кол-во квартир],Таблица3[Адрес МКД],$D105)</f>
        <v>16</v>
      </c>
      <c r="Y105" s="56">
        <f t="shared" si="29"/>
        <v>1861.6</v>
      </c>
      <c r="Z105" s="253">
        <f>SUMIFS(Таблица3[Площадь жилая],Таблица3[Адрес МКД],$D105)</f>
        <v>1063.5</v>
      </c>
      <c r="AA105" s="261">
        <f>SUMIFS(Таблица3[Площадь нежилых помещений],Таблица3[Адрес МКД],$D105)</f>
        <v>0</v>
      </c>
      <c r="AB105" s="252">
        <f>SUMIFS(Таблица1[1],Таблица1[2],$D105)</f>
        <v>0</v>
      </c>
      <c r="AC105" s="57">
        <f t="shared" si="21"/>
        <v>0</v>
      </c>
      <c r="AD105" s="57">
        <f t="shared" si="22"/>
        <v>0</v>
      </c>
      <c r="AE105" s="58">
        <f>SUMIFS(Таблица1[8],Таблица1[2],$D105)+SUMIFS(Таблица1[18],Таблица1[2],$D105)</f>
        <v>0</v>
      </c>
      <c r="AF105" s="58">
        <f>SUMIFS(Таблица1[9],Таблица1[2],$D105)+SUMIFS(Таблица1[19],Таблица1[2],$D105)</f>
        <v>0</v>
      </c>
      <c r="AG105" s="59">
        <f t="shared" si="23"/>
        <v>798.1</v>
      </c>
      <c r="AH105" s="59">
        <f t="shared" si="24"/>
        <v>798.1</v>
      </c>
      <c r="AI105" s="60">
        <f>213.5-AM105</f>
        <v>213.5</v>
      </c>
      <c r="AJ105" s="60">
        <f t="shared" si="16"/>
        <v>213.5</v>
      </c>
      <c r="AK105" s="60">
        <f>SUMIFS(Таблица1[10],Таблица1[2],$D105)</f>
        <v>0</v>
      </c>
      <c r="AL105" s="60">
        <f>SUMIFS(Таблица1[11],Таблица1[2],$D105)</f>
        <v>0</v>
      </c>
      <c r="AM105" s="251">
        <v>0</v>
      </c>
      <c r="AN105" s="249">
        <f t="shared" si="17"/>
        <v>0</v>
      </c>
      <c r="AO105" s="249">
        <f>SUMIFS(Таблица1[12],Таблица1[2],$D105)</f>
        <v>0</v>
      </c>
      <c r="AP105" s="249">
        <f>SUMIFS(Таблица1[13],Таблица1[2],$D105)</f>
        <v>0</v>
      </c>
      <c r="AQ105" s="61">
        <v>134.80000000000001</v>
      </c>
      <c r="AR105" s="61">
        <f t="shared" si="18"/>
        <v>134.80000000000001</v>
      </c>
      <c r="AS105" s="60">
        <f>SUMIFS(Таблица1[14],Таблица1[2],$D105)</f>
        <v>0</v>
      </c>
      <c r="AT105" s="60">
        <f>SUMIFS(Таблица1[15],Таблица1[2],$D105)</f>
        <v>0</v>
      </c>
      <c r="AU105" s="61">
        <v>449.8</v>
      </c>
      <c r="AV105" s="61">
        <f t="shared" si="19"/>
        <v>449.8</v>
      </c>
      <c r="AW105" s="60">
        <f>SUMIFS(Таблица1[16],Таблица1[2],$D105)</f>
        <v>0</v>
      </c>
      <c r="AX105" s="60">
        <f>SUMIFS(Таблица1[17],Таблица1[2],$D105)</f>
        <v>0</v>
      </c>
      <c r="AY105" s="263"/>
      <c r="AZ105" s="264"/>
      <c r="BA105" s="296">
        <v>0</v>
      </c>
      <c r="BB105" s="296">
        <f t="shared" si="28"/>
        <v>0</v>
      </c>
      <c r="BC105" s="296">
        <v>0</v>
      </c>
      <c r="BD105" s="296">
        <v>0</v>
      </c>
      <c r="BE105" s="285"/>
      <c r="BF105" s="259">
        <v>817</v>
      </c>
      <c r="BG105" s="260">
        <f>1660+3357</f>
        <v>5017</v>
      </c>
      <c r="BH105" s="62" t="s">
        <v>936</v>
      </c>
      <c r="BI105" s="62" t="s">
        <v>935</v>
      </c>
      <c r="BJ105" s="62" t="s">
        <v>944</v>
      </c>
      <c r="BK105" s="267"/>
      <c r="BL105" s="267"/>
      <c r="BM105" s="267" t="s">
        <v>1649</v>
      </c>
      <c r="BN105" s="268"/>
      <c r="BO105" s="62">
        <v>26</v>
      </c>
      <c r="BP105" s="63">
        <v>28564</v>
      </c>
      <c r="BQ105" s="64" t="s">
        <v>1131</v>
      </c>
      <c r="BR105" s="372" t="s">
        <v>2747</v>
      </c>
      <c r="BS105" s="62"/>
      <c r="BT105" s="323"/>
      <c r="BU105" s="62"/>
      <c r="BV105" s="323"/>
      <c r="BW105" s="62"/>
      <c r="BX105" s="336">
        <v>17</v>
      </c>
      <c r="BY105" s="336" t="s">
        <v>1649</v>
      </c>
    </row>
    <row r="106" spans="1:77" ht="13.15" hidden="1" customHeight="1" outlineLevel="1" x14ac:dyDescent="0.2">
      <c r="A106" s="50">
        <f t="shared" si="26"/>
        <v>101</v>
      </c>
      <c r="B106" s="51">
        <v>16</v>
      </c>
      <c r="C106" s="51">
        <v>29</v>
      </c>
      <c r="D106" s="18" t="s">
        <v>364</v>
      </c>
      <c r="E106" s="18">
        <v>9</v>
      </c>
      <c r="F106" s="18">
        <v>1</v>
      </c>
      <c r="G106" s="52">
        <v>1</v>
      </c>
      <c r="H106" s="237">
        <v>1</v>
      </c>
      <c r="I106" s="53">
        <v>1950</v>
      </c>
      <c r="J106" s="348">
        <v>3</v>
      </c>
      <c r="K106" s="346">
        <f t="shared" si="25"/>
        <v>4</v>
      </c>
      <c r="L106" s="346">
        <v>1</v>
      </c>
      <c r="M106" s="349">
        <v>2</v>
      </c>
      <c r="N106" s="255">
        <f t="shared" si="20"/>
        <v>0</v>
      </c>
      <c r="O106" s="310">
        <v>24</v>
      </c>
      <c r="P106" s="66">
        <v>0</v>
      </c>
      <c r="Q106" s="66"/>
      <c r="R106" s="66">
        <v>12</v>
      </c>
      <c r="S106" s="66">
        <v>6</v>
      </c>
      <c r="T106" s="66">
        <v>6</v>
      </c>
      <c r="U106" s="66">
        <v>0</v>
      </c>
      <c r="V106" s="66">
        <v>0</v>
      </c>
      <c r="W106" s="54">
        <v>0</v>
      </c>
      <c r="X106" s="55">
        <f>SUMIFS(Таблица3[Кол-во квартир],Таблица3[Адрес МКД],$D106)</f>
        <v>24</v>
      </c>
      <c r="Y106" s="56">
        <f t="shared" si="29"/>
        <v>1912.6000000000001</v>
      </c>
      <c r="Z106" s="253">
        <f>SUMIFS(Таблица3[Площадь жилая],Таблица3[Адрес МКД],$D106)</f>
        <v>1018.2</v>
      </c>
      <c r="AA106" s="261">
        <f>SUMIFS(Таблица3[Площадь нежилых помещений],Таблица3[Адрес МКД],$D106)</f>
        <v>160.4</v>
      </c>
      <c r="AB106" s="252">
        <f>SUMIFS(Таблица1[1],Таблица1[2],$D106)</f>
        <v>160.4</v>
      </c>
      <c r="AC106" s="57">
        <f t="shared" si="21"/>
        <v>160.4</v>
      </c>
      <c r="AD106" s="57">
        <f t="shared" si="22"/>
        <v>0</v>
      </c>
      <c r="AE106" s="58">
        <f>SUMIFS(Таблица1[8],Таблица1[2],$D106)+SUMIFS(Таблица1[18],Таблица1[2],$D106)</f>
        <v>0</v>
      </c>
      <c r="AF106" s="58">
        <f>SUMIFS(Таблица1[9],Таблица1[2],$D106)+SUMIFS(Таблица1[19],Таблица1[2],$D106)</f>
        <v>0</v>
      </c>
      <c r="AG106" s="59">
        <f t="shared" si="23"/>
        <v>734</v>
      </c>
      <c r="AH106" s="59">
        <f t="shared" si="24"/>
        <v>734</v>
      </c>
      <c r="AI106" s="60">
        <f>311.5-AM106</f>
        <v>311.5</v>
      </c>
      <c r="AJ106" s="60">
        <f t="shared" si="16"/>
        <v>151.1</v>
      </c>
      <c r="AK106" s="60">
        <f>SUMIFS(Таблица1[10],Таблица1[2],$D106)</f>
        <v>160.4</v>
      </c>
      <c r="AL106" s="60">
        <f>SUMIFS(Таблица1[11],Таблица1[2],$D106)</f>
        <v>0</v>
      </c>
      <c r="AM106" s="251">
        <v>0</v>
      </c>
      <c r="AN106" s="249">
        <f t="shared" si="17"/>
        <v>0</v>
      </c>
      <c r="AO106" s="249">
        <f>SUMIFS(Таблица1[12],Таблица1[2],$D106)</f>
        <v>0</v>
      </c>
      <c r="AP106" s="249">
        <f>SUMIFS(Таблица1[13],Таблица1[2],$D106)</f>
        <v>0</v>
      </c>
      <c r="AQ106" s="61">
        <v>147.19999999999999</v>
      </c>
      <c r="AR106" s="61">
        <f t="shared" si="18"/>
        <v>147.19999999999999</v>
      </c>
      <c r="AS106" s="60">
        <f>SUMIFS(Таблица1[14],Таблица1[2],$D106)</f>
        <v>0</v>
      </c>
      <c r="AT106" s="60">
        <f>SUMIFS(Таблица1[15],Таблица1[2],$D106)</f>
        <v>0</v>
      </c>
      <c r="AU106" s="61">
        <v>435.7</v>
      </c>
      <c r="AV106" s="61">
        <f t="shared" si="19"/>
        <v>435.7</v>
      </c>
      <c r="AW106" s="60">
        <f>SUMIFS(Таблица1[16],Таблица1[2],$D106)</f>
        <v>0</v>
      </c>
      <c r="AX106" s="60">
        <f>SUMIFS(Таблица1[17],Таблица1[2],$D106)</f>
        <v>0</v>
      </c>
      <c r="AY106" s="263"/>
      <c r="AZ106" s="264"/>
      <c r="BA106" s="296">
        <v>0</v>
      </c>
      <c r="BB106" s="296">
        <f t="shared" si="28"/>
        <v>0</v>
      </c>
      <c r="BC106" s="296">
        <v>0</v>
      </c>
      <c r="BD106" s="296">
        <v>0</v>
      </c>
      <c r="BE106" s="285"/>
      <c r="BF106" s="259">
        <v>1325</v>
      </c>
      <c r="BG106" s="260">
        <v>4897</v>
      </c>
      <c r="BH106" s="62" t="s">
        <v>936</v>
      </c>
      <c r="BI106" s="62" t="s">
        <v>935</v>
      </c>
      <c r="BJ106" s="62"/>
      <c r="BK106" s="267"/>
      <c r="BL106" s="267"/>
      <c r="BM106" s="267" t="s">
        <v>1649</v>
      </c>
      <c r="BN106" s="268"/>
      <c r="BO106" s="62">
        <v>40</v>
      </c>
      <c r="BP106" s="63">
        <v>28444</v>
      </c>
      <c r="BQ106" s="64" t="s">
        <v>1131</v>
      </c>
      <c r="BR106" s="372" t="s">
        <v>2747</v>
      </c>
      <c r="BS106" s="62"/>
      <c r="BT106" s="323"/>
      <c r="BU106" s="62"/>
      <c r="BV106" s="323"/>
      <c r="BW106" s="62"/>
      <c r="BX106" s="336">
        <v>17</v>
      </c>
      <c r="BY106" s="336"/>
    </row>
    <row r="107" spans="1:77" ht="13.15" hidden="1" customHeight="1" outlineLevel="1" x14ac:dyDescent="0.2">
      <c r="A107" s="50">
        <f t="shared" si="26"/>
        <v>102</v>
      </c>
      <c r="B107" s="51">
        <v>17</v>
      </c>
      <c r="C107" s="51">
        <v>30</v>
      </c>
      <c r="D107" s="18" t="s">
        <v>365</v>
      </c>
      <c r="E107" s="18">
        <v>9</v>
      </c>
      <c r="F107" s="18">
        <v>1</v>
      </c>
      <c r="G107" s="52">
        <v>1</v>
      </c>
      <c r="H107" s="237">
        <v>1</v>
      </c>
      <c r="I107" s="53">
        <v>1949</v>
      </c>
      <c r="J107" s="348">
        <v>3</v>
      </c>
      <c r="K107" s="346">
        <f t="shared" si="25"/>
        <v>4</v>
      </c>
      <c r="L107" s="346">
        <v>1</v>
      </c>
      <c r="M107" s="349">
        <v>2</v>
      </c>
      <c r="N107" s="255">
        <f t="shared" si="20"/>
        <v>0</v>
      </c>
      <c r="O107" s="310">
        <v>21</v>
      </c>
      <c r="P107" s="66">
        <v>4</v>
      </c>
      <c r="Q107" s="66"/>
      <c r="R107" s="66">
        <v>6</v>
      </c>
      <c r="S107" s="66">
        <v>11</v>
      </c>
      <c r="T107" s="66">
        <v>4</v>
      </c>
      <c r="U107" s="66">
        <v>0</v>
      </c>
      <c r="V107" s="66">
        <v>0</v>
      </c>
      <c r="W107" s="54">
        <v>0</v>
      </c>
      <c r="X107" s="55">
        <f>SUMIFS(Таблица3[Кол-во квартир],Таблица3[Адрес МКД],$D107)</f>
        <v>17</v>
      </c>
      <c r="Y107" s="56">
        <f t="shared" si="29"/>
        <v>1996.8000000000002</v>
      </c>
      <c r="Z107" s="253">
        <f>SUMIFS(Таблица3[Площадь жилая],Таблица3[Адрес МКД],$D107)</f>
        <v>955.4</v>
      </c>
      <c r="AA107" s="261">
        <f>SUMIFS(Таблица3[Площадь нежилых помещений],Таблица3[Адрес МКД],$D107)</f>
        <v>230.6</v>
      </c>
      <c r="AB107" s="252">
        <f>SUMIFS(Таблица1[1],Таблица1[2],$D107)</f>
        <v>285.5</v>
      </c>
      <c r="AC107" s="57">
        <f t="shared" si="21"/>
        <v>230.60000000000002</v>
      </c>
      <c r="AD107" s="57">
        <f t="shared" si="22"/>
        <v>54.9</v>
      </c>
      <c r="AE107" s="58">
        <f>SUMIFS(Таблица1[8],Таблица1[2],$D107)+SUMIFS(Таблица1[18],Таблица1[2],$D107)</f>
        <v>172.9</v>
      </c>
      <c r="AF107" s="58">
        <f>SUMIFS(Таблица1[9],Таблица1[2],$D107)+SUMIFS(Таблица1[19],Таблица1[2],$D107)</f>
        <v>0</v>
      </c>
      <c r="AG107" s="59">
        <f t="shared" si="23"/>
        <v>755.90000000000009</v>
      </c>
      <c r="AH107" s="59">
        <f t="shared" si="24"/>
        <v>810.8</v>
      </c>
      <c r="AI107" s="60">
        <f>265.7-AM107</f>
        <v>265.7</v>
      </c>
      <c r="AJ107" s="60">
        <f t="shared" si="16"/>
        <v>153.1</v>
      </c>
      <c r="AK107" s="60">
        <f>SUMIFS(Таблица1[10],Таблица1[2],$D107)</f>
        <v>57.7</v>
      </c>
      <c r="AL107" s="60">
        <f>SUMIFS(Таблица1[11],Таблица1[2],$D107)</f>
        <v>54.9</v>
      </c>
      <c r="AM107" s="251">
        <v>0</v>
      </c>
      <c r="AN107" s="249">
        <f t="shared" si="17"/>
        <v>0</v>
      </c>
      <c r="AO107" s="249">
        <f>SUMIFS(Таблица1[12],Таблица1[2],$D107)</f>
        <v>0</v>
      </c>
      <c r="AP107" s="249">
        <f>SUMIFS(Таблица1[13],Таблица1[2],$D107)</f>
        <v>0</v>
      </c>
      <c r="AQ107" s="61">
        <f>134</f>
        <v>134</v>
      </c>
      <c r="AR107" s="61">
        <f t="shared" si="18"/>
        <v>134</v>
      </c>
      <c r="AS107" s="60">
        <f>SUMIFS(Таблица1[14],Таблица1[2],$D107)</f>
        <v>0</v>
      </c>
      <c r="AT107" s="60">
        <f>SUMIFS(Таблица1[15],Таблица1[2],$D107)</f>
        <v>0</v>
      </c>
      <c r="AU107" s="61">
        <v>468.8</v>
      </c>
      <c r="AV107" s="61">
        <f t="shared" si="19"/>
        <v>468.8</v>
      </c>
      <c r="AW107" s="60">
        <f>SUMIFS(Таблица1[16],Таблица1[2],$D107)</f>
        <v>0</v>
      </c>
      <c r="AX107" s="60">
        <f>SUMIFS(Таблица1[17],Таблица1[2],$D107)</f>
        <v>0</v>
      </c>
      <c r="AY107" s="263"/>
      <c r="AZ107" s="264"/>
      <c r="BA107" s="296">
        <v>0</v>
      </c>
      <c r="BB107" s="296">
        <f t="shared" si="28"/>
        <v>0</v>
      </c>
      <c r="BC107" s="296">
        <v>0</v>
      </c>
      <c r="BD107" s="296">
        <v>0</v>
      </c>
      <c r="BE107" s="285"/>
      <c r="BF107" s="259">
        <v>1357</v>
      </c>
      <c r="BG107" s="260">
        <v>5250</v>
      </c>
      <c r="BH107" s="62" t="s">
        <v>936</v>
      </c>
      <c r="BI107" s="62" t="s">
        <v>935</v>
      </c>
      <c r="BJ107" s="62"/>
      <c r="BK107" s="267"/>
      <c r="BL107" s="267"/>
      <c r="BM107" s="267" t="s">
        <v>1649</v>
      </c>
      <c r="BN107" s="268"/>
      <c r="BO107" s="62">
        <v>26</v>
      </c>
      <c r="BP107" s="63">
        <v>30275</v>
      </c>
      <c r="BQ107" s="64" t="s">
        <v>1131</v>
      </c>
      <c r="BR107" s="372" t="s">
        <v>2747</v>
      </c>
      <c r="BS107" s="62"/>
      <c r="BT107" s="323"/>
      <c r="BU107" s="62"/>
      <c r="BV107" s="323"/>
      <c r="BW107" s="62"/>
      <c r="BX107" s="336">
        <v>23</v>
      </c>
      <c r="BY107" s="336"/>
    </row>
    <row r="108" spans="1:77" ht="13.15" hidden="1" customHeight="1" outlineLevel="1" x14ac:dyDescent="0.2">
      <c r="A108" s="50">
        <f t="shared" si="26"/>
        <v>103</v>
      </c>
      <c r="B108" s="51">
        <v>18</v>
      </c>
      <c r="C108" s="51">
        <v>31</v>
      </c>
      <c r="D108" s="18" t="s">
        <v>366</v>
      </c>
      <c r="E108" s="18">
        <v>9</v>
      </c>
      <c r="F108" s="18">
        <v>1</v>
      </c>
      <c r="G108" s="52">
        <v>1</v>
      </c>
      <c r="H108" s="237">
        <v>1</v>
      </c>
      <c r="I108" s="53">
        <v>1949</v>
      </c>
      <c r="J108" s="348">
        <v>3</v>
      </c>
      <c r="K108" s="346">
        <f t="shared" si="25"/>
        <v>4</v>
      </c>
      <c r="L108" s="346">
        <v>1</v>
      </c>
      <c r="M108" s="349">
        <v>2</v>
      </c>
      <c r="N108" s="255">
        <f t="shared" si="20"/>
        <v>0</v>
      </c>
      <c r="O108" s="310">
        <v>18</v>
      </c>
      <c r="P108" s="66">
        <v>0</v>
      </c>
      <c r="Q108" s="66"/>
      <c r="R108" s="66">
        <v>0</v>
      </c>
      <c r="S108" s="66">
        <v>18</v>
      </c>
      <c r="T108" s="66">
        <v>0</v>
      </c>
      <c r="U108" s="66">
        <v>0</v>
      </c>
      <c r="V108" s="66">
        <v>0</v>
      </c>
      <c r="W108" s="54">
        <v>0</v>
      </c>
      <c r="X108" s="55">
        <f>SUMIFS(Таблица3[Кол-во квартир],Таблица3[Адрес МКД],$D108)</f>
        <v>18</v>
      </c>
      <c r="Y108" s="56">
        <f t="shared" si="29"/>
        <v>2043.5</v>
      </c>
      <c r="Z108" s="253">
        <f>SUMIFS(Таблица3[Площадь жилая],Таблица3[Адрес МКД],$D108)</f>
        <v>1125.5999999999999</v>
      </c>
      <c r="AA108" s="261">
        <f>SUMIFS(Таблица3[Площадь нежилых помещений],Таблица3[Адрес МКД],$D108)</f>
        <v>182.3</v>
      </c>
      <c r="AB108" s="252">
        <f>SUMIFS(Таблица1[1],Таблица1[2],$D108)</f>
        <v>182.3</v>
      </c>
      <c r="AC108" s="57">
        <f t="shared" si="21"/>
        <v>182.3</v>
      </c>
      <c r="AD108" s="57">
        <f t="shared" si="22"/>
        <v>0</v>
      </c>
      <c r="AE108" s="58">
        <f>SUMIFS(Таблица1[8],Таблица1[2],$D108)+SUMIFS(Таблица1[18],Таблица1[2],$D108)</f>
        <v>0</v>
      </c>
      <c r="AF108" s="58">
        <f>SUMIFS(Таблица1[9],Таблица1[2],$D108)+SUMIFS(Таблица1[19],Таблица1[2],$D108)</f>
        <v>0</v>
      </c>
      <c r="AG108" s="59">
        <f t="shared" si="23"/>
        <v>735.6</v>
      </c>
      <c r="AH108" s="59">
        <f t="shared" si="24"/>
        <v>735.6</v>
      </c>
      <c r="AI108" s="60">
        <f>344-AM108</f>
        <v>161.69999999999999</v>
      </c>
      <c r="AJ108" s="60">
        <f t="shared" si="16"/>
        <v>161.69999999999999</v>
      </c>
      <c r="AK108" s="60">
        <f>SUMIFS(Таблица1[10],Таблица1[2],$D108)</f>
        <v>0</v>
      </c>
      <c r="AL108" s="60">
        <f>SUMIFS(Таблица1[11],Таблица1[2],$D108)</f>
        <v>0</v>
      </c>
      <c r="AM108" s="251">
        <f>182.3</f>
        <v>182.3</v>
      </c>
      <c r="AN108" s="249">
        <f t="shared" si="17"/>
        <v>0</v>
      </c>
      <c r="AO108" s="249">
        <f>SUMIFS(Таблица1[12],Таблица1[2],$D108)</f>
        <v>182.3</v>
      </c>
      <c r="AP108" s="249">
        <f>SUMIFS(Таблица1[13],Таблица1[2],$D108)</f>
        <v>0</v>
      </c>
      <c r="AQ108" s="61">
        <v>129.9</v>
      </c>
      <c r="AR108" s="61">
        <f t="shared" si="18"/>
        <v>129.9</v>
      </c>
      <c r="AS108" s="60">
        <f>SUMIFS(Таблица1[14],Таблица1[2],$D108)</f>
        <v>0</v>
      </c>
      <c r="AT108" s="60">
        <f>SUMIFS(Таблица1[15],Таблица1[2],$D108)</f>
        <v>0</v>
      </c>
      <c r="AU108" s="61">
        <v>444</v>
      </c>
      <c r="AV108" s="61">
        <f t="shared" si="19"/>
        <v>444</v>
      </c>
      <c r="AW108" s="60">
        <f>SUMIFS(Таблица1[16],Таблица1[2],$D108)</f>
        <v>0</v>
      </c>
      <c r="AX108" s="60">
        <f>SUMIFS(Таблица1[17],Таблица1[2],$D108)</f>
        <v>0</v>
      </c>
      <c r="AY108" s="263"/>
      <c r="AZ108" s="264"/>
      <c r="BA108" s="296">
        <v>0</v>
      </c>
      <c r="BB108" s="296">
        <f t="shared" si="28"/>
        <v>0</v>
      </c>
      <c r="BC108" s="296">
        <v>0</v>
      </c>
      <c r="BD108" s="296">
        <v>0</v>
      </c>
      <c r="BE108" s="285"/>
      <c r="BF108" s="259">
        <v>1426</v>
      </c>
      <c r="BG108" s="260">
        <v>4959</v>
      </c>
      <c r="BH108" s="62" t="s">
        <v>936</v>
      </c>
      <c r="BI108" s="62" t="s">
        <v>935</v>
      </c>
      <c r="BJ108" s="62"/>
      <c r="BK108" s="267"/>
      <c r="BL108" s="267"/>
      <c r="BM108" s="267" t="s">
        <v>1649</v>
      </c>
      <c r="BN108" s="268"/>
      <c r="BO108" s="62">
        <v>26</v>
      </c>
      <c r="BP108" s="63">
        <v>29963</v>
      </c>
      <c r="BQ108" s="64" t="s">
        <v>1131</v>
      </c>
      <c r="BR108" s="372" t="s">
        <v>2747</v>
      </c>
      <c r="BS108" s="62"/>
      <c r="BT108" s="323"/>
      <c r="BU108" s="62"/>
      <c r="BV108" s="323"/>
      <c r="BW108" s="62"/>
      <c r="BX108" s="336">
        <v>21</v>
      </c>
      <c r="BY108" s="336"/>
    </row>
    <row r="109" spans="1:77" ht="13.15" hidden="1" customHeight="1" outlineLevel="1" x14ac:dyDescent="0.2">
      <c r="A109" s="50">
        <f t="shared" si="26"/>
        <v>104</v>
      </c>
      <c r="B109" s="51">
        <v>19</v>
      </c>
      <c r="C109" s="51">
        <v>32</v>
      </c>
      <c r="D109" s="18" t="s">
        <v>367</v>
      </c>
      <c r="E109" s="18">
        <v>9</v>
      </c>
      <c r="F109" s="18">
        <v>1</v>
      </c>
      <c r="G109" s="52">
        <v>1</v>
      </c>
      <c r="H109" s="237">
        <v>1</v>
      </c>
      <c r="I109" s="53">
        <v>1950</v>
      </c>
      <c r="J109" s="348">
        <v>3</v>
      </c>
      <c r="K109" s="346">
        <f t="shared" si="25"/>
        <v>4</v>
      </c>
      <c r="L109" s="346">
        <v>1</v>
      </c>
      <c r="M109" s="349">
        <v>2</v>
      </c>
      <c r="N109" s="255">
        <f t="shared" si="20"/>
        <v>2</v>
      </c>
      <c r="O109" s="310">
        <v>21</v>
      </c>
      <c r="P109" s="66">
        <v>0</v>
      </c>
      <c r="Q109" s="66"/>
      <c r="R109" s="66">
        <v>7</v>
      </c>
      <c r="S109" s="66">
        <v>10</v>
      </c>
      <c r="T109" s="66">
        <v>4</v>
      </c>
      <c r="U109" s="66">
        <v>0</v>
      </c>
      <c r="V109" s="66">
        <v>0</v>
      </c>
      <c r="W109" s="54">
        <v>0</v>
      </c>
      <c r="X109" s="55">
        <f>SUMIFS(Таблица3[Кол-во квартир],Таблица3[Адрес МКД],$D109)</f>
        <v>19</v>
      </c>
      <c r="Y109" s="56">
        <f t="shared" si="29"/>
        <v>2071</v>
      </c>
      <c r="Z109" s="253">
        <f>SUMIFS(Таблица3[Площадь жилая],Таблица3[Адрес МКД],$D109)</f>
        <v>1128.2</v>
      </c>
      <c r="AA109" s="261">
        <f>SUMIFS(Таблица3[Площадь нежилых помещений],Таблица3[Адрес МКД],$D109)</f>
        <v>48.2</v>
      </c>
      <c r="AB109" s="252">
        <f>SUMIFS(Таблица1[1],Таблица1[2],$D109)</f>
        <v>114</v>
      </c>
      <c r="AC109" s="57">
        <f t="shared" si="21"/>
        <v>114</v>
      </c>
      <c r="AD109" s="57">
        <f t="shared" si="22"/>
        <v>0</v>
      </c>
      <c r="AE109" s="58">
        <f>SUMIFS(Таблица1[8],Таблица1[2],$D109)+SUMIFS(Таблица1[18],Таблица1[2],$D109)</f>
        <v>0</v>
      </c>
      <c r="AF109" s="58">
        <f>SUMIFS(Таблица1[9],Таблица1[2],$D109)+SUMIFS(Таблица1[19],Таблица1[2],$D109)</f>
        <v>0</v>
      </c>
      <c r="AG109" s="59">
        <f t="shared" si="23"/>
        <v>828.8</v>
      </c>
      <c r="AH109" s="59">
        <f t="shared" si="24"/>
        <v>828.8</v>
      </c>
      <c r="AI109" s="60">
        <f>321-AM109</f>
        <v>321</v>
      </c>
      <c r="AJ109" s="60">
        <f t="shared" si="16"/>
        <v>207</v>
      </c>
      <c r="AK109" s="60">
        <f>SUMIFS(Таблица1[10],Таблица1[2],$D109)</f>
        <v>114</v>
      </c>
      <c r="AL109" s="60">
        <f>SUMIFS(Таблица1[11],Таблица1[2],$D109)</f>
        <v>0</v>
      </c>
      <c r="AM109" s="251">
        <v>0</v>
      </c>
      <c r="AN109" s="249">
        <f t="shared" si="17"/>
        <v>0</v>
      </c>
      <c r="AO109" s="249">
        <f>SUMIFS(Таблица1[12],Таблица1[2],$D109)</f>
        <v>0</v>
      </c>
      <c r="AP109" s="249">
        <f>SUMIFS(Таблица1[13],Таблица1[2],$D109)</f>
        <v>0</v>
      </c>
      <c r="AQ109" s="61">
        <v>146.80000000000001</v>
      </c>
      <c r="AR109" s="61">
        <f t="shared" si="18"/>
        <v>146.80000000000001</v>
      </c>
      <c r="AS109" s="60">
        <f>SUMIFS(Таблица1[14],Таблица1[2],$D109)</f>
        <v>0</v>
      </c>
      <c r="AT109" s="60">
        <f>SUMIFS(Таблица1[15],Таблица1[2],$D109)</f>
        <v>0</v>
      </c>
      <c r="AU109" s="61">
        <v>475</v>
      </c>
      <c r="AV109" s="61">
        <f t="shared" si="19"/>
        <v>475</v>
      </c>
      <c r="AW109" s="60">
        <f>SUMIFS(Таблица1[16],Таблица1[2],$D109)</f>
        <v>0</v>
      </c>
      <c r="AX109" s="60">
        <f>SUMIFS(Таблица1[17],Таблица1[2],$D109)</f>
        <v>0</v>
      </c>
      <c r="AY109" s="263">
        <f>Нежилые!G584</f>
        <v>65.8</v>
      </c>
      <c r="AZ109" s="264"/>
      <c r="BA109" s="296">
        <v>0</v>
      </c>
      <c r="BB109" s="296">
        <f t="shared" si="28"/>
        <v>0</v>
      </c>
      <c r="BC109" s="296">
        <v>0</v>
      </c>
      <c r="BD109" s="296">
        <v>0</v>
      </c>
      <c r="BE109" s="285"/>
      <c r="BF109" s="259">
        <v>1352</v>
      </c>
      <c r="BG109" s="260">
        <v>5298</v>
      </c>
      <c r="BH109" s="62" t="s">
        <v>936</v>
      </c>
      <c r="BI109" s="62" t="s">
        <v>935</v>
      </c>
      <c r="BJ109" s="62"/>
      <c r="BK109" s="267"/>
      <c r="BL109" s="267"/>
      <c r="BM109" s="267" t="s">
        <v>1649</v>
      </c>
      <c r="BN109" s="268"/>
      <c r="BO109" s="62">
        <v>39</v>
      </c>
      <c r="BP109" s="63">
        <v>44084</v>
      </c>
      <c r="BQ109" s="64" t="s">
        <v>1131</v>
      </c>
      <c r="BR109" s="372" t="s">
        <v>2747</v>
      </c>
      <c r="BS109" s="62"/>
      <c r="BT109" s="323"/>
      <c r="BU109" s="62"/>
      <c r="BV109" s="323"/>
      <c r="BW109" s="62"/>
      <c r="BX109" s="336">
        <v>21</v>
      </c>
      <c r="BY109" s="336" t="s">
        <v>1649</v>
      </c>
    </row>
    <row r="110" spans="1:77" ht="13.15" hidden="1" customHeight="1" outlineLevel="1" x14ac:dyDescent="0.2">
      <c r="A110" s="50">
        <f t="shared" si="26"/>
        <v>105</v>
      </c>
      <c r="B110" s="51">
        <v>18</v>
      </c>
      <c r="C110" s="51">
        <v>26</v>
      </c>
      <c r="D110" s="18" t="s">
        <v>514</v>
      </c>
      <c r="E110" s="18">
        <v>11</v>
      </c>
      <c r="F110" s="18">
        <v>2</v>
      </c>
      <c r="G110" s="52">
        <v>1</v>
      </c>
      <c r="H110" s="237">
        <v>1</v>
      </c>
      <c r="I110" s="53">
        <v>1951</v>
      </c>
      <c r="J110" s="348">
        <v>4</v>
      </c>
      <c r="K110" s="346">
        <f t="shared" si="25"/>
        <v>5</v>
      </c>
      <c r="L110" s="346">
        <v>1</v>
      </c>
      <c r="M110" s="349">
        <v>3</v>
      </c>
      <c r="N110" s="255">
        <f t="shared" si="20"/>
        <v>0</v>
      </c>
      <c r="O110" s="310">
        <v>40</v>
      </c>
      <c r="P110" s="66">
        <v>2</v>
      </c>
      <c r="Q110" s="66"/>
      <c r="R110" s="66">
        <v>0</v>
      </c>
      <c r="S110" s="66">
        <v>28</v>
      </c>
      <c r="T110" s="66">
        <v>12</v>
      </c>
      <c r="U110" s="66">
        <v>0</v>
      </c>
      <c r="V110" s="66">
        <v>0</v>
      </c>
      <c r="W110" s="54">
        <v>0</v>
      </c>
      <c r="X110" s="55">
        <f>SUMIFS(Таблица3[Кол-во квартир],Таблица3[Адрес МКД],$D110)</f>
        <v>38</v>
      </c>
      <c r="Y110" s="56">
        <f t="shared" si="29"/>
        <v>3862.35</v>
      </c>
      <c r="Z110" s="253">
        <f>SUMIFS(Таблица3[Площадь жилая],Таблица3[Адрес МКД],$D110)</f>
        <v>2298.4</v>
      </c>
      <c r="AA110" s="261">
        <f>SUMIFS(Таблица3[Площадь нежилых помещений],Таблица3[Адрес МКД],$D110)</f>
        <v>303</v>
      </c>
      <c r="AB110" s="252">
        <f>SUMIFS(Таблица1[1],Таблица1[2],$D110)</f>
        <v>340.7</v>
      </c>
      <c r="AC110" s="57">
        <f t="shared" si="21"/>
        <v>340.7</v>
      </c>
      <c r="AD110" s="57">
        <f t="shared" si="22"/>
        <v>0</v>
      </c>
      <c r="AE110" s="58">
        <f>SUMIFS(Таблица1[8],Таблица1[2],$D110)+SUMIFS(Таблица1[18],Таблица1[2],$D110)</f>
        <v>144.89999999999998</v>
      </c>
      <c r="AF110" s="58">
        <f>SUMIFS(Таблица1[9],Таблица1[2],$D110)+SUMIFS(Таблица1[19],Таблица1[2],$D110)</f>
        <v>0</v>
      </c>
      <c r="AG110" s="59">
        <f t="shared" si="23"/>
        <v>1223.25</v>
      </c>
      <c r="AH110" s="59">
        <f t="shared" si="24"/>
        <v>1223.25</v>
      </c>
      <c r="AI110" s="60">
        <f>315.2-AM110</f>
        <v>119.39999999999998</v>
      </c>
      <c r="AJ110" s="60">
        <f t="shared" si="16"/>
        <v>119.39999999999998</v>
      </c>
      <c r="AK110" s="60">
        <f>SUMIFS(Таблица1[10],Таблица1[2],$D110)</f>
        <v>0</v>
      </c>
      <c r="AL110" s="60">
        <f>SUMIFS(Таблица1[11],Таблица1[2],$D110)</f>
        <v>0</v>
      </c>
      <c r="AM110" s="251">
        <f>103+92.8</f>
        <v>195.8</v>
      </c>
      <c r="AN110" s="249">
        <f t="shared" si="17"/>
        <v>0</v>
      </c>
      <c r="AO110" s="249">
        <f>SUMIFS(Таблица1[12],Таблица1[2],$D110)</f>
        <v>195.8</v>
      </c>
      <c r="AP110" s="249">
        <f>SUMIFS(Таблица1[13],Таблица1[2],$D110)</f>
        <v>0</v>
      </c>
      <c r="AQ110" s="61">
        <v>323.60000000000002</v>
      </c>
      <c r="AR110" s="61">
        <f t="shared" si="18"/>
        <v>323.60000000000002</v>
      </c>
      <c r="AS110" s="60">
        <f>SUMIFS(Таблица1[14],Таблица1[2],$D110)</f>
        <v>0</v>
      </c>
      <c r="AT110" s="60">
        <f>SUMIFS(Таблица1[15],Таблица1[2],$D110)</f>
        <v>0</v>
      </c>
      <c r="AU110" s="61">
        <v>780.25</v>
      </c>
      <c r="AV110" s="61">
        <f t="shared" si="19"/>
        <v>780.25</v>
      </c>
      <c r="AW110" s="60">
        <f>SUMIFS(Таблица1[16],Таблица1[2],$D110)</f>
        <v>0</v>
      </c>
      <c r="AX110" s="60">
        <f>SUMIFS(Таблица1[17],Таблица1[2],$D110)</f>
        <v>0</v>
      </c>
      <c r="AY110" s="263"/>
      <c r="AZ110" s="264"/>
      <c r="BA110" s="296">
        <v>0</v>
      </c>
      <c r="BB110" s="296">
        <f t="shared" si="28"/>
        <v>0</v>
      </c>
      <c r="BC110" s="296">
        <v>0</v>
      </c>
      <c r="BD110" s="296">
        <v>0</v>
      </c>
      <c r="BE110" s="285"/>
      <c r="BF110" s="259">
        <v>1704</v>
      </c>
      <c r="BG110" s="260">
        <f>11101+84+132</f>
        <v>11317</v>
      </c>
      <c r="BH110" s="62" t="s">
        <v>936</v>
      </c>
      <c r="BI110" s="62" t="s">
        <v>935</v>
      </c>
      <c r="BJ110" s="62"/>
      <c r="BK110" s="267"/>
      <c r="BL110" s="267"/>
      <c r="BM110" s="267" t="s">
        <v>1649</v>
      </c>
      <c r="BN110" s="268"/>
      <c r="BO110" s="62">
        <v>27</v>
      </c>
      <c r="BP110" s="63">
        <v>30544</v>
      </c>
      <c r="BQ110" s="64" t="s">
        <v>1131</v>
      </c>
      <c r="BR110" s="372" t="s">
        <v>2747</v>
      </c>
      <c r="BS110" s="62"/>
      <c r="BT110" s="323"/>
      <c r="BU110" s="62"/>
      <c r="BV110" s="323"/>
      <c r="BW110" s="62"/>
      <c r="BX110" s="336">
        <v>34</v>
      </c>
      <c r="BY110" s="336"/>
    </row>
    <row r="111" spans="1:77" ht="13.15" hidden="1" customHeight="1" outlineLevel="1" x14ac:dyDescent="0.2">
      <c r="A111" s="50">
        <f t="shared" si="26"/>
        <v>106</v>
      </c>
      <c r="B111" s="51">
        <v>19</v>
      </c>
      <c r="C111" s="51">
        <v>27</v>
      </c>
      <c r="D111" s="18" t="s">
        <v>515</v>
      </c>
      <c r="E111" s="18">
        <v>11</v>
      </c>
      <c r="F111" s="18">
        <v>2</v>
      </c>
      <c r="G111" s="52">
        <v>1</v>
      </c>
      <c r="H111" s="237">
        <v>1</v>
      </c>
      <c r="I111" s="53">
        <v>1952</v>
      </c>
      <c r="J111" s="348">
        <v>4</v>
      </c>
      <c r="K111" s="346">
        <f t="shared" si="25"/>
        <v>5</v>
      </c>
      <c r="L111" s="346">
        <v>1</v>
      </c>
      <c r="M111" s="349">
        <v>2</v>
      </c>
      <c r="N111" s="255">
        <f t="shared" si="20"/>
        <v>2</v>
      </c>
      <c r="O111" s="310">
        <v>32</v>
      </c>
      <c r="P111" s="66">
        <v>2</v>
      </c>
      <c r="Q111" s="66"/>
      <c r="R111" s="66">
        <v>0</v>
      </c>
      <c r="S111" s="66">
        <v>24</v>
      </c>
      <c r="T111" s="66">
        <v>8</v>
      </c>
      <c r="U111" s="66">
        <v>0</v>
      </c>
      <c r="V111" s="66">
        <v>0</v>
      </c>
      <c r="W111" s="54">
        <v>0</v>
      </c>
      <c r="X111" s="55">
        <f>SUMIFS(Таблица3[Кол-во квартир],Таблица3[Адрес МКД],$D111)</f>
        <v>28</v>
      </c>
      <c r="Y111" s="56">
        <f t="shared" si="29"/>
        <v>3152.3799999999997</v>
      </c>
      <c r="Z111" s="253">
        <f>SUMIFS(Таблица3[Площадь жилая],Таблица3[Адрес МКД],$D111)</f>
        <v>1778.12</v>
      </c>
      <c r="AA111" s="261">
        <f>SUMIFS(Таблица3[Площадь нежилых помещений],Таблица3[Адрес МКД],$D111)</f>
        <v>259.60000000000002</v>
      </c>
      <c r="AB111" s="252">
        <f>SUMIFS(Таблица1[1],Таблица1[2],$D111)</f>
        <v>259.60000000000002</v>
      </c>
      <c r="AC111" s="57">
        <f t="shared" si="21"/>
        <v>259.60000000000002</v>
      </c>
      <c r="AD111" s="57">
        <f t="shared" si="22"/>
        <v>0</v>
      </c>
      <c r="AE111" s="58">
        <f>SUMIFS(Таблица1[8],Таблица1[2],$D111)+SUMIFS(Таблица1[18],Таблица1[2],$D111)</f>
        <v>144.9</v>
      </c>
      <c r="AF111" s="58">
        <f>SUMIFS(Таблица1[9],Таблица1[2],$D111)+SUMIFS(Таблица1[19],Таблица1[2],$D111)</f>
        <v>0</v>
      </c>
      <c r="AG111" s="59">
        <f t="shared" si="23"/>
        <v>1114.6599999999999</v>
      </c>
      <c r="AH111" s="59">
        <f t="shared" si="24"/>
        <v>1114.6599999999999</v>
      </c>
      <c r="AI111" s="60">
        <f>353.2-AM111</f>
        <v>353.2</v>
      </c>
      <c r="AJ111" s="60">
        <f t="shared" si="16"/>
        <v>238.5</v>
      </c>
      <c r="AK111" s="60">
        <f>SUMIFS(Таблица1[10],Таблица1[2],$D111)</f>
        <v>114.7</v>
      </c>
      <c r="AL111" s="60">
        <f>SUMIFS(Таблица1[11],Таблица1[2],$D111)</f>
        <v>0</v>
      </c>
      <c r="AM111" s="251">
        <v>0</v>
      </c>
      <c r="AN111" s="249">
        <f t="shared" si="17"/>
        <v>0</v>
      </c>
      <c r="AO111" s="249">
        <f>SUMIFS(Таблица1[12],Таблица1[2],$D111)</f>
        <v>0</v>
      </c>
      <c r="AP111" s="249">
        <f>SUMIFS(Таблица1[13],Таблица1[2],$D111)</f>
        <v>0</v>
      </c>
      <c r="AQ111" s="61">
        <v>217.5</v>
      </c>
      <c r="AR111" s="61">
        <f t="shared" si="18"/>
        <v>217.5</v>
      </c>
      <c r="AS111" s="60">
        <f>SUMIFS(Таблица1[14],Таблица1[2],$D111)</f>
        <v>0</v>
      </c>
      <c r="AT111" s="60">
        <f>SUMIFS(Таблица1[15],Таблица1[2],$D111)</f>
        <v>0</v>
      </c>
      <c r="AU111" s="61">
        <v>658.66</v>
      </c>
      <c r="AV111" s="61">
        <f t="shared" si="19"/>
        <v>658.66</v>
      </c>
      <c r="AW111" s="60">
        <f>SUMIFS(Таблица1[16],Таблица1[2],$D111)</f>
        <v>0</v>
      </c>
      <c r="AX111" s="60">
        <f>SUMIFS(Таблица1[17],Таблица1[2],$D111)</f>
        <v>0</v>
      </c>
      <c r="AY111" s="263"/>
      <c r="AZ111" s="264"/>
      <c r="BA111" s="296">
        <v>0</v>
      </c>
      <c r="BB111" s="296">
        <f t="shared" si="28"/>
        <v>0</v>
      </c>
      <c r="BC111" s="296">
        <v>0</v>
      </c>
      <c r="BD111" s="296">
        <v>0</v>
      </c>
      <c r="BE111" s="285"/>
      <c r="BF111" s="259">
        <f>506+1068</f>
        <v>1574</v>
      </c>
      <c r="BG111" s="260">
        <v>8528</v>
      </c>
      <c r="BH111" s="62" t="s">
        <v>936</v>
      </c>
      <c r="BI111" s="62" t="s">
        <v>935</v>
      </c>
      <c r="BJ111" s="62"/>
      <c r="BK111" s="267"/>
      <c r="BL111" s="267"/>
      <c r="BM111" s="267" t="s">
        <v>1649</v>
      </c>
      <c r="BN111" s="268"/>
      <c r="BO111" s="62">
        <v>35</v>
      </c>
      <c r="BP111" s="63">
        <v>32189</v>
      </c>
      <c r="BQ111" s="64" t="s">
        <v>1131</v>
      </c>
      <c r="BR111" s="372" t="s">
        <v>2747</v>
      </c>
      <c r="BS111" s="62"/>
      <c r="BT111" s="323"/>
      <c r="BU111" s="62"/>
      <c r="BV111" s="323"/>
      <c r="BW111" s="62"/>
      <c r="BX111" s="338"/>
      <c r="BY111" s="336"/>
    </row>
    <row r="112" spans="1:77" ht="13.15" hidden="1" customHeight="1" outlineLevel="1" x14ac:dyDescent="0.2">
      <c r="A112" s="50">
        <f t="shared" si="26"/>
        <v>107</v>
      </c>
      <c r="B112" s="51">
        <v>20</v>
      </c>
      <c r="C112" s="51">
        <v>28</v>
      </c>
      <c r="D112" s="18" t="s">
        <v>516</v>
      </c>
      <c r="E112" s="18">
        <v>11</v>
      </c>
      <c r="F112" s="18">
        <v>2</v>
      </c>
      <c r="G112" s="52">
        <v>1</v>
      </c>
      <c r="H112" s="237">
        <v>1</v>
      </c>
      <c r="I112" s="53">
        <v>1952</v>
      </c>
      <c r="J112" s="348">
        <v>4</v>
      </c>
      <c r="K112" s="346">
        <f t="shared" si="25"/>
        <v>5</v>
      </c>
      <c r="L112" s="346">
        <v>1</v>
      </c>
      <c r="M112" s="349">
        <v>3</v>
      </c>
      <c r="N112" s="255">
        <f t="shared" si="20"/>
        <v>2</v>
      </c>
      <c r="O112" s="310">
        <v>39</v>
      </c>
      <c r="P112" s="66">
        <v>2</v>
      </c>
      <c r="Q112" s="66"/>
      <c r="R112" s="66">
        <v>0</v>
      </c>
      <c r="S112" s="66">
        <v>25</v>
      </c>
      <c r="T112" s="66">
        <v>14</v>
      </c>
      <c r="U112" s="66">
        <v>0</v>
      </c>
      <c r="V112" s="66">
        <v>0</v>
      </c>
      <c r="W112" s="54">
        <v>0</v>
      </c>
      <c r="X112" s="55">
        <f>SUMIFS(Таблица3[Кол-во квартир],Таблица3[Адрес МКД],$D112)</f>
        <v>35</v>
      </c>
      <c r="Y112" s="56">
        <f t="shared" si="29"/>
        <v>4473.2700000000004</v>
      </c>
      <c r="Z112" s="253">
        <f>SUMIFS(Таблица3[Площадь жилая],Таблица3[Адрес МКД],$D112)</f>
        <v>2205.1999999999998</v>
      </c>
      <c r="AA112" s="261">
        <f>SUMIFS(Таблица3[Площадь нежилых помещений],Таблица3[Адрес МКД],$D112)</f>
        <v>793.8</v>
      </c>
      <c r="AB112" s="252">
        <f>SUMIFS(Таблица1[1],Таблица1[2],$D112)</f>
        <v>793.80000000000007</v>
      </c>
      <c r="AC112" s="57">
        <f t="shared" si="21"/>
        <v>793.80000000000007</v>
      </c>
      <c r="AD112" s="57">
        <f t="shared" si="22"/>
        <v>0</v>
      </c>
      <c r="AE112" s="58">
        <f>SUMIFS(Таблица1[8],Таблица1[2],$D112)+SUMIFS(Таблица1[18],Таблица1[2],$D112)</f>
        <v>509.40000000000003</v>
      </c>
      <c r="AF112" s="58">
        <f>SUMIFS(Таблица1[9],Таблица1[2],$D112)+SUMIFS(Таблица1[19],Таблица1[2],$D112)</f>
        <v>0</v>
      </c>
      <c r="AG112" s="59">
        <f>AJ112+AR112+AV112+AZ112+BB112</f>
        <v>1474.27</v>
      </c>
      <c r="AH112" s="59">
        <f>AJ112+AL112+AR112+AT112+AV112+AX112+BB112+BD112</f>
        <v>1474.27</v>
      </c>
      <c r="AI112" s="60">
        <f>519.3-AM112</f>
        <v>338.69999999999993</v>
      </c>
      <c r="AJ112" s="60">
        <f t="shared" si="16"/>
        <v>234.89999999999992</v>
      </c>
      <c r="AK112" s="60">
        <f>SUMIFS(Таблица1[10],Таблица1[2],$D112)</f>
        <v>103.8</v>
      </c>
      <c r="AL112" s="60">
        <f>SUMIFS(Таблица1[11],Таблица1[2],$D112)</f>
        <v>0</v>
      </c>
      <c r="AM112" s="251">
        <v>180.6</v>
      </c>
      <c r="AN112" s="249">
        <f t="shared" si="17"/>
        <v>0</v>
      </c>
      <c r="AO112" s="249">
        <f>SUMIFS(Таблица1[12],Таблица1[2],$D112)</f>
        <v>180.6</v>
      </c>
      <c r="AP112" s="249">
        <f>SUMIFS(Таблица1[13],Таблица1[2],$D112)</f>
        <v>0</v>
      </c>
      <c r="AQ112" s="61">
        <v>415.5</v>
      </c>
      <c r="AR112" s="61">
        <f t="shared" si="18"/>
        <v>415.5</v>
      </c>
      <c r="AS112" s="60">
        <f>SUMIFS(Таблица1[14],Таблица1[2],$D112)</f>
        <v>0</v>
      </c>
      <c r="AT112" s="60">
        <f>SUMIFS(Таблица1[15],Таблица1[2],$D112)</f>
        <v>0</v>
      </c>
      <c r="AU112" s="61">
        <v>823.87</v>
      </c>
      <c r="AV112" s="61">
        <f t="shared" si="19"/>
        <v>823.87</v>
      </c>
      <c r="AW112" s="60">
        <f>SUMIFS(Таблица1[16],Таблица1[2],$D112)</f>
        <v>0</v>
      </c>
      <c r="AX112" s="60">
        <f>SUMIFS(Таблица1[17],Таблица1[2],$D112)</f>
        <v>0</v>
      </c>
      <c r="AY112" s="263"/>
      <c r="AZ112" s="264"/>
      <c r="BA112" s="296">
        <v>28.8</v>
      </c>
      <c r="BB112" s="296">
        <f t="shared" si="28"/>
        <v>0</v>
      </c>
      <c r="BC112" s="296">
        <f>Нежилые!I600</f>
        <v>28.8</v>
      </c>
      <c r="BD112" s="296">
        <v>0</v>
      </c>
      <c r="BE112" s="285"/>
      <c r="BF112" s="259">
        <v>2657</v>
      </c>
      <c r="BG112" s="260">
        <f>10539+1873</f>
        <v>12412</v>
      </c>
      <c r="BH112" s="62" t="s">
        <v>936</v>
      </c>
      <c r="BI112" s="62" t="s">
        <v>935</v>
      </c>
      <c r="BJ112" s="62"/>
      <c r="BK112" s="267"/>
      <c r="BL112" s="267"/>
      <c r="BM112" s="267" t="s">
        <v>1649</v>
      </c>
      <c r="BN112" s="268"/>
      <c r="BO112" s="62">
        <v>17</v>
      </c>
      <c r="BP112" s="63">
        <v>30244</v>
      </c>
      <c r="BQ112" s="64" t="s">
        <v>1131</v>
      </c>
      <c r="BR112" s="372" t="s">
        <v>2747</v>
      </c>
      <c r="BS112" s="62"/>
      <c r="BT112" s="323"/>
      <c r="BU112" s="62"/>
      <c r="BV112" s="323"/>
      <c r="BW112" s="62"/>
      <c r="BX112" s="338"/>
      <c r="BY112" s="336"/>
    </row>
    <row r="113" spans="1:77" ht="13.15" hidden="1" customHeight="1" outlineLevel="1" x14ac:dyDescent="0.2">
      <c r="A113" s="50">
        <f t="shared" si="26"/>
        <v>108</v>
      </c>
      <c r="B113" s="51">
        <v>21</v>
      </c>
      <c r="C113" s="51">
        <v>29</v>
      </c>
      <c r="D113" s="18" t="s">
        <v>517</v>
      </c>
      <c r="E113" s="18">
        <v>11</v>
      </c>
      <c r="F113" s="18">
        <v>2</v>
      </c>
      <c r="G113" s="52">
        <v>1</v>
      </c>
      <c r="H113" s="237">
        <v>1</v>
      </c>
      <c r="I113" s="53">
        <v>1954</v>
      </c>
      <c r="J113" s="348">
        <v>4</v>
      </c>
      <c r="K113" s="346">
        <f t="shared" si="25"/>
        <v>5</v>
      </c>
      <c r="L113" s="346">
        <v>1</v>
      </c>
      <c r="M113" s="349">
        <v>4</v>
      </c>
      <c r="N113" s="255">
        <f t="shared" si="20"/>
        <v>2</v>
      </c>
      <c r="O113" s="310">
        <v>60</v>
      </c>
      <c r="P113" s="327">
        <v>8</v>
      </c>
      <c r="Q113" s="66"/>
      <c r="R113" s="66">
        <v>1</v>
      </c>
      <c r="S113" s="66">
        <v>20</v>
      </c>
      <c r="T113" s="66">
        <v>39</v>
      </c>
      <c r="U113" s="66">
        <v>0</v>
      </c>
      <c r="V113" s="66">
        <v>0</v>
      </c>
      <c r="W113" s="54">
        <v>0</v>
      </c>
      <c r="X113" s="55">
        <f>SUMIFS(Таблица3[Кол-во квартир],Таблица3[Адрес МКД],$D113)</f>
        <v>50</v>
      </c>
      <c r="Y113" s="56">
        <f t="shared" si="29"/>
        <v>5699.54</v>
      </c>
      <c r="Z113" s="253">
        <f>SUMIFS(Таблица3[Площадь жилая],Таблица3[Адрес МКД],$D113)</f>
        <v>3365.3</v>
      </c>
      <c r="AA113" s="261">
        <f>SUMIFS(Таблица3[Площадь нежилых помещений],Таблица3[Адрес МКД],$D113)</f>
        <v>569</v>
      </c>
      <c r="AB113" s="252">
        <f>SUMIFS(Таблица1[1],Таблица1[2],$D113)</f>
        <v>569</v>
      </c>
      <c r="AC113" s="57">
        <f t="shared" si="21"/>
        <v>569</v>
      </c>
      <c r="AD113" s="57">
        <f t="shared" si="22"/>
        <v>0</v>
      </c>
      <c r="AE113" s="58">
        <f>SUMIFS(Таблица1[8],Таблица1[2],$D113)+SUMIFS(Таблица1[18],Таблица1[2],$D113)</f>
        <v>419.1</v>
      </c>
      <c r="AF113" s="58">
        <f>SUMIFS(Таблица1[9],Таблица1[2],$D113)+SUMIFS(Таблица1[19],Таблица1[2],$D113)</f>
        <v>0</v>
      </c>
      <c r="AG113" s="59">
        <f t="shared" si="23"/>
        <v>1765.24</v>
      </c>
      <c r="AH113" s="59">
        <f t="shared" si="24"/>
        <v>1765.24</v>
      </c>
      <c r="AI113" s="60">
        <f>442.4-AM113</f>
        <v>292.5</v>
      </c>
      <c r="AJ113" s="60">
        <f t="shared" si="16"/>
        <v>292.5</v>
      </c>
      <c r="AK113" s="60">
        <f>SUMIFS(Таблица1[10],Таблица1[2],$D113)</f>
        <v>0</v>
      </c>
      <c r="AL113" s="60">
        <f>SUMIFS(Таблица1[11],Таблица1[2],$D113)</f>
        <v>0</v>
      </c>
      <c r="AM113" s="251">
        <f>149.9</f>
        <v>149.9</v>
      </c>
      <c r="AN113" s="249">
        <f t="shared" si="17"/>
        <v>0</v>
      </c>
      <c r="AO113" s="249">
        <f>SUMIFS(Таблица1[12],Таблица1[2],$D113)</f>
        <v>149.9</v>
      </c>
      <c r="AP113" s="249">
        <f>SUMIFS(Таблица1[13],Таблица1[2],$D113)</f>
        <v>0</v>
      </c>
      <c r="AQ113" s="61">
        <v>375.7</v>
      </c>
      <c r="AR113" s="61">
        <f t="shared" si="18"/>
        <v>375.7</v>
      </c>
      <c r="AS113" s="60">
        <f>SUMIFS(Таблица1[14],Таблица1[2],$D113)</f>
        <v>0</v>
      </c>
      <c r="AT113" s="60">
        <f>SUMIFS(Таблица1[15],Таблица1[2],$D113)</f>
        <v>0</v>
      </c>
      <c r="AU113" s="61">
        <v>1097.04</v>
      </c>
      <c r="AV113" s="61">
        <f t="shared" si="19"/>
        <v>1097.04</v>
      </c>
      <c r="AW113" s="60">
        <f>SUMIFS(Таблица1[16],Таблица1[2],$D113)</f>
        <v>0</v>
      </c>
      <c r="AX113" s="60">
        <f>SUMIFS(Таблица1[17],Таблица1[2],$D113)</f>
        <v>0</v>
      </c>
      <c r="AY113" s="263"/>
      <c r="AZ113" s="264"/>
      <c r="BA113" s="296">
        <v>0</v>
      </c>
      <c r="BB113" s="296">
        <f t="shared" si="28"/>
        <v>0</v>
      </c>
      <c r="BC113" s="296">
        <v>0</v>
      </c>
      <c r="BD113" s="296">
        <v>0</v>
      </c>
      <c r="BE113" s="285"/>
      <c r="BF113" s="259">
        <v>3477</v>
      </c>
      <c r="BG113" s="260">
        <v>16884</v>
      </c>
      <c r="BH113" s="62" t="s">
        <v>936</v>
      </c>
      <c r="BI113" s="62" t="s">
        <v>935</v>
      </c>
      <c r="BJ113" s="62"/>
      <c r="BK113" s="267"/>
      <c r="BL113" s="267"/>
      <c r="BM113" s="267" t="s">
        <v>1649</v>
      </c>
      <c r="BN113" s="268"/>
      <c r="BO113" s="62">
        <v>45</v>
      </c>
      <c r="BP113" s="63">
        <v>44243</v>
      </c>
      <c r="BQ113" s="64" t="s">
        <v>1131</v>
      </c>
      <c r="BR113" s="372" t="s">
        <v>2747</v>
      </c>
      <c r="BS113" s="62"/>
      <c r="BT113" s="323"/>
      <c r="BU113" s="62"/>
      <c r="BV113" s="323"/>
      <c r="BW113" s="62"/>
      <c r="BX113" s="336">
        <v>46</v>
      </c>
      <c r="BY113" s="336"/>
    </row>
    <row r="114" spans="1:77" ht="13.15" hidden="1" customHeight="1" outlineLevel="1" x14ac:dyDescent="0.2">
      <c r="A114" s="50">
        <f t="shared" si="26"/>
        <v>109</v>
      </c>
      <c r="B114" s="51">
        <v>22</v>
      </c>
      <c r="C114" s="51">
        <v>30</v>
      </c>
      <c r="D114" s="18" t="s">
        <v>518</v>
      </c>
      <c r="E114" s="18">
        <v>11</v>
      </c>
      <c r="F114" s="18">
        <v>2</v>
      </c>
      <c r="G114" s="52">
        <v>1</v>
      </c>
      <c r="H114" s="237">
        <v>1</v>
      </c>
      <c r="I114" s="53">
        <v>1952</v>
      </c>
      <c r="J114" s="350">
        <v>4</v>
      </c>
      <c r="K114" s="346">
        <f t="shared" si="25"/>
        <v>5</v>
      </c>
      <c r="L114" s="346">
        <v>1</v>
      </c>
      <c r="M114" s="349">
        <v>3</v>
      </c>
      <c r="N114" s="255">
        <f t="shared" si="20"/>
        <v>1</v>
      </c>
      <c r="O114" s="310">
        <v>40</v>
      </c>
      <c r="P114" s="66">
        <v>7</v>
      </c>
      <c r="Q114" s="66"/>
      <c r="R114" s="66">
        <v>0</v>
      </c>
      <c r="S114" s="66">
        <v>28</v>
      </c>
      <c r="T114" s="66">
        <v>12</v>
      </c>
      <c r="U114" s="66">
        <v>0</v>
      </c>
      <c r="V114" s="66">
        <v>0</v>
      </c>
      <c r="W114" s="54">
        <v>0</v>
      </c>
      <c r="X114" s="55">
        <f>SUMIFS(Таблица3[Кол-во квартир],Таблица3[Адрес МКД],$D114)</f>
        <v>32</v>
      </c>
      <c r="Y114" s="56">
        <f t="shared" si="29"/>
        <v>3750.21</v>
      </c>
      <c r="Z114" s="253">
        <f>SUMIFS(Таблица3[Площадь жилая],Таблица3[Адрес МКД],$D114)</f>
        <v>1911</v>
      </c>
      <c r="AA114" s="261">
        <f>SUMIFS(Таблица3[Площадь нежилых помещений],Таблица3[Адрес МКД],$D114)</f>
        <v>660.2</v>
      </c>
      <c r="AB114" s="252">
        <f>SUMIFS(Таблица1[1],Таблица1[2],$D114)</f>
        <v>660.2</v>
      </c>
      <c r="AC114" s="57">
        <f>AE114+AK114+AO114+AS114+AW114</f>
        <v>660.2</v>
      </c>
      <c r="AD114" s="57">
        <f t="shared" si="22"/>
        <v>0</v>
      </c>
      <c r="AE114" s="58">
        <f>SUMIFS(Таблица1[8],Таблица1[2],$D114)+SUMIFS(Таблица1[18],Таблица1[2],$D114)</f>
        <v>411.6</v>
      </c>
      <c r="AF114" s="58">
        <f>SUMIFS(Таблица1[9],Таблица1[2],$D114)+SUMIFS(Таблица1[19],Таблица1[2],$D114)</f>
        <v>0</v>
      </c>
      <c r="AG114" s="59">
        <f t="shared" si="23"/>
        <v>1179.01</v>
      </c>
      <c r="AH114" s="59">
        <f t="shared" si="24"/>
        <v>1179.01</v>
      </c>
      <c r="AI114" s="60">
        <f>352.2-AM114</f>
        <v>160.79999999999998</v>
      </c>
      <c r="AJ114" s="60">
        <f t="shared" si="16"/>
        <v>103.59999999999998</v>
      </c>
      <c r="AK114" s="60">
        <f>SUMIFS(Таблица1[10],Таблица1[2],$D114)</f>
        <v>57.2</v>
      </c>
      <c r="AL114" s="60">
        <f>SUMIFS(Таблица1[11],Таблица1[2],$D114)</f>
        <v>0</v>
      </c>
      <c r="AM114" s="251">
        <f>191.4</f>
        <v>191.4</v>
      </c>
      <c r="AN114" s="249">
        <f t="shared" si="17"/>
        <v>0</v>
      </c>
      <c r="AO114" s="249">
        <f>SUMIFS(Таблица1[12],Таблица1[2],$D114)</f>
        <v>191.4</v>
      </c>
      <c r="AP114" s="249">
        <f>SUMIFS(Таблица1[13],Таблица1[2],$D114)</f>
        <v>0</v>
      </c>
      <c r="AQ114" s="61">
        <v>344.9</v>
      </c>
      <c r="AR114" s="61">
        <f t="shared" si="18"/>
        <v>344.9</v>
      </c>
      <c r="AS114" s="60">
        <f>SUMIFS(Таблица1[14],Таблица1[2],$D114)</f>
        <v>0</v>
      </c>
      <c r="AT114" s="60">
        <f>SUMIFS(Таблица1[15],Таблица1[2],$D114)</f>
        <v>0</v>
      </c>
      <c r="AU114" s="61">
        <v>730.51</v>
      </c>
      <c r="AV114" s="61">
        <f t="shared" si="19"/>
        <v>730.51</v>
      </c>
      <c r="AW114" s="60">
        <f>SUMIFS(Таблица1[16],Таблица1[2],$D114)</f>
        <v>0</v>
      </c>
      <c r="AX114" s="60">
        <f>SUMIFS(Таблица1[17],Таблица1[2],$D114)</f>
        <v>0</v>
      </c>
      <c r="AY114" s="263"/>
      <c r="AZ114" s="264"/>
      <c r="BA114" s="296">
        <v>0</v>
      </c>
      <c r="BB114" s="296">
        <f t="shared" si="28"/>
        <v>0</v>
      </c>
      <c r="BC114" s="296">
        <v>0</v>
      </c>
      <c r="BD114" s="296">
        <v>0</v>
      </c>
      <c r="BE114" s="285"/>
      <c r="BF114" s="259">
        <v>1555</v>
      </c>
      <c r="BG114" s="260">
        <f>10564+82</f>
        <v>10646</v>
      </c>
      <c r="BH114" s="62" t="s">
        <v>936</v>
      </c>
      <c r="BI114" s="62" t="s">
        <v>935</v>
      </c>
      <c r="BJ114" s="62"/>
      <c r="BK114" s="267"/>
      <c r="BL114" s="267"/>
      <c r="BM114" s="267" t="s">
        <v>1649</v>
      </c>
      <c r="BN114" s="268"/>
      <c r="BO114" s="62">
        <v>33</v>
      </c>
      <c r="BP114" s="63">
        <v>28564</v>
      </c>
      <c r="BQ114" s="64" t="s">
        <v>1131</v>
      </c>
      <c r="BR114" s="372" t="s">
        <v>2747</v>
      </c>
      <c r="BS114" s="62"/>
      <c r="BT114" s="323"/>
      <c r="BU114" s="62"/>
      <c r="BV114" s="323"/>
      <c r="BW114" s="62"/>
      <c r="BX114" s="336">
        <v>34</v>
      </c>
      <c r="BY114" s="336"/>
    </row>
    <row r="115" spans="1:77" ht="13.15" hidden="1" customHeight="1" outlineLevel="1" x14ac:dyDescent="0.2">
      <c r="A115" s="50">
        <f t="shared" si="26"/>
        <v>110</v>
      </c>
      <c r="B115" s="51">
        <v>23</v>
      </c>
      <c r="C115" s="51">
        <v>31</v>
      </c>
      <c r="D115" s="18" t="s">
        <v>519</v>
      </c>
      <c r="E115" s="18">
        <v>11</v>
      </c>
      <c r="F115" s="18">
        <v>2</v>
      </c>
      <c r="G115" s="52">
        <v>1</v>
      </c>
      <c r="H115" s="237">
        <v>1</v>
      </c>
      <c r="I115" s="53">
        <v>1954</v>
      </c>
      <c r="J115" s="348">
        <v>4</v>
      </c>
      <c r="K115" s="346">
        <f t="shared" si="25"/>
        <v>4</v>
      </c>
      <c r="L115" s="346">
        <v>0</v>
      </c>
      <c r="M115" s="349">
        <v>2</v>
      </c>
      <c r="N115" s="255">
        <f t="shared" si="20"/>
        <v>2</v>
      </c>
      <c r="O115" s="310">
        <v>32</v>
      </c>
      <c r="P115" s="66">
        <v>4</v>
      </c>
      <c r="Q115" s="66"/>
      <c r="R115" s="66">
        <v>6</v>
      </c>
      <c r="S115" s="66">
        <v>16</v>
      </c>
      <c r="T115" s="66">
        <v>10</v>
      </c>
      <c r="U115" s="66">
        <v>0</v>
      </c>
      <c r="V115" s="66">
        <v>0</v>
      </c>
      <c r="W115" s="54">
        <v>0</v>
      </c>
      <c r="X115" s="55">
        <f>SUMIFS(Таблица3[Кол-во квартир],Таблица3[Адрес МКД],$D115)</f>
        <v>26</v>
      </c>
      <c r="Y115" s="56">
        <f t="shared" si="29"/>
        <v>2579.3599999999997</v>
      </c>
      <c r="Z115" s="253">
        <f>SUMIFS(Таблица3[Площадь жилая],Таблица3[Адрес МКД],$D115)</f>
        <v>1579.1</v>
      </c>
      <c r="AA115" s="261">
        <f>SUMIFS(Таблица3[Площадь нежилых помещений],Таблица3[Адрес МКД],$D115)</f>
        <v>232.8</v>
      </c>
      <c r="AB115" s="252">
        <f>SUMIFS(Таблица1[1],Таблица1[2],$D115)</f>
        <v>232.8</v>
      </c>
      <c r="AC115" s="57">
        <f t="shared" si="21"/>
        <v>232.8</v>
      </c>
      <c r="AD115" s="57">
        <f t="shared" si="22"/>
        <v>0</v>
      </c>
      <c r="AE115" s="58">
        <f>SUMIFS(Таблица1[8],Таблица1[2],$D115)+SUMIFS(Таблица1[18],Таблица1[2],$D115)</f>
        <v>232.8</v>
      </c>
      <c r="AF115" s="58">
        <f>SUMIFS(Таблица1[9],Таблица1[2],$D115)+SUMIFS(Таблица1[19],Таблица1[2],$D115)</f>
        <v>0</v>
      </c>
      <c r="AG115" s="59">
        <f t="shared" si="23"/>
        <v>767.45999999999992</v>
      </c>
      <c r="AH115" s="59">
        <f t="shared" si="24"/>
        <v>767.45999999999992</v>
      </c>
      <c r="AI115" s="60">
        <f>0-AM115</f>
        <v>0</v>
      </c>
      <c r="AJ115" s="60">
        <f t="shared" si="16"/>
        <v>0</v>
      </c>
      <c r="AK115" s="60">
        <f>SUMIFS(Таблица1[10],Таблица1[2],$D115)</f>
        <v>0</v>
      </c>
      <c r="AL115" s="60">
        <f>SUMIFS(Таблица1[11],Таблица1[2],$D115)</f>
        <v>0</v>
      </c>
      <c r="AM115" s="251">
        <v>0</v>
      </c>
      <c r="AN115" s="249">
        <f t="shared" si="17"/>
        <v>0</v>
      </c>
      <c r="AO115" s="249">
        <f>SUMIFS(Таблица1[12],Таблица1[2],$D115)</f>
        <v>0</v>
      </c>
      <c r="AP115" s="249">
        <f>SUMIFS(Таблица1[13],Таблица1[2],$D115)</f>
        <v>0</v>
      </c>
      <c r="AQ115" s="61">
        <v>179.9</v>
      </c>
      <c r="AR115" s="61">
        <f t="shared" si="18"/>
        <v>179.9</v>
      </c>
      <c r="AS115" s="60">
        <f>SUMIFS(Таблица1[14],Таблица1[2],$D115)</f>
        <v>0</v>
      </c>
      <c r="AT115" s="60">
        <f>SUMIFS(Таблица1[15],Таблица1[2],$D115)</f>
        <v>0</v>
      </c>
      <c r="AU115" s="61">
        <v>587.55999999999995</v>
      </c>
      <c r="AV115" s="61">
        <f t="shared" si="19"/>
        <v>587.55999999999995</v>
      </c>
      <c r="AW115" s="60">
        <f>SUMIFS(Таблица1[16],Таблица1[2],$D115)</f>
        <v>0</v>
      </c>
      <c r="AX115" s="60">
        <f>SUMIFS(Таблица1[17],Таблица1[2],$D115)</f>
        <v>0</v>
      </c>
      <c r="AY115" s="263"/>
      <c r="AZ115" s="264"/>
      <c r="BA115" s="296">
        <v>0</v>
      </c>
      <c r="BB115" s="296">
        <f t="shared" si="28"/>
        <v>0</v>
      </c>
      <c r="BC115" s="296">
        <v>0</v>
      </c>
      <c r="BD115" s="296">
        <v>0</v>
      </c>
      <c r="BE115" s="285"/>
      <c r="BF115" s="259">
        <v>0</v>
      </c>
      <c r="BG115" s="260">
        <v>9091</v>
      </c>
      <c r="BH115" s="62" t="s">
        <v>936</v>
      </c>
      <c r="BI115" s="62" t="s">
        <v>935</v>
      </c>
      <c r="BJ115" s="62" t="s">
        <v>944</v>
      </c>
      <c r="BK115" s="267"/>
      <c r="BL115" s="267"/>
      <c r="BM115" s="267" t="s">
        <v>1649</v>
      </c>
      <c r="BN115" s="268"/>
      <c r="BO115" s="62">
        <v>32</v>
      </c>
      <c r="BP115" s="63">
        <v>28440</v>
      </c>
      <c r="BQ115" s="64" t="s">
        <v>1131</v>
      </c>
      <c r="BR115" s="372" t="s">
        <v>2747</v>
      </c>
      <c r="BS115" s="62"/>
      <c r="BT115" s="323"/>
      <c r="BU115" s="62"/>
      <c r="BV115" s="323"/>
      <c r="BW115" s="62"/>
      <c r="BX115" s="336">
        <v>25</v>
      </c>
      <c r="BY115" s="336"/>
    </row>
    <row r="116" spans="1:77" ht="13.15" hidden="1" customHeight="1" outlineLevel="1" x14ac:dyDescent="0.2">
      <c r="A116" s="50">
        <f t="shared" si="26"/>
        <v>111</v>
      </c>
      <c r="B116" s="51">
        <v>24</v>
      </c>
      <c r="C116" s="51">
        <v>32</v>
      </c>
      <c r="D116" s="18" t="s">
        <v>520</v>
      </c>
      <c r="E116" s="18">
        <v>11</v>
      </c>
      <c r="F116" s="18">
        <v>2</v>
      </c>
      <c r="G116" s="52">
        <v>1</v>
      </c>
      <c r="H116" s="237">
        <v>1</v>
      </c>
      <c r="I116" s="53">
        <v>1954</v>
      </c>
      <c r="J116" s="348">
        <v>4</v>
      </c>
      <c r="K116" s="346">
        <f t="shared" si="25"/>
        <v>5</v>
      </c>
      <c r="L116" s="346">
        <v>1</v>
      </c>
      <c r="M116" s="349">
        <v>4</v>
      </c>
      <c r="N116" s="255">
        <f t="shared" si="20"/>
        <v>2</v>
      </c>
      <c r="O116" s="310">
        <v>60</v>
      </c>
      <c r="P116" s="66">
        <v>4</v>
      </c>
      <c r="Q116" s="66"/>
      <c r="R116" s="66">
        <v>1</v>
      </c>
      <c r="S116" s="66">
        <v>39</v>
      </c>
      <c r="T116" s="66">
        <v>20</v>
      </c>
      <c r="U116" s="66">
        <v>0</v>
      </c>
      <c r="V116" s="66">
        <v>0</v>
      </c>
      <c r="W116" s="54">
        <v>0</v>
      </c>
      <c r="X116" s="55">
        <f>SUMIFS(Таблица3[Кол-во квартир],Таблица3[Адрес МКД],$D116)</f>
        <v>54</v>
      </c>
      <c r="Y116" s="56">
        <f t="shared" si="29"/>
        <v>5887.35</v>
      </c>
      <c r="Z116" s="253">
        <f>SUMIFS(Таблица3[Площадь жилая],Таблица3[Адрес МКД],$D116)</f>
        <v>3570.3</v>
      </c>
      <c r="AA116" s="261">
        <f>SUMIFS(Таблица3[Площадь нежилых помещений],Таблица3[Адрес МКД],$D116)</f>
        <v>421</v>
      </c>
      <c r="AB116" s="252">
        <f>SUMIFS(Таблица1[1],Таблица1[2],$D116)</f>
        <v>421</v>
      </c>
      <c r="AC116" s="57">
        <f t="shared" si="21"/>
        <v>421</v>
      </c>
      <c r="AD116" s="57">
        <f t="shared" si="22"/>
        <v>0</v>
      </c>
      <c r="AE116" s="58">
        <f>SUMIFS(Таблица1[8],Таблица1[2],$D116)+SUMIFS(Таблица1[18],Таблица1[2],$D116)</f>
        <v>255.6</v>
      </c>
      <c r="AF116" s="58">
        <f>SUMIFS(Таблица1[9],Таблица1[2],$D116)+SUMIFS(Таблица1[19],Таблица1[2],$D116)</f>
        <v>0</v>
      </c>
      <c r="AG116" s="59">
        <f t="shared" si="23"/>
        <v>1896.0500000000002</v>
      </c>
      <c r="AH116" s="59">
        <f t="shared" si="24"/>
        <v>1896.0500000000002</v>
      </c>
      <c r="AI116" s="60">
        <f>472.5-AM116</f>
        <v>307.10000000000002</v>
      </c>
      <c r="AJ116" s="60">
        <f t="shared" si="16"/>
        <v>307.10000000000002</v>
      </c>
      <c r="AK116" s="60">
        <f>SUMIFS(Таблица1[10],Таблица1[2],$D116)</f>
        <v>0</v>
      </c>
      <c r="AL116" s="60">
        <f>SUMIFS(Таблица1[11],Таблица1[2],$D116)</f>
        <v>0</v>
      </c>
      <c r="AM116" s="251">
        <f>165.4</f>
        <v>165.4</v>
      </c>
      <c r="AN116" s="249">
        <f t="shared" si="17"/>
        <v>0</v>
      </c>
      <c r="AO116" s="249">
        <f>SUMIFS(Таблица1[12],Таблица1[2],$D116)</f>
        <v>165.4</v>
      </c>
      <c r="AP116" s="249">
        <f>SUMIFS(Таблица1[13],Таблица1[2],$D116)</f>
        <v>0</v>
      </c>
      <c r="AQ116" s="61">
        <v>404.5</v>
      </c>
      <c r="AR116" s="61">
        <f t="shared" si="18"/>
        <v>404.5</v>
      </c>
      <c r="AS116" s="60">
        <f>SUMIFS(Таблица1[14],Таблица1[2],$D116)</f>
        <v>0</v>
      </c>
      <c r="AT116" s="60">
        <f>SUMIFS(Таблица1[15],Таблица1[2],$D116)</f>
        <v>0</v>
      </c>
      <c r="AU116" s="61">
        <v>1184.45</v>
      </c>
      <c r="AV116" s="61">
        <f t="shared" si="19"/>
        <v>1184.45</v>
      </c>
      <c r="AW116" s="60">
        <f>SUMIFS(Таблица1[16],Таблица1[2],$D116)</f>
        <v>0</v>
      </c>
      <c r="AX116" s="60">
        <f>SUMIFS(Таблица1[17],Таблица1[2],$D116)</f>
        <v>0</v>
      </c>
      <c r="AY116" s="263"/>
      <c r="AZ116" s="264"/>
      <c r="BA116" s="296">
        <v>0</v>
      </c>
      <c r="BB116" s="296">
        <f t="shared" si="28"/>
        <v>0</v>
      </c>
      <c r="BC116" s="296">
        <v>0</v>
      </c>
      <c r="BD116" s="296">
        <v>0</v>
      </c>
      <c r="BE116" s="285"/>
      <c r="BF116" s="259">
        <v>1825</v>
      </c>
      <c r="BG116" s="260">
        <v>16773</v>
      </c>
      <c r="BH116" s="62" t="s">
        <v>936</v>
      </c>
      <c r="BI116" s="62" t="s">
        <v>935</v>
      </c>
      <c r="BJ116" s="62"/>
      <c r="BK116" s="267"/>
      <c r="BL116" s="267"/>
      <c r="BM116" s="267" t="s">
        <v>1649</v>
      </c>
      <c r="BN116" s="268"/>
      <c r="BO116" s="62">
        <v>33</v>
      </c>
      <c r="BP116" s="63">
        <v>28717</v>
      </c>
      <c r="BQ116" s="64" t="s">
        <v>1131</v>
      </c>
      <c r="BR116" s="372" t="s">
        <v>2747</v>
      </c>
      <c r="BS116" s="62"/>
      <c r="BT116" s="323"/>
      <c r="BU116" s="62"/>
      <c r="BV116" s="323"/>
      <c r="BW116" s="62"/>
      <c r="BX116" s="336">
        <v>46</v>
      </c>
      <c r="BY116" s="336"/>
    </row>
    <row r="117" spans="1:77" ht="13.15" hidden="1" customHeight="1" outlineLevel="1" x14ac:dyDescent="0.2">
      <c r="A117" s="50">
        <f t="shared" si="26"/>
        <v>112</v>
      </c>
      <c r="B117" s="51">
        <v>25</v>
      </c>
      <c r="C117" s="51">
        <v>33</v>
      </c>
      <c r="D117" s="18" t="s">
        <v>1327</v>
      </c>
      <c r="E117" s="18">
        <v>11</v>
      </c>
      <c r="F117" s="18">
        <v>2</v>
      </c>
      <c r="G117" s="52">
        <v>2</v>
      </c>
      <c r="H117" s="237">
        <v>1</v>
      </c>
      <c r="I117" s="53">
        <v>1954</v>
      </c>
      <c r="J117" s="350">
        <v>4.5</v>
      </c>
      <c r="K117" s="345">
        <v>5.6</v>
      </c>
      <c r="L117" s="346">
        <v>1</v>
      </c>
      <c r="M117" s="349">
        <v>4</v>
      </c>
      <c r="N117" s="255">
        <f t="shared" si="20"/>
        <v>1</v>
      </c>
      <c r="O117" s="310">
        <v>62</v>
      </c>
      <c r="P117" s="327">
        <v>10</v>
      </c>
      <c r="Q117" s="66"/>
      <c r="R117" s="66">
        <v>3</v>
      </c>
      <c r="S117" s="66">
        <v>29</v>
      </c>
      <c r="T117" s="66">
        <v>25</v>
      </c>
      <c r="U117" s="66">
        <v>4</v>
      </c>
      <c r="V117" s="66">
        <v>1</v>
      </c>
      <c r="W117" s="54">
        <v>0</v>
      </c>
      <c r="X117" s="55">
        <f>SUMIFS(Таблица3[Кол-во квартир],Таблица3[Адрес МКД],$D117)</f>
        <v>51</v>
      </c>
      <c r="Y117" s="56">
        <f t="shared" si="29"/>
        <v>6434.12</v>
      </c>
      <c r="Z117" s="253">
        <f>SUMIFS(Таблица3[Площадь жилая],Таблица3[Адрес МКД],$D117)</f>
        <v>3641.4</v>
      </c>
      <c r="AA117" s="261">
        <f>SUMIFS(Таблица3[Площадь нежилых помещений],Таблица3[Адрес МКД],$D117)</f>
        <v>976.8</v>
      </c>
      <c r="AB117" s="252">
        <f>SUMIFS(Таблица1[1],Таблица1[2],$D117)</f>
        <v>1035.8</v>
      </c>
      <c r="AC117" s="57">
        <f t="shared" si="21"/>
        <v>1022.2</v>
      </c>
      <c r="AD117" s="57">
        <f t="shared" si="22"/>
        <v>13.6</v>
      </c>
      <c r="AE117" s="58">
        <f>SUMIFS(Таблица1[8],Таблица1[2],$D117)+SUMIFS(Таблица1[18],Таблица1[2],$D117)</f>
        <v>642.1</v>
      </c>
      <c r="AF117" s="58">
        <f>SUMIFS(Таблица1[9],Таблица1[2],$D117)+SUMIFS(Таблица1[19],Таблица1[2],$D117)</f>
        <v>0</v>
      </c>
      <c r="AG117" s="59">
        <f t="shared" si="23"/>
        <v>1756.9199999999998</v>
      </c>
      <c r="AH117" s="59">
        <f t="shared" si="24"/>
        <v>1770.52</v>
      </c>
      <c r="AI117" s="60">
        <f>655.4-AM117</f>
        <v>414.09999999999997</v>
      </c>
      <c r="AJ117" s="60">
        <f t="shared" si="16"/>
        <v>275.29999999999995</v>
      </c>
      <c r="AK117" s="60">
        <f>SUMIFS(Таблица1[10],Таблица1[2],$D117)</f>
        <v>138.80000000000001</v>
      </c>
      <c r="AL117" s="60">
        <f>SUMIFS(Таблица1[11],Таблица1[2],$D117)</f>
        <v>0</v>
      </c>
      <c r="AM117" s="251">
        <f>195.9+45.4</f>
        <v>241.3</v>
      </c>
      <c r="AN117" s="249">
        <f t="shared" si="17"/>
        <v>0</v>
      </c>
      <c r="AO117" s="249">
        <f>SUMIFS(Таблица1[12],Таблица1[2],$D117)</f>
        <v>241.3</v>
      </c>
      <c r="AP117" s="249">
        <f>SUMIFS(Таблица1[13],Таблица1[2],$D117)</f>
        <v>0</v>
      </c>
      <c r="AQ117" s="61">
        <f>391.7</f>
        <v>391.7</v>
      </c>
      <c r="AR117" s="61">
        <f t="shared" si="18"/>
        <v>378.09999999999997</v>
      </c>
      <c r="AS117" s="60">
        <f>SUMIFS(Таблица1[14],Таблица1[2],$D117)</f>
        <v>0</v>
      </c>
      <c r="AT117" s="60">
        <f>SUMIFS(Таблица1[15],Таблица1[2],$D117)</f>
        <v>13.6</v>
      </c>
      <c r="AU117" s="61">
        <v>1103.52</v>
      </c>
      <c r="AV117" s="61">
        <f t="shared" si="19"/>
        <v>1103.52</v>
      </c>
      <c r="AW117" s="60">
        <f>SUMIFS(Таблица1[16],Таблица1[2],$D117)</f>
        <v>0</v>
      </c>
      <c r="AX117" s="60">
        <f>SUMIFS(Таблица1[17],Таблица1[2],$D117)</f>
        <v>0</v>
      </c>
      <c r="AY117" s="263"/>
      <c r="AZ117" s="264"/>
      <c r="BA117" s="296">
        <v>0</v>
      </c>
      <c r="BB117" s="296">
        <f t="shared" si="28"/>
        <v>0</v>
      </c>
      <c r="BC117" s="296">
        <v>0</v>
      </c>
      <c r="BD117" s="296">
        <v>0</v>
      </c>
      <c r="BE117" s="285"/>
      <c r="BF117" s="259">
        <v>3537</v>
      </c>
      <c r="BG117" s="260">
        <f>17737+2247</f>
        <v>19984</v>
      </c>
      <c r="BH117" s="62" t="s">
        <v>936</v>
      </c>
      <c r="BI117" s="62" t="s">
        <v>935</v>
      </c>
      <c r="BJ117" s="62" t="s">
        <v>1017</v>
      </c>
      <c r="BK117" s="267"/>
      <c r="BL117" s="267"/>
      <c r="BM117" s="267" t="s">
        <v>1649</v>
      </c>
      <c r="BN117" s="268"/>
      <c r="BO117" s="62">
        <v>41</v>
      </c>
      <c r="BP117" s="63">
        <v>44243</v>
      </c>
      <c r="BQ117" s="64" t="s">
        <v>1131</v>
      </c>
      <c r="BR117" s="372" t="s">
        <v>2747</v>
      </c>
      <c r="BS117" s="62"/>
      <c r="BT117" s="323"/>
      <c r="BU117" s="62"/>
      <c r="BV117" s="323"/>
      <c r="BW117" s="62"/>
      <c r="BX117" s="336">
        <v>36</v>
      </c>
      <c r="BY117" s="336" t="s">
        <v>1649</v>
      </c>
    </row>
    <row r="118" spans="1:77" ht="13.15" hidden="1" customHeight="1" outlineLevel="1" x14ac:dyDescent="0.2">
      <c r="A118" s="50">
        <f t="shared" si="26"/>
        <v>113</v>
      </c>
      <c r="B118" s="51">
        <v>26</v>
      </c>
      <c r="C118" s="51">
        <v>34</v>
      </c>
      <c r="D118" s="18" t="s">
        <v>521</v>
      </c>
      <c r="E118" s="18">
        <v>11</v>
      </c>
      <c r="F118" s="18">
        <v>2</v>
      </c>
      <c r="G118" s="52">
        <v>1</v>
      </c>
      <c r="H118" s="237">
        <v>1</v>
      </c>
      <c r="I118" s="53">
        <v>1954</v>
      </c>
      <c r="J118" s="348">
        <v>4</v>
      </c>
      <c r="K118" s="346">
        <f t="shared" si="25"/>
        <v>4</v>
      </c>
      <c r="L118" s="346">
        <v>0</v>
      </c>
      <c r="M118" s="349">
        <v>2</v>
      </c>
      <c r="N118" s="255">
        <f t="shared" si="20"/>
        <v>0</v>
      </c>
      <c r="O118" s="310">
        <v>32</v>
      </c>
      <c r="P118" s="66">
        <v>5</v>
      </c>
      <c r="Q118" s="66"/>
      <c r="R118" s="66">
        <v>6</v>
      </c>
      <c r="S118" s="66">
        <v>16</v>
      </c>
      <c r="T118" s="66">
        <v>10</v>
      </c>
      <c r="U118" s="66">
        <v>0</v>
      </c>
      <c r="V118" s="66">
        <v>0</v>
      </c>
      <c r="W118" s="54">
        <v>0</v>
      </c>
      <c r="X118" s="55">
        <f>SUMIFS(Таблица3[Кол-во квартир],Таблица3[Адрес МКД],$D118)</f>
        <v>27</v>
      </c>
      <c r="Y118" s="56">
        <f t="shared" si="29"/>
        <v>2554.1999999999998</v>
      </c>
      <c r="Z118" s="253">
        <f>SUMIFS(Таблица3[Площадь жилая],Таблица3[Адрес МКД],$D118)</f>
        <v>1531.1</v>
      </c>
      <c r="AA118" s="261">
        <f>SUMIFS(Таблица3[Площадь нежилых помещений],Таблица3[Адрес МКД],$D118)</f>
        <v>266.3</v>
      </c>
      <c r="AB118" s="252">
        <f>SUMIFS(Таблица1[1],Таблица1[2],$D118)</f>
        <v>266.3</v>
      </c>
      <c r="AC118" s="57">
        <f t="shared" si="21"/>
        <v>266.3</v>
      </c>
      <c r="AD118" s="57">
        <f t="shared" si="22"/>
        <v>0</v>
      </c>
      <c r="AE118" s="58">
        <f>SUMIFS(Таблица1[8],Таблица1[2],$D118)+SUMIFS(Таблица1[18],Таблица1[2],$D118)</f>
        <v>266.3</v>
      </c>
      <c r="AF118" s="58">
        <f>SUMIFS(Таблица1[9],Таблица1[2],$D118)+SUMIFS(Таблица1[19],Таблица1[2],$D118)</f>
        <v>0</v>
      </c>
      <c r="AG118" s="59">
        <f t="shared" si="23"/>
        <v>756.8</v>
      </c>
      <c r="AH118" s="59">
        <f t="shared" si="24"/>
        <v>756.8</v>
      </c>
      <c r="AI118" s="60">
        <f>0-AM118</f>
        <v>0</v>
      </c>
      <c r="AJ118" s="60">
        <f t="shared" si="16"/>
        <v>0</v>
      </c>
      <c r="AK118" s="60">
        <f>SUMIFS(Таблица1[10],Таблица1[2],$D118)</f>
        <v>0</v>
      </c>
      <c r="AL118" s="60">
        <f>SUMIFS(Таблица1[11],Таблица1[2],$D118)</f>
        <v>0</v>
      </c>
      <c r="AM118" s="251">
        <v>0</v>
      </c>
      <c r="AN118" s="249">
        <f t="shared" si="17"/>
        <v>0</v>
      </c>
      <c r="AO118" s="249">
        <f>SUMIFS(Таблица1[12],Таблица1[2],$D118)</f>
        <v>0</v>
      </c>
      <c r="AP118" s="249">
        <f>SUMIFS(Таблица1[13],Таблица1[2],$D118)</f>
        <v>0</v>
      </c>
      <c r="AQ118" s="61">
        <v>174.8</v>
      </c>
      <c r="AR118" s="61">
        <f t="shared" si="18"/>
        <v>174.8</v>
      </c>
      <c r="AS118" s="60">
        <f>SUMIFS(Таблица1[14],Таблица1[2],$D118)</f>
        <v>0</v>
      </c>
      <c r="AT118" s="60">
        <f>SUMIFS(Таблица1[15],Таблица1[2],$D118)</f>
        <v>0</v>
      </c>
      <c r="AU118" s="61">
        <v>582</v>
      </c>
      <c r="AV118" s="61">
        <f t="shared" si="19"/>
        <v>582</v>
      </c>
      <c r="AW118" s="60">
        <f>SUMIFS(Таблица1[16],Таблица1[2],$D118)</f>
        <v>0</v>
      </c>
      <c r="AX118" s="60">
        <f>SUMIFS(Таблица1[17],Таблица1[2],$D118)</f>
        <v>0</v>
      </c>
      <c r="AY118" s="263"/>
      <c r="AZ118" s="264"/>
      <c r="BA118" s="296">
        <v>0</v>
      </c>
      <c r="BB118" s="296">
        <f t="shared" si="28"/>
        <v>0</v>
      </c>
      <c r="BC118" s="296">
        <v>0</v>
      </c>
      <c r="BD118" s="296">
        <v>0</v>
      </c>
      <c r="BE118" s="285"/>
      <c r="BF118" s="259">
        <v>0</v>
      </c>
      <c r="BG118" s="260">
        <v>8541</v>
      </c>
      <c r="BH118" s="62" t="s">
        <v>939</v>
      </c>
      <c r="BI118" s="62" t="s">
        <v>935</v>
      </c>
      <c r="BJ118" s="62"/>
      <c r="BK118" s="267"/>
      <c r="BL118" s="267"/>
      <c r="BM118" s="267" t="s">
        <v>1649</v>
      </c>
      <c r="BN118" s="268"/>
      <c r="BO118" s="62">
        <v>44</v>
      </c>
      <c r="BP118" s="63">
        <v>44243</v>
      </c>
      <c r="BQ118" s="64" t="s">
        <v>1131</v>
      </c>
      <c r="BR118" s="372" t="s">
        <v>2747</v>
      </c>
      <c r="BS118" s="62"/>
      <c r="BT118" s="323"/>
      <c r="BU118" s="62"/>
      <c r="BV118" s="323"/>
      <c r="BW118" s="62"/>
      <c r="BX118" s="336">
        <v>27</v>
      </c>
      <c r="BY118" s="336"/>
    </row>
    <row r="119" spans="1:77" ht="13.15" hidden="1" customHeight="1" outlineLevel="1" x14ac:dyDescent="0.2">
      <c r="A119" s="50">
        <f t="shared" si="26"/>
        <v>114</v>
      </c>
      <c r="B119" s="51">
        <v>27</v>
      </c>
      <c r="C119" s="51">
        <v>35</v>
      </c>
      <c r="D119" s="18" t="s">
        <v>1326</v>
      </c>
      <c r="E119" s="18">
        <v>11</v>
      </c>
      <c r="F119" s="18">
        <v>2</v>
      </c>
      <c r="G119" s="52">
        <v>1</v>
      </c>
      <c r="H119" s="237">
        <v>1</v>
      </c>
      <c r="I119" s="53">
        <v>1954</v>
      </c>
      <c r="J119" s="348">
        <v>5</v>
      </c>
      <c r="K119" s="346">
        <f t="shared" si="25"/>
        <v>6</v>
      </c>
      <c r="L119" s="346">
        <v>1</v>
      </c>
      <c r="M119" s="349">
        <v>4</v>
      </c>
      <c r="N119" s="255">
        <f t="shared" si="20"/>
        <v>0</v>
      </c>
      <c r="O119" s="310">
        <v>62</v>
      </c>
      <c r="P119" s="66">
        <v>7</v>
      </c>
      <c r="Q119" s="66"/>
      <c r="R119" s="66">
        <v>1</v>
      </c>
      <c r="S119" s="66">
        <v>30</v>
      </c>
      <c r="T119" s="66">
        <v>27</v>
      </c>
      <c r="U119" s="66">
        <v>4</v>
      </c>
      <c r="V119" s="66">
        <v>0</v>
      </c>
      <c r="W119" s="54">
        <v>0</v>
      </c>
      <c r="X119" s="55">
        <f>SUMIFS(Таблица3[Кол-во квартир],Таблица3[Адрес МКД],$D119)</f>
        <v>55</v>
      </c>
      <c r="Y119" s="56">
        <f t="shared" si="29"/>
        <v>6800</v>
      </c>
      <c r="Z119" s="253">
        <f>SUMIFS(Таблица3[Площадь жилая],Таблица3[Адрес МКД],$D119)</f>
        <v>3822.1</v>
      </c>
      <c r="AA119" s="261">
        <f>SUMIFS(Таблица3[Площадь нежилых помещений],Таблица3[Адрес МКД],$D119)</f>
        <v>1113</v>
      </c>
      <c r="AB119" s="252">
        <f>SUMIFS(Таблица1[1],Таблица1[2],$D119)</f>
        <v>1049.3</v>
      </c>
      <c r="AC119" s="57">
        <f t="shared" si="21"/>
        <v>1049.3</v>
      </c>
      <c r="AD119" s="57">
        <f t="shared" si="22"/>
        <v>0</v>
      </c>
      <c r="AE119" s="58">
        <f>SUMIFS(Таблица1[8],Таблица1[2],$D119)+SUMIFS(Таблица1[18],Таблица1[2],$D119)</f>
        <v>455.20000000000005</v>
      </c>
      <c r="AF119" s="58">
        <f>SUMIFS(Таблица1[9],Таблица1[2],$D119)+SUMIFS(Таблица1[19],Таблица1[2],$D119)</f>
        <v>0</v>
      </c>
      <c r="AG119" s="59">
        <f t="shared" si="23"/>
        <v>1936</v>
      </c>
      <c r="AH119" s="59">
        <f t="shared" si="24"/>
        <v>1936</v>
      </c>
      <c r="AI119" s="60">
        <f>749.3-AM119</f>
        <v>595.09999999999991</v>
      </c>
      <c r="AJ119" s="60">
        <f t="shared" si="16"/>
        <v>162.59999999999991</v>
      </c>
      <c r="AK119" s="60">
        <f>SUMIFS(Таблица1[10],Таблица1[2],$D119)</f>
        <v>432.5</v>
      </c>
      <c r="AL119" s="60">
        <f>SUMIFS(Таблица1[11],Таблица1[2],$D119)</f>
        <v>0</v>
      </c>
      <c r="AM119" s="251">
        <f>225.3-36-35.1</f>
        <v>154.20000000000002</v>
      </c>
      <c r="AN119" s="249">
        <f t="shared" si="17"/>
        <v>-7.3999999999999773</v>
      </c>
      <c r="AO119" s="249">
        <f>SUMIFS(Таблица1[12],Таблица1[2],$D119)</f>
        <v>161.6</v>
      </c>
      <c r="AP119" s="249">
        <f>SUMIFS(Таблица1[13],Таблица1[2],$D119)</f>
        <v>0</v>
      </c>
      <c r="AQ119" s="61">
        <v>484.5</v>
      </c>
      <c r="AR119" s="61">
        <f t="shared" si="18"/>
        <v>484.5</v>
      </c>
      <c r="AS119" s="60">
        <f>SUMIFS(Таблица1[14],Таблица1[2],$D119)</f>
        <v>0</v>
      </c>
      <c r="AT119" s="60">
        <f>SUMIFS(Таблица1[15],Таблица1[2],$D119)</f>
        <v>0</v>
      </c>
      <c r="AU119" s="61">
        <v>1288.9000000000001</v>
      </c>
      <c r="AV119" s="61">
        <f t="shared" si="19"/>
        <v>1288.9000000000001</v>
      </c>
      <c r="AW119" s="60">
        <f>SUMIFS(Таблица1[16],Таблица1[2],$D119)</f>
        <v>0</v>
      </c>
      <c r="AX119" s="60">
        <f>SUMIFS(Таблица1[17],Таблица1[2],$D119)</f>
        <v>0</v>
      </c>
      <c r="AY119" s="263"/>
      <c r="AZ119" s="264"/>
      <c r="BA119" s="296">
        <v>0</v>
      </c>
      <c r="BB119" s="296">
        <f t="shared" si="28"/>
        <v>0</v>
      </c>
      <c r="BC119" s="296">
        <v>0</v>
      </c>
      <c r="BD119" s="296">
        <v>0</v>
      </c>
      <c r="BE119" s="285"/>
      <c r="BF119" s="259">
        <v>3727</v>
      </c>
      <c r="BG119" s="260">
        <f>12812+4215+2044</f>
        <v>19071</v>
      </c>
      <c r="BH119" s="62" t="s">
        <v>936</v>
      </c>
      <c r="BI119" s="62" t="s">
        <v>935</v>
      </c>
      <c r="BJ119" s="62"/>
      <c r="BK119" s="267"/>
      <c r="BL119" s="267"/>
      <c r="BM119" s="267" t="s">
        <v>1649</v>
      </c>
      <c r="BN119" s="268"/>
      <c r="BO119" s="62">
        <v>31</v>
      </c>
      <c r="BP119" s="63">
        <v>28053</v>
      </c>
      <c r="BQ119" s="64" t="s">
        <v>1131</v>
      </c>
      <c r="BR119" s="372" t="s">
        <v>2747</v>
      </c>
      <c r="BS119" s="62"/>
      <c r="BT119" s="323"/>
      <c r="BU119" s="62"/>
      <c r="BV119" s="323"/>
      <c r="BW119" s="62"/>
      <c r="BX119" s="338"/>
      <c r="BY119" s="336"/>
    </row>
    <row r="120" spans="1:77" ht="13.15" hidden="1" customHeight="1" outlineLevel="1" x14ac:dyDescent="0.2">
      <c r="A120" s="50">
        <f t="shared" si="26"/>
        <v>115</v>
      </c>
      <c r="B120" s="51">
        <v>15</v>
      </c>
      <c r="C120" s="51">
        <v>33</v>
      </c>
      <c r="D120" s="18" t="s">
        <v>363</v>
      </c>
      <c r="E120" s="18">
        <v>9</v>
      </c>
      <c r="F120" s="18">
        <v>1</v>
      </c>
      <c r="G120" s="52">
        <v>1</v>
      </c>
      <c r="H120" s="237">
        <v>1</v>
      </c>
      <c r="I120" s="53">
        <v>1949</v>
      </c>
      <c r="J120" s="348">
        <v>2</v>
      </c>
      <c r="K120" s="346">
        <f t="shared" si="25"/>
        <v>3</v>
      </c>
      <c r="L120" s="346">
        <v>1</v>
      </c>
      <c r="M120" s="349">
        <v>4</v>
      </c>
      <c r="N120" s="255">
        <f t="shared" si="20"/>
        <v>0</v>
      </c>
      <c r="O120" s="310">
        <v>32</v>
      </c>
      <c r="P120" s="66">
        <v>1</v>
      </c>
      <c r="Q120" s="66"/>
      <c r="R120" s="66">
        <v>4</v>
      </c>
      <c r="S120" s="66">
        <v>16</v>
      </c>
      <c r="T120" s="66">
        <v>12</v>
      </c>
      <c r="U120" s="66">
        <v>0</v>
      </c>
      <c r="V120" s="66">
        <v>0</v>
      </c>
      <c r="W120" s="54">
        <v>0</v>
      </c>
      <c r="X120" s="55">
        <f>SUMIFS(Таблица3[Кол-во квартир],Таблица3[Адрес МКД],$D120)</f>
        <v>31</v>
      </c>
      <c r="Y120" s="56">
        <f t="shared" si="29"/>
        <v>3175.1</v>
      </c>
      <c r="Z120" s="253">
        <f>SUMIFS(Таблица3[Площадь жилая],Таблица3[Адрес МКД],$D120)</f>
        <v>1429.1</v>
      </c>
      <c r="AA120" s="261">
        <f>SUMIFS(Таблица3[Площадь нежилых помещений],Таблица3[Адрес МКД],$D120)</f>
        <v>256</v>
      </c>
      <c r="AB120" s="252">
        <f>SUMIFS(Таблица1[1],Таблица1[2],$D120)</f>
        <v>256</v>
      </c>
      <c r="AC120" s="57">
        <f t="shared" si="21"/>
        <v>256</v>
      </c>
      <c r="AD120" s="57">
        <f t="shared" si="22"/>
        <v>0</v>
      </c>
      <c r="AE120" s="58">
        <f>SUMIFS(Таблица1[8],Таблица1[2],$D120)+SUMIFS(Таблица1[18],Таблица1[2],$D120)</f>
        <v>47</v>
      </c>
      <c r="AF120" s="58">
        <f>SUMIFS(Таблица1[9],Таблица1[2],$D120)+SUMIFS(Таблица1[19],Таблица1[2],$D120)</f>
        <v>0</v>
      </c>
      <c r="AG120" s="59">
        <f t="shared" si="23"/>
        <v>1490</v>
      </c>
      <c r="AH120" s="59">
        <f t="shared" si="24"/>
        <v>1490</v>
      </c>
      <c r="AI120" s="60">
        <f>557.1-AM120</f>
        <v>348.1</v>
      </c>
      <c r="AJ120" s="60">
        <f t="shared" si="16"/>
        <v>348.1</v>
      </c>
      <c r="AK120" s="60">
        <f>SUMIFS(Таблица1[10],Таблица1[2],$D120)</f>
        <v>0</v>
      </c>
      <c r="AL120" s="60">
        <f>SUMIFS(Таблица1[11],Таблица1[2],$D120)</f>
        <v>0</v>
      </c>
      <c r="AM120" s="251">
        <f>209</f>
        <v>209</v>
      </c>
      <c r="AN120" s="249">
        <f t="shared" si="17"/>
        <v>0</v>
      </c>
      <c r="AO120" s="249">
        <f>SUMIFS(Таблица1[12],Таблица1[2],$D120)</f>
        <v>209</v>
      </c>
      <c r="AP120" s="249">
        <f>SUMIFS(Таблица1[13],Таблица1[2],$D120)</f>
        <v>0</v>
      </c>
      <c r="AQ120" s="61">
        <v>206.8</v>
      </c>
      <c r="AR120" s="61">
        <f t="shared" si="18"/>
        <v>206.8</v>
      </c>
      <c r="AS120" s="60">
        <f>SUMIFS(Таблица1[14],Таблица1[2],$D120)</f>
        <v>0</v>
      </c>
      <c r="AT120" s="60">
        <f>SUMIFS(Таблица1[15],Таблица1[2],$D120)</f>
        <v>0</v>
      </c>
      <c r="AU120" s="61">
        <v>935.1</v>
      </c>
      <c r="AV120" s="61">
        <f t="shared" si="19"/>
        <v>935.1</v>
      </c>
      <c r="AW120" s="60">
        <f>SUMIFS(Таблица1[16],Таблица1[2],$D120)</f>
        <v>0</v>
      </c>
      <c r="AX120" s="60">
        <f>SUMIFS(Таблица1[17],Таблица1[2],$D120)</f>
        <v>0</v>
      </c>
      <c r="AY120" s="263"/>
      <c r="AZ120" s="264"/>
      <c r="BA120" s="296">
        <v>0</v>
      </c>
      <c r="BB120" s="296">
        <f t="shared" si="28"/>
        <v>0</v>
      </c>
      <c r="BC120" s="296">
        <v>0</v>
      </c>
      <c r="BD120" s="296">
        <v>0</v>
      </c>
      <c r="BE120" s="285"/>
      <c r="BF120" s="259">
        <v>2029</v>
      </c>
      <c r="BG120" s="260">
        <v>6774</v>
      </c>
      <c r="BH120" s="62" t="s">
        <v>936</v>
      </c>
      <c r="BI120" s="62" t="s">
        <v>935</v>
      </c>
      <c r="BJ120" s="62" t="s">
        <v>944</v>
      </c>
      <c r="BK120" s="267"/>
      <c r="BL120" s="267"/>
      <c r="BM120" s="267" t="s">
        <v>1649</v>
      </c>
      <c r="BN120" s="268"/>
      <c r="BO120" s="62">
        <v>29</v>
      </c>
      <c r="BP120" s="63">
        <v>28564</v>
      </c>
      <c r="BQ120" s="64" t="s">
        <v>1131</v>
      </c>
      <c r="BR120" s="372" t="s">
        <v>2747</v>
      </c>
      <c r="BS120" s="62"/>
      <c r="BT120" s="323"/>
      <c r="BU120" s="62"/>
      <c r="BV120" s="323"/>
      <c r="BW120" s="62"/>
      <c r="BX120" s="336">
        <v>43</v>
      </c>
      <c r="BY120" s="336" t="s">
        <v>1649</v>
      </c>
    </row>
    <row r="121" spans="1:77" ht="13.15" hidden="1" customHeight="1" outlineLevel="1" x14ac:dyDescent="0.2">
      <c r="A121" s="50">
        <f t="shared" si="26"/>
        <v>116</v>
      </c>
      <c r="B121" s="51">
        <v>23</v>
      </c>
      <c r="C121" s="51">
        <v>34</v>
      </c>
      <c r="D121" s="18" t="s">
        <v>449</v>
      </c>
      <c r="E121" s="18">
        <v>10</v>
      </c>
      <c r="F121" s="18">
        <v>1</v>
      </c>
      <c r="G121" s="52">
        <v>1</v>
      </c>
      <c r="H121" s="237">
        <v>1</v>
      </c>
      <c r="I121" s="65">
        <v>1958</v>
      </c>
      <c r="J121" s="349">
        <v>5</v>
      </c>
      <c r="K121" s="346">
        <f t="shared" si="25"/>
        <v>6</v>
      </c>
      <c r="L121" s="346">
        <v>1</v>
      </c>
      <c r="M121" s="349">
        <v>4</v>
      </c>
      <c r="N121" s="255">
        <f t="shared" si="20"/>
        <v>2</v>
      </c>
      <c r="O121" s="310">
        <v>65</v>
      </c>
      <c r="P121" s="66">
        <v>2</v>
      </c>
      <c r="Q121" s="66"/>
      <c r="R121" s="66">
        <v>20</v>
      </c>
      <c r="S121" s="66">
        <v>21</v>
      </c>
      <c r="T121" s="66">
        <v>24</v>
      </c>
      <c r="U121" s="66">
        <v>0</v>
      </c>
      <c r="V121" s="66">
        <v>0</v>
      </c>
      <c r="W121" s="54">
        <v>0</v>
      </c>
      <c r="X121" s="55">
        <f>SUMIFS(Таблица3[Кол-во квартир],Таблица3[Адрес МКД],$D121)</f>
        <v>61</v>
      </c>
      <c r="Y121" s="56">
        <f t="shared" ref="Y121:Y141" si="30">Z121+AB121+AG121+AN121</f>
        <v>7043.2</v>
      </c>
      <c r="Z121" s="253">
        <f>SUMIFS(Таблица3[Площадь жилая],Таблица3[Адрес МКД],$D121)</f>
        <v>3498.1000000000004</v>
      </c>
      <c r="AA121" s="261">
        <f>SUMIFS(Таблица3[Площадь нежилых помещений],Таблица3[Адрес МКД],$D121)</f>
        <v>1166.8</v>
      </c>
      <c r="AB121" s="252">
        <f>SUMIFS(Таблица1[1],Таблица1[2],$D121)</f>
        <v>1255.3999999999999</v>
      </c>
      <c r="AC121" s="57">
        <f t="shared" si="21"/>
        <v>1255.3999999999999</v>
      </c>
      <c r="AD121" s="57">
        <f t="shared" si="22"/>
        <v>0</v>
      </c>
      <c r="AE121" s="58">
        <f>SUMIFS(Таблица1[8],Таблица1[2],$D121)+SUMIFS(Таблица1[18],Таблица1[2],$D121)</f>
        <v>1022.3</v>
      </c>
      <c r="AF121" s="58">
        <f>SUMIFS(Таблица1[9],Таблица1[2],$D121)+SUMIFS(Таблица1[19],Таблица1[2],$D121)</f>
        <v>0</v>
      </c>
      <c r="AG121" s="59">
        <f t="shared" si="23"/>
        <v>2289.6999999999998</v>
      </c>
      <c r="AH121" s="59">
        <f t="shared" si="24"/>
        <v>2289.6999999999998</v>
      </c>
      <c r="AI121" s="60">
        <f>799-AM121</f>
        <v>654.5</v>
      </c>
      <c r="AJ121" s="60">
        <f t="shared" si="16"/>
        <v>565.9</v>
      </c>
      <c r="AK121" s="60">
        <f>SUMIFS(Таблица1[10],Таблица1[2],$D121)</f>
        <v>88.6</v>
      </c>
      <c r="AL121" s="60">
        <f>SUMIFS(Таблица1[11],Таблица1[2],$D121)</f>
        <v>0</v>
      </c>
      <c r="AM121" s="251">
        <f>144.5</f>
        <v>144.5</v>
      </c>
      <c r="AN121" s="249">
        <f t="shared" si="17"/>
        <v>0</v>
      </c>
      <c r="AO121" s="249">
        <f>SUMIFS(Таблица1[12],Таблица1[2],$D121)</f>
        <v>144.5</v>
      </c>
      <c r="AP121" s="249">
        <f>SUMIFS(Таблица1[13],Таблица1[2],$D121)</f>
        <v>0</v>
      </c>
      <c r="AQ121" s="61">
        <v>512.5</v>
      </c>
      <c r="AR121" s="61">
        <f t="shared" si="18"/>
        <v>512.5</v>
      </c>
      <c r="AS121" s="60">
        <f>SUMIFS(Таблица1[14],Таблица1[2],$D121)</f>
        <v>0</v>
      </c>
      <c r="AT121" s="60">
        <f>SUMIFS(Таблица1[15],Таблица1[2],$D121)</f>
        <v>0</v>
      </c>
      <c r="AU121" s="61">
        <v>1211.3</v>
      </c>
      <c r="AV121" s="61">
        <f t="shared" si="19"/>
        <v>1211.3</v>
      </c>
      <c r="AW121" s="60">
        <f>SUMIFS(Таблица1[16],Таблица1[2],$D121)</f>
        <v>0</v>
      </c>
      <c r="AX121" s="60">
        <f>SUMIFS(Таблица1[17],Таблица1[2],$D121)</f>
        <v>0</v>
      </c>
      <c r="AY121" s="263">
        <f>Нежилые!G656</f>
        <v>88.6</v>
      </c>
      <c r="AZ121" s="264"/>
      <c r="BA121" s="296">
        <v>0</v>
      </c>
      <c r="BB121" s="296">
        <f t="shared" si="28"/>
        <v>0</v>
      </c>
      <c r="BC121" s="296">
        <v>0</v>
      </c>
      <c r="BD121" s="296">
        <v>0</v>
      </c>
      <c r="BE121" s="285"/>
      <c r="BF121" s="259">
        <v>4011</v>
      </c>
      <c r="BG121" s="260">
        <f>21090+140</f>
        <v>21230</v>
      </c>
      <c r="BH121" s="62" t="s">
        <v>936</v>
      </c>
      <c r="BI121" s="62" t="s">
        <v>935</v>
      </c>
      <c r="BJ121" s="62"/>
      <c r="BK121" s="267"/>
      <c r="BL121" s="267"/>
      <c r="BM121" s="267" t="s">
        <v>1649</v>
      </c>
      <c r="BN121" s="268"/>
      <c r="BO121" s="62">
        <v>50</v>
      </c>
      <c r="BP121" s="63">
        <v>44243</v>
      </c>
      <c r="BQ121" s="64" t="s">
        <v>1131</v>
      </c>
      <c r="BR121" s="372" t="s">
        <v>2747</v>
      </c>
      <c r="BS121" s="62"/>
      <c r="BT121" s="323"/>
      <c r="BU121" s="62"/>
      <c r="BV121" s="323"/>
      <c r="BW121" s="62"/>
      <c r="BX121" s="336">
        <v>45</v>
      </c>
      <c r="BY121" s="336"/>
    </row>
    <row r="122" spans="1:77" ht="13.15" hidden="1" customHeight="1" outlineLevel="1" x14ac:dyDescent="0.2">
      <c r="A122" s="50">
        <f t="shared" si="26"/>
        <v>117</v>
      </c>
      <c r="B122" s="51">
        <v>24</v>
      </c>
      <c r="C122" s="51">
        <v>35</v>
      </c>
      <c r="D122" s="18" t="s">
        <v>450</v>
      </c>
      <c r="E122" s="18">
        <v>10</v>
      </c>
      <c r="F122" s="18">
        <v>1</v>
      </c>
      <c r="G122" s="52">
        <v>1</v>
      </c>
      <c r="H122" s="237">
        <v>1</v>
      </c>
      <c r="I122" s="65">
        <v>1950</v>
      </c>
      <c r="J122" s="349">
        <v>4</v>
      </c>
      <c r="K122" s="346">
        <f t="shared" si="25"/>
        <v>5</v>
      </c>
      <c r="L122" s="346">
        <v>1</v>
      </c>
      <c r="M122" s="349">
        <v>2</v>
      </c>
      <c r="N122" s="255">
        <f t="shared" si="20"/>
        <v>0</v>
      </c>
      <c r="O122" s="310">
        <v>28</v>
      </c>
      <c r="P122" s="66">
        <v>4</v>
      </c>
      <c r="Q122" s="66"/>
      <c r="R122" s="66">
        <v>8</v>
      </c>
      <c r="S122" s="66">
        <v>12</v>
      </c>
      <c r="T122" s="66">
        <v>8</v>
      </c>
      <c r="U122" s="66">
        <v>0</v>
      </c>
      <c r="V122" s="66">
        <v>0</v>
      </c>
      <c r="W122" s="54">
        <v>0</v>
      </c>
      <c r="X122" s="55">
        <f>SUMIFS(Таблица3[Кол-во квартир],Таблица3[Адрес МКД],$D122)</f>
        <v>24</v>
      </c>
      <c r="Y122" s="56">
        <f t="shared" si="30"/>
        <v>2546.1000000000004</v>
      </c>
      <c r="Z122" s="253">
        <f>SUMIFS(Таблица3[Площадь жилая],Таблица3[Адрес МКД],$D122)</f>
        <v>1238.2</v>
      </c>
      <c r="AA122" s="261">
        <f>SUMIFS(Таблица3[Площадь нежилых помещений],Таблица3[Адрес МКД],$D122)</f>
        <v>258.10000000000002</v>
      </c>
      <c r="AB122" s="252">
        <f>SUMIFS(Таблица1[1],Таблица1[2],$D122)</f>
        <v>258.10000000000002</v>
      </c>
      <c r="AC122" s="57">
        <f t="shared" si="21"/>
        <v>258.10000000000002</v>
      </c>
      <c r="AD122" s="57">
        <f t="shared" si="22"/>
        <v>0</v>
      </c>
      <c r="AE122" s="58">
        <f>SUMIFS(Таблица1[8],Таблица1[2],$D122)+SUMIFS(Таблица1[18],Таблица1[2],$D122)</f>
        <v>258.10000000000002</v>
      </c>
      <c r="AF122" s="58">
        <f>SUMIFS(Таблица1[9],Таблица1[2],$D122)+SUMIFS(Таблица1[19],Таблица1[2],$D122)</f>
        <v>0</v>
      </c>
      <c r="AG122" s="59">
        <f t="shared" si="23"/>
        <v>1049.8</v>
      </c>
      <c r="AH122" s="59">
        <f t="shared" si="24"/>
        <v>1049.8</v>
      </c>
      <c r="AI122" s="60">
        <f>357.5-AM122</f>
        <v>357.5</v>
      </c>
      <c r="AJ122" s="60">
        <f t="shared" si="16"/>
        <v>357.5</v>
      </c>
      <c r="AK122" s="60">
        <f>SUMIFS(Таблица1[10],Таблица1[2],$D122)</f>
        <v>0</v>
      </c>
      <c r="AL122" s="60">
        <f>SUMIFS(Таблица1[11],Таблица1[2],$D122)</f>
        <v>0</v>
      </c>
      <c r="AM122" s="251">
        <v>0</v>
      </c>
      <c r="AN122" s="249">
        <f t="shared" si="17"/>
        <v>0</v>
      </c>
      <c r="AO122" s="249">
        <f>SUMIFS(Таблица1[12],Таблица1[2],$D122)</f>
        <v>0</v>
      </c>
      <c r="AP122" s="249">
        <f>SUMIFS(Таблица1[13],Таблица1[2],$D122)</f>
        <v>0</v>
      </c>
      <c r="AQ122" s="61">
        <v>204.3</v>
      </c>
      <c r="AR122" s="61">
        <f t="shared" si="18"/>
        <v>204.3</v>
      </c>
      <c r="AS122" s="60">
        <f>SUMIFS(Таблица1[14],Таблица1[2],$D122)</f>
        <v>0</v>
      </c>
      <c r="AT122" s="60">
        <f>SUMIFS(Таблица1[15],Таблица1[2],$D122)</f>
        <v>0</v>
      </c>
      <c r="AU122" s="61">
        <v>488</v>
      </c>
      <c r="AV122" s="61">
        <f t="shared" si="19"/>
        <v>488</v>
      </c>
      <c r="AW122" s="60">
        <f>SUMIFS(Таблица1[16],Таблица1[2],$D122)</f>
        <v>0</v>
      </c>
      <c r="AX122" s="60">
        <f>SUMIFS(Таблица1[17],Таблица1[2],$D122)</f>
        <v>0</v>
      </c>
      <c r="AY122" s="263"/>
      <c r="AZ122" s="264"/>
      <c r="BA122" s="296">
        <v>0</v>
      </c>
      <c r="BB122" s="296">
        <f t="shared" si="28"/>
        <v>0</v>
      </c>
      <c r="BC122" s="296">
        <v>0</v>
      </c>
      <c r="BD122" s="296">
        <v>0</v>
      </c>
      <c r="BE122" s="285"/>
      <c r="BF122" s="259">
        <v>1322</v>
      </c>
      <c r="BG122" s="260">
        <f>1709+3472+1735</f>
        <v>6916</v>
      </c>
      <c r="BH122" s="62" t="s">
        <v>936</v>
      </c>
      <c r="BI122" s="62" t="s">
        <v>935</v>
      </c>
      <c r="BJ122" s="62"/>
      <c r="BK122" s="267"/>
      <c r="BL122" s="267"/>
      <c r="BM122" s="267" t="s">
        <v>1649</v>
      </c>
      <c r="BN122" s="268"/>
      <c r="BO122" s="62">
        <v>40</v>
      </c>
      <c r="BP122" s="63">
        <v>44945</v>
      </c>
      <c r="BQ122" s="64" t="s">
        <v>1131</v>
      </c>
      <c r="BR122" s="372" t="s">
        <v>2747</v>
      </c>
      <c r="BS122" s="62"/>
      <c r="BT122" s="323"/>
      <c r="BU122" s="62"/>
      <c r="BV122" s="323"/>
      <c r="BW122" s="62"/>
      <c r="BX122" s="336">
        <v>19</v>
      </c>
      <c r="BY122" s="336"/>
    </row>
    <row r="123" spans="1:77" ht="13.15" hidden="1" customHeight="1" outlineLevel="1" x14ac:dyDescent="0.2">
      <c r="A123" s="50">
        <f t="shared" si="26"/>
        <v>118</v>
      </c>
      <c r="B123" s="51">
        <v>25</v>
      </c>
      <c r="C123" s="51">
        <v>36</v>
      </c>
      <c r="D123" s="18" t="s">
        <v>451</v>
      </c>
      <c r="E123" s="18">
        <v>10</v>
      </c>
      <c r="F123" s="18">
        <v>1</v>
      </c>
      <c r="G123" s="52">
        <v>1</v>
      </c>
      <c r="H123" s="237">
        <v>1</v>
      </c>
      <c r="I123" s="65">
        <v>1950</v>
      </c>
      <c r="J123" s="349">
        <v>4</v>
      </c>
      <c r="K123" s="346">
        <f t="shared" si="25"/>
        <v>5</v>
      </c>
      <c r="L123" s="346">
        <v>1</v>
      </c>
      <c r="M123" s="349">
        <v>2</v>
      </c>
      <c r="N123" s="255">
        <f t="shared" si="20"/>
        <v>0</v>
      </c>
      <c r="O123" s="310">
        <v>32</v>
      </c>
      <c r="P123" s="66">
        <v>6</v>
      </c>
      <c r="Q123" s="66"/>
      <c r="R123" s="66">
        <v>8</v>
      </c>
      <c r="S123" s="66">
        <v>14</v>
      </c>
      <c r="T123" s="66">
        <v>10</v>
      </c>
      <c r="U123" s="66">
        <v>0</v>
      </c>
      <c r="V123" s="66">
        <v>0</v>
      </c>
      <c r="W123" s="54">
        <v>0</v>
      </c>
      <c r="X123" s="55">
        <f>SUMIFS(Таблица3[Кол-во квартир],Таблица3[Адрес МКД],$D123)</f>
        <v>26</v>
      </c>
      <c r="Y123" s="56">
        <f t="shared" si="30"/>
        <v>3055.8</v>
      </c>
      <c r="Z123" s="253">
        <f>SUMIFS(Таблица3[Площадь жилая],Таблица3[Адрес МКД],$D123)</f>
        <v>1315</v>
      </c>
      <c r="AA123" s="261">
        <f>SUMIFS(Таблица3[Площадь нежилых помещений],Таблица3[Адрес МКД],$D123)</f>
        <v>365.9</v>
      </c>
      <c r="AB123" s="252">
        <f>SUMIFS(Таблица1[1],Таблица1[2],$D123)</f>
        <v>365.9</v>
      </c>
      <c r="AC123" s="57">
        <f t="shared" si="21"/>
        <v>365.9</v>
      </c>
      <c r="AD123" s="57">
        <f t="shared" si="22"/>
        <v>0</v>
      </c>
      <c r="AE123" s="58">
        <f>SUMIFS(Таблица1[8],Таблица1[2],$D123)+SUMIFS(Таблица1[18],Таблица1[2],$D123)</f>
        <v>288.89999999999998</v>
      </c>
      <c r="AF123" s="58">
        <f>SUMIFS(Таблица1[9],Таблица1[2],$D123)+SUMIFS(Таблица1[19],Таблица1[2],$D123)</f>
        <v>0</v>
      </c>
      <c r="AG123" s="59">
        <f t="shared" si="23"/>
        <v>1374.9</v>
      </c>
      <c r="AH123" s="59">
        <f t="shared" si="24"/>
        <v>1374.9</v>
      </c>
      <c r="AI123" s="60">
        <f>673-AM123</f>
        <v>673</v>
      </c>
      <c r="AJ123" s="60">
        <f t="shared" si="16"/>
        <v>596</v>
      </c>
      <c r="AK123" s="60">
        <f>SUMIFS(Таблица1[10],Таблица1[2],$D123)</f>
        <v>77</v>
      </c>
      <c r="AL123" s="60">
        <f>SUMIFS(Таблица1[11],Таблица1[2],$D123)</f>
        <v>0</v>
      </c>
      <c r="AM123" s="251">
        <v>0</v>
      </c>
      <c r="AN123" s="249">
        <f t="shared" si="17"/>
        <v>0</v>
      </c>
      <c r="AO123" s="249">
        <f>SUMIFS(Таблица1[12],Таблица1[2],$D123)</f>
        <v>0</v>
      </c>
      <c r="AP123" s="249">
        <f>SUMIFS(Таблица1[13],Таблица1[2],$D123)</f>
        <v>0</v>
      </c>
      <c r="AQ123" s="61">
        <v>219.2</v>
      </c>
      <c r="AR123" s="61">
        <f t="shared" si="18"/>
        <v>219.2</v>
      </c>
      <c r="AS123" s="60">
        <f>SUMIFS(Таблица1[14],Таблица1[2],$D123)</f>
        <v>0</v>
      </c>
      <c r="AT123" s="60">
        <f>SUMIFS(Таблица1[15],Таблица1[2],$D123)</f>
        <v>0</v>
      </c>
      <c r="AU123" s="61">
        <v>559.70000000000005</v>
      </c>
      <c r="AV123" s="61">
        <f t="shared" si="19"/>
        <v>559.70000000000005</v>
      </c>
      <c r="AW123" s="60">
        <f>SUMIFS(Таблица1[16],Таблица1[2],$D123)</f>
        <v>0</v>
      </c>
      <c r="AX123" s="60">
        <f>SUMIFS(Таблица1[17],Таблица1[2],$D123)</f>
        <v>0</v>
      </c>
      <c r="AY123" s="263"/>
      <c r="AZ123" s="264"/>
      <c r="BA123" s="296">
        <v>0</v>
      </c>
      <c r="BB123" s="296">
        <f t="shared" si="28"/>
        <v>0</v>
      </c>
      <c r="BC123" s="296">
        <v>0</v>
      </c>
      <c r="BD123" s="296">
        <v>0</v>
      </c>
      <c r="BE123" s="285"/>
      <c r="BF123" s="259">
        <v>3816</v>
      </c>
      <c r="BG123" s="260">
        <v>8019</v>
      </c>
      <c r="BH123" s="62" t="s">
        <v>936</v>
      </c>
      <c r="BI123" s="62" t="s">
        <v>935</v>
      </c>
      <c r="BJ123" s="62"/>
      <c r="BK123" s="267"/>
      <c r="BL123" s="267"/>
      <c r="BM123" s="267" t="s">
        <v>1649</v>
      </c>
      <c r="BN123" s="268"/>
      <c r="BO123" s="62">
        <v>50</v>
      </c>
      <c r="BP123" s="63">
        <v>41195</v>
      </c>
      <c r="BQ123" s="64" t="s">
        <v>1131</v>
      </c>
      <c r="BR123" s="372" t="s">
        <v>2747</v>
      </c>
      <c r="BS123" s="62"/>
      <c r="BT123" s="323"/>
      <c r="BU123" s="62"/>
      <c r="BV123" s="323"/>
      <c r="BW123" s="62"/>
      <c r="BX123" s="336">
        <v>27</v>
      </c>
      <c r="BY123" s="336" t="s">
        <v>1649</v>
      </c>
    </row>
    <row r="124" spans="1:77" ht="13.15" hidden="1" customHeight="1" outlineLevel="1" x14ac:dyDescent="0.2">
      <c r="A124" s="50">
        <f t="shared" si="26"/>
        <v>119</v>
      </c>
      <c r="B124" s="51">
        <v>26</v>
      </c>
      <c r="C124" s="51">
        <v>37</v>
      </c>
      <c r="D124" s="18" t="s">
        <v>92</v>
      </c>
      <c r="E124" s="18">
        <v>10</v>
      </c>
      <c r="F124" s="18">
        <v>1</v>
      </c>
      <c r="G124" s="52">
        <v>1</v>
      </c>
      <c r="H124" s="237">
        <v>1</v>
      </c>
      <c r="I124" s="65">
        <v>1960</v>
      </c>
      <c r="J124" s="349">
        <v>5</v>
      </c>
      <c r="K124" s="346">
        <f t="shared" si="25"/>
        <v>6</v>
      </c>
      <c r="L124" s="346">
        <v>1</v>
      </c>
      <c r="M124" s="349">
        <v>5</v>
      </c>
      <c r="N124" s="255">
        <f t="shared" si="20"/>
        <v>1</v>
      </c>
      <c r="O124" s="310">
        <v>73</v>
      </c>
      <c r="P124" s="66">
        <v>0</v>
      </c>
      <c r="Q124" s="66"/>
      <c r="R124" s="66">
        <v>16</v>
      </c>
      <c r="S124" s="66">
        <v>24</v>
      </c>
      <c r="T124" s="66">
        <v>28</v>
      </c>
      <c r="U124" s="66">
        <v>5</v>
      </c>
      <c r="V124" s="66">
        <v>0</v>
      </c>
      <c r="W124" s="54">
        <v>0</v>
      </c>
      <c r="X124" s="55">
        <f>SUMIFS(Таблица3[Кол-во квартир],Таблица3[Адрес МКД],$D124)</f>
        <v>72</v>
      </c>
      <c r="Y124" s="56">
        <f t="shared" si="30"/>
        <v>8731.2999999999993</v>
      </c>
      <c r="Z124" s="253">
        <f>SUMIFS(Таблица3[Площадь жилая],Таблица3[Адрес МКД],$D124)</f>
        <v>4663.8</v>
      </c>
      <c r="AA124" s="261">
        <f>SUMIFS(Таблица3[Площадь нежилых помещений],Таблица3[Адрес МКД],$D124)</f>
        <v>1335.3</v>
      </c>
      <c r="AB124" s="252">
        <f>SUMIFS(Таблица1[1],Таблица1[2],$D124)</f>
        <v>1378.1</v>
      </c>
      <c r="AC124" s="57">
        <f t="shared" si="21"/>
        <v>1378.1</v>
      </c>
      <c r="AD124" s="57">
        <f t="shared" si="22"/>
        <v>0</v>
      </c>
      <c r="AE124" s="58">
        <f>SUMIFS(Таблица1[8],Таблица1[2],$D124)+SUMIFS(Таблица1[18],Таблица1[2],$D124)</f>
        <v>1109.3</v>
      </c>
      <c r="AF124" s="58">
        <f>SUMIFS(Таблица1[9],Таблица1[2],$D124)+SUMIFS(Таблица1[19],Таблица1[2],$D124)</f>
        <v>0</v>
      </c>
      <c r="AG124" s="59">
        <f t="shared" si="23"/>
        <v>2689.3999999999996</v>
      </c>
      <c r="AH124" s="59">
        <f t="shared" si="24"/>
        <v>2689.3999999999996</v>
      </c>
      <c r="AI124" s="60">
        <f>876.4-AM124</f>
        <v>876.4</v>
      </c>
      <c r="AJ124" s="60">
        <f t="shared" si="16"/>
        <v>607.59999999999991</v>
      </c>
      <c r="AK124" s="60">
        <f>SUMIFS(Таблица1[10],Таблица1[2],$D124)</f>
        <v>268.8</v>
      </c>
      <c r="AL124" s="60">
        <f>SUMIFS(Таблица1[11],Таблица1[2],$D124)</f>
        <v>0</v>
      </c>
      <c r="AM124" s="251">
        <v>0</v>
      </c>
      <c r="AN124" s="249">
        <f t="shared" si="17"/>
        <v>0</v>
      </c>
      <c r="AO124" s="249">
        <f>SUMIFS(Таблица1[12],Таблица1[2],$D124)</f>
        <v>0</v>
      </c>
      <c r="AP124" s="249">
        <f>SUMIFS(Таблица1[13],Таблица1[2],$D124)</f>
        <v>0</v>
      </c>
      <c r="AQ124" s="61">
        <v>645.79999999999995</v>
      </c>
      <c r="AR124" s="61">
        <f t="shared" si="18"/>
        <v>645.79999999999995</v>
      </c>
      <c r="AS124" s="60">
        <f>SUMIFS(Таблица1[14],Таблица1[2],$D124)</f>
        <v>0</v>
      </c>
      <c r="AT124" s="60">
        <f>SUMIFS(Таблица1[15],Таблица1[2],$D124)</f>
        <v>0</v>
      </c>
      <c r="AU124" s="61">
        <v>1436</v>
      </c>
      <c r="AV124" s="61">
        <f t="shared" si="19"/>
        <v>1436</v>
      </c>
      <c r="AW124" s="60">
        <f>SUMIFS(Таблица1[16],Таблица1[2],$D124)</f>
        <v>0</v>
      </c>
      <c r="AX124" s="60">
        <f>SUMIFS(Таблица1[17],Таблица1[2],$D124)</f>
        <v>0</v>
      </c>
      <c r="AY124" s="263">
        <f>Нежилые!G668</f>
        <v>42.8</v>
      </c>
      <c r="AZ124" s="264"/>
      <c r="BA124" s="296">
        <v>0</v>
      </c>
      <c r="BB124" s="296">
        <f t="shared" si="28"/>
        <v>0</v>
      </c>
      <c r="BC124" s="296">
        <v>0</v>
      </c>
      <c r="BD124" s="296">
        <v>0</v>
      </c>
      <c r="BE124" s="285"/>
      <c r="BF124" s="259">
        <v>3269</v>
      </c>
      <c r="BG124" s="260">
        <v>27639</v>
      </c>
      <c r="BH124" s="62" t="s">
        <v>942</v>
      </c>
      <c r="BI124" s="62" t="s">
        <v>935</v>
      </c>
      <c r="BJ124" s="62"/>
      <c r="BK124" s="267"/>
      <c r="BL124" s="267"/>
      <c r="BM124" s="267" t="s">
        <v>1649</v>
      </c>
      <c r="BN124" s="268"/>
      <c r="BO124" s="62">
        <v>24</v>
      </c>
      <c r="BP124" s="63">
        <v>30614</v>
      </c>
      <c r="BQ124" s="64" t="s">
        <v>1131</v>
      </c>
      <c r="BR124" s="372" t="s">
        <v>2747</v>
      </c>
      <c r="BS124" s="62"/>
      <c r="BT124" s="323"/>
      <c r="BU124" s="62"/>
      <c r="BV124" s="323"/>
      <c r="BW124" s="62"/>
      <c r="BX124" s="336">
        <v>53</v>
      </c>
      <c r="BY124" s="336"/>
    </row>
    <row r="125" spans="1:77" ht="13.15" hidden="1" customHeight="1" outlineLevel="1" x14ac:dyDescent="0.2">
      <c r="A125" s="50">
        <f t="shared" si="26"/>
        <v>120</v>
      </c>
      <c r="B125" s="51">
        <v>27</v>
      </c>
      <c r="C125" s="51">
        <v>38</v>
      </c>
      <c r="D125" s="18" t="s">
        <v>452</v>
      </c>
      <c r="E125" s="18">
        <v>10</v>
      </c>
      <c r="F125" s="18">
        <v>1</v>
      </c>
      <c r="G125" s="52">
        <v>1</v>
      </c>
      <c r="H125" s="237">
        <v>1</v>
      </c>
      <c r="I125" s="65">
        <v>1949</v>
      </c>
      <c r="J125" s="349">
        <v>4</v>
      </c>
      <c r="K125" s="346">
        <f t="shared" si="25"/>
        <v>5</v>
      </c>
      <c r="L125" s="346">
        <v>1</v>
      </c>
      <c r="M125" s="349">
        <v>4</v>
      </c>
      <c r="N125" s="255">
        <f t="shared" si="20"/>
        <v>0</v>
      </c>
      <c r="O125" s="310">
        <v>43</v>
      </c>
      <c r="P125" s="66">
        <v>0</v>
      </c>
      <c r="Q125" s="66"/>
      <c r="R125" s="66">
        <v>15</v>
      </c>
      <c r="S125" s="66">
        <v>20</v>
      </c>
      <c r="T125" s="66">
        <v>8</v>
      </c>
      <c r="U125" s="66">
        <v>0</v>
      </c>
      <c r="V125" s="66">
        <v>0</v>
      </c>
      <c r="W125" s="54">
        <v>0</v>
      </c>
      <c r="X125" s="55">
        <f>SUMIFS(Таблица3[Кол-во квартир],Таблица3[Адрес МКД],$D125)</f>
        <v>43</v>
      </c>
      <c r="Y125" s="56">
        <f t="shared" si="30"/>
        <v>4855.2</v>
      </c>
      <c r="Z125" s="253">
        <f>SUMIFS(Таблица3[Площадь жилая],Таблица3[Адрес МКД],$D125)</f>
        <v>2048.1</v>
      </c>
      <c r="AA125" s="261">
        <f>SUMIFS(Таблица3[Площадь нежилых помещений],Таблица3[Адрес МКД],$D125)</f>
        <v>1438.6</v>
      </c>
      <c r="AB125" s="252">
        <f>SUMIFS(Таблица1[1],Таблица1[2],$D125)</f>
        <v>1498.6999999999998</v>
      </c>
      <c r="AC125" s="57">
        <f t="shared" si="21"/>
        <v>1498.7000000000003</v>
      </c>
      <c r="AD125" s="57">
        <f t="shared" si="22"/>
        <v>0</v>
      </c>
      <c r="AE125" s="58">
        <f>SUMIFS(Таблица1[8],Таблица1[2],$D125)+SUMIFS(Таблица1[18],Таблица1[2],$D125)</f>
        <v>831.60000000000014</v>
      </c>
      <c r="AF125" s="58">
        <f>SUMIFS(Таблица1[9],Таблица1[2],$D125)+SUMIFS(Таблица1[19],Таблица1[2],$D125)</f>
        <v>0</v>
      </c>
      <c r="AG125" s="59">
        <f t="shared" si="23"/>
        <v>1308.4000000000001</v>
      </c>
      <c r="AH125" s="59">
        <f t="shared" si="24"/>
        <v>1308.4000000000001</v>
      </c>
      <c r="AI125" s="60">
        <f>87.9+153.7+148.5+216.9+60.1-AM125</f>
        <v>667.1</v>
      </c>
      <c r="AJ125" s="60">
        <f t="shared" si="16"/>
        <v>0</v>
      </c>
      <c r="AK125" s="60">
        <f>SUMIFS(Таблица1[10],Таблица1[2],$D125)</f>
        <v>667.1</v>
      </c>
      <c r="AL125" s="60">
        <f>SUMIFS(Таблица1[11],Таблица1[2],$D125)</f>
        <v>0</v>
      </c>
      <c r="AM125" s="251">
        <v>0</v>
      </c>
      <c r="AN125" s="249">
        <f t="shared" si="17"/>
        <v>0</v>
      </c>
      <c r="AO125" s="249">
        <f>SUMIFS(Таблица1[12],Таблица1[2],$D125)</f>
        <v>0</v>
      </c>
      <c r="AP125" s="249">
        <f>SUMIFS(Таблица1[13],Таблица1[2],$D125)</f>
        <v>0</v>
      </c>
      <c r="AQ125" s="61">
        <v>309.39999999999998</v>
      </c>
      <c r="AR125" s="61">
        <f t="shared" si="18"/>
        <v>309.39999999999998</v>
      </c>
      <c r="AS125" s="60">
        <f>SUMIFS(Таблица1[14],Таблица1[2],$D125)</f>
        <v>0</v>
      </c>
      <c r="AT125" s="60">
        <f>SUMIFS(Таблица1[15],Таблица1[2],$D125)</f>
        <v>0</v>
      </c>
      <c r="AU125" s="61">
        <v>999</v>
      </c>
      <c r="AV125" s="61">
        <f t="shared" si="19"/>
        <v>999</v>
      </c>
      <c r="AW125" s="60">
        <f>SUMIFS(Таблица1[16],Таблица1[2],$D125)</f>
        <v>0</v>
      </c>
      <c r="AX125" s="60">
        <f>SUMIFS(Таблица1[17],Таблица1[2],$D125)</f>
        <v>0</v>
      </c>
      <c r="AY125" s="263">
        <f>Нежилые!G680</f>
        <v>60.1</v>
      </c>
      <c r="AZ125" s="264"/>
      <c r="BA125" s="296">
        <v>0</v>
      </c>
      <c r="BB125" s="296">
        <f t="shared" si="28"/>
        <v>0</v>
      </c>
      <c r="BC125" s="296">
        <v>0</v>
      </c>
      <c r="BD125" s="296">
        <v>0</v>
      </c>
      <c r="BE125" s="285"/>
      <c r="BF125" s="259">
        <f>1024+1787</f>
        <v>2811</v>
      </c>
      <c r="BG125" s="260">
        <f>3302+6630+3332</f>
        <v>13264</v>
      </c>
      <c r="BH125" s="62" t="s">
        <v>936</v>
      </c>
      <c r="BI125" s="62" t="s">
        <v>935</v>
      </c>
      <c r="BJ125" s="62"/>
      <c r="BK125" s="267"/>
      <c r="BL125" s="267"/>
      <c r="BM125" s="267" t="s">
        <v>1649</v>
      </c>
      <c r="BN125" s="268"/>
      <c r="BO125" s="62">
        <v>48</v>
      </c>
      <c r="BP125" s="63">
        <v>41205</v>
      </c>
      <c r="BQ125" s="64" t="s">
        <v>1131</v>
      </c>
      <c r="BR125" s="372" t="s">
        <v>2747</v>
      </c>
      <c r="BS125" s="62"/>
      <c r="BT125" s="323"/>
      <c r="BU125" s="62"/>
      <c r="BV125" s="323"/>
      <c r="BW125" s="62"/>
      <c r="BX125" s="340"/>
      <c r="BY125" s="336"/>
    </row>
    <row r="126" spans="1:77" ht="13.15" hidden="1" customHeight="1" outlineLevel="1" x14ac:dyDescent="0.2">
      <c r="A126" s="50">
        <f t="shared" si="26"/>
        <v>121</v>
      </c>
      <c r="B126" s="51">
        <v>28</v>
      </c>
      <c r="C126" s="51">
        <v>39</v>
      </c>
      <c r="D126" s="18" t="s">
        <v>453</v>
      </c>
      <c r="E126" s="18">
        <v>10</v>
      </c>
      <c r="F126" s="18">
        <v>1</v>
      </c>
      <c r="G126" s="52">
        <v>1</v>
      </c>
      <c r="H126" s="237">
        <v>1</v>
      </c>
      <c r="I126" s="65">
        <v>1951</v>
      </c>
      <c r="J126" s="349">
        <v>5</v>
      </c>
      <c r="K126" s="346">
        <f t="shared" si="25"/>
        <v>6</v>
      </c>
      <c r="L126" s="346">
        <v>1</v>
      </c>
      <c r="M126" s="349">
        <v>4</v>
      </c>
      <c r="N126" s="255">
        <f t="shared" si="20"/>
        <v>0</v>
      </c>
      <c r="O126" s="310">
        <v>63</v>
      </c>
      <c r="P126" s="66">
        <v>10</v>
      </c>
      <c r="Q126" s="66"/>
      <c r="R126" s="66">
        <v>2</v>
      </c>
      <c r="S126" s="66">
        <v>46</v>
      </c>
      <c r="T126" s="66">
        <v>15</v>
      </c>
      <c r="U126" s="66">
        <v>0</v>
      </c>
      <c r="V126" s="66">
        <v>0</v>
      </c>
      <c r="W126" s="54">
        <v>0</v>
      </c>
      <c r="X126" s="55">
        <f>SUMIFS(Таблица3[Кол-во квартир],Таблица3[Адрес МКД],$D126)</f>
        <v>53</v>
      </c>
      <c r="Y126" s="56">
        <f t="shared" si="30"/>
        <v>5798.1</v>
      </c>
      <c r="Z126" s="253">
        <f>SUMIFS(Таблица3[Площадь жилая],Таблица3[Адрес МКД],$D126)</f>
        <v>3032.9</v>
      </c>
      <c r="AA126" s="261">
        <f>SUMIFS(Таблица3[Площадь нежилых помещений],Таблица3[Адрес МКД],$D126)</f>
        <v>971.3</v>
      </c>
      <c r="AB126" s="252">
        <f>SUMIFS(Таблица1[1],Таблица1[2],$D126)</f>
        <v>960.30000000000007</v>
      </c>
      <c r="AC126" s="57">
        <f t="shared" si="21"/>
        <v>960.30000000000007</v>
      </c>
      <c r="AD126" s="57">
        <f t="shared" si="22"/>
        <v>0</v>
      </c>
      <c r="AE126" s="58">
        <f>SUMIFS(Таблица1[8],Таблица1[2],$D126)+SUMIFS(Таблица1[18],Таблица1[2],$D126)</f>
        <v>656.2</v>
      </c>
      <c r="AF126" s="58">
        <f>SUMIFS(Таблица1[9],Таблица1[2],$D126)+SUMIFS(Таблица1[19],Таблица1[2],$D126)</f>
        <v>0</v>
      </c>
      <c r="AG126" s="59">
        <f t="shared" si="23"/>
        <v>1804.9</v>
      </c>
      <c r="AH126" s="59">
        <f t="shared" si="24"/>
        <v>1804.9</v>
      </c>
      <c r="AI126" s="60">
        <f>728.7-AM126</f>
        <v>424.6</v>
      </c>
      <c r="AJ126" s="60">
        <f t="shared" si="16"/>
        <v>424.6</v>
      </c>
      <c r="AK126" s="60">
        <f>SUMIFS(Таблица1[10],Таблица1[2],$D126)</f>
        <v>0</v>
      </c>
      <c r="AL126" s="60">
        <f>SUMIFS(Таблица1[11],Таблица1[2],$D126)</f>
        <v>0</v>
      </c>
      <c r="AM126" s="251">
        <f>315.1-11</f>
        <v>304.10000000000002</v>
      </c>
      <c r="AN126" s="249">
        <f t="shared" si="17"/>
        <v>0</v>
      </c>
      <c r="AO126" s="249">
        <f>SUMIFS(Таблица1[12],Таблица1[2],$D126)</f>
        <v>304.10000000000002</v>
      </c>
      <c r="AP126" s="249">
        <f>SUMIFS(Таблица1[13],Таблица1[2],$D126)</f>
        <v>0</v>
      </c>
      <c r="AQ126" s="61">
        <v>528</v>
      </c>
      <c r="AR126" s="61">
        <f t="shared" si="18"/>
        <v>528</v>
      </c>
      <c r="AS126" s="60">
        <f>SUMIFS(Таблица1[14],Таблица1[2],$D126)</f>
        <v>0</v>
      </c>
      <c r="AT126" s="60">
        <f>SUMIFS(Таблица1[15],Таблица1[2],$D126)</f>
        <v>0</v>
      </c>
      <c r="AU126" s="61">
        <v>852.3</v>
      </c>
      <c r="AV126" s="61">
        <f t="shared" si="19"/>
        <v>852.3</v>
      </c>
      <c r="AW126" s="60">
        <f>SUMIFS(Таблица1[16],Таблица1[2],$D126)</f>
        <v>0</v>
      </c>
      <c r="AX126" s="60">
        <f>SUMIFS(Таблица1[17],Таблица1[2],$D126)</f>
        <v>0</v>
      </c>
      <c r="AY126" s="263"/>
      <c r="AZ126" s="264"/>
      <c r="BA126" s="296">
        <v>0</v>
      </c>
      <c r="BB126" s="296">
        <f t="shared" si="28"/>
        <v>0</v>
      </c>
      <c r="BC126" s="296">
        <v>0</v>
      </c>
      <c r="BD126" s="296">
        <v>0</v>
      </c>
      <c r="BE126" s="285" t="s">
        <v>1649</v>
      </c>
      <c r="BF126" s="259">
        <v>2843</v>
      </c>
      <c r="BG126" s="260">
        <v>17197</v>
      </c>
      <c r="BH126" s="62" t="s">
        <v>936</v>
      </c>
      <c r="BI126" s="62" t="s">
        <v>935</v>
      </c>
      <c r="BJ126" s="62"/>
      <c r="BK126" s="267"/>
      <c r="BL126" s="267"/>
      <c r="BM126" s="267" t="s">
        <v>1649</v>
      </c>
      <c r="BN126" s="268"/>
      <c r="BO126" s="62">
        <v>35</v>
      </c>
      <c r="BP126" s="63">
        <v>28677</v>
      </c>
      <c r="BQ126" s="64" t="s">
        <v>1131</v>
      </c>
      <c r="BR126" s="372" t="s">
        <v>2747</v>
      </c>
      <c r="BS126" s="62"/>
      <c r="BT126" s="323"/>
      <c r="BU126" s="62"/>
      <c r="BV126" s="323"/>
      <c r="BW126" s="62"/>
      <c r="BX126" s="336">
        <v>39</v>
      </c>
      <c r="BY126" s="336"/>
    </row>
    <row r="127" spans="1:77" ht="13.15" hidden="1" customHeight="1" outlineLevel="1" x14ac:dyDescent="0.2">
      <c r="A127" s="50">
        <f t="shared" si="26"/>
        <v>122</v>
      </c>
      <c r="B127" s="51">
        <v>29</v>
      </c>
      <c r="C127" s="51">
        <v>40</v>
      </c>
      <c r="D127" s="18" t="s">
        <v>454</v>
      </c>
      <c r="E127" s="18">
        <v>10</v>
      </c>
      <c r="F127" s="18">
        <v>1</v>
      </c>
      <c r="G127" s="52">
        <v>1</v>
      </c>
      <c r="H127" s="237">
        <v>1</v>
      </c>
      <c r="I127" s="65">
        <v>1952</v>
      </c>
      <c r="J127" s="349">
        <v>5</v>
      </c>
      <c r="K127" s="346">
        <f t="shared" si="25"/>
        <v>6</v>
      </c>
      <c r="L127" s="346">
        <v>1</v>
      </c>
      <c r="M127" s="349">
        <v>3</v>
      </c>
      <c r="N127" s="255">
        <f t="shared" si="20"/>
        <v>2</v>
      </c>
      <c r="O127" s="310">
        <v>38</v>
      </c>
      <c r="P127" s="66">
        <v>0</v>
      </c>
      <c r="Q127" s="66"/>
      <c r="R127" s="66">
        <v>0</v>
      </c>
      <c r="S127" s="66">
        <v>26</v>
      </c>
      <c r="T127" s="66">
        <v>12</v>
      </c>
      <c r="U127" s="66">
        <v>0</v>
      </c>
      <c r="V127" s="66">
        <v>0</v>
      </c>
      <c r="W127" s="54">
        <v>0</v>
      </c>
      <c r="X127" s="55">
        <f>SUMIFS(Таблица3[Кол-во квартир],Таблица3[Адрес МКД],$D127)</f>
        <v>36</v>
      </c>
      <c r="Y127" s="56">
        <f t="shared" si="30"/>
        <v>5789.7300000000005</v>
      </c>
      <c r="Z127" s="253">
        <f>SUMIFS(Таблица3[Площадь жилая],Таблица3[Адрес МКД],$D127)</f>
        <v>2354.33</v>
      </c>
      <c r="AA127" s="261">
        <f>SUMIFS(Таблица3[Площадь нежилых помещений],Таблица3[Адрес МКД],$D127)</f>
        <v>1616.3</v>
      </c>
      <c r="AB127" s="252">
        <f>SUMIFS(Таблица1[1],Таблица1[2],$D127)</f>
        <v>1511.8000000000002</v>
      </c>
      <c r="AC127" s="57">
        <f t="shared" si="21"/>
        <v>1511.7999999999997</v>
      </c>
      <c r="AD127" s="57">
        <f t="shared" si="22"/>
        <v>0</v>
      </c>
      <c r="AE127" s="58">
        <f>SUMIFS(Таблица1[8],Таблица1[2],$D127)+SUMIFS(Таблица1[18],Таблица1[2],$D127)</f>
        <v>1182.0999999999999</v>
      </c>
      <c r="AF127" s="58">
        <f>SUMIFS(Таблица1[9],Таблица1[2],$D127)+SUMIFS(Таблица1[19],Таблица1[2],$D127)</f>
        <v>0</v>
      </c>
      <c r="AG127" s="59">
        <f t="shared" si="23"/>
        <v>1922.8</v>
      </c>
      <c r="AH127" s="59">
        <f t="shared" si="24"/>
        <v>1922.8</v>
      </c>
      <c r="AI127" s="60">
        <f>673-AM127</f>
        <v>360.6</v>
      </c>
      <c r="AJ127" s="60">
        <f t="shared" si="16"/>
        <v>342.5</v>
      </c>
      <c r="AK127" s="60">
        <f>SUMIFS(Таблица1[10],Таблица1[2],$D127)</f>
        <v>18.100000000000001</v>
      </c>
      <c r="AL127" s="60">
        <f>SUMIFS(Таблица1[11],Таблица1[2],$D127)</f>
        <v>0</v>
      </c>
      <c r="AM127" s="251">
        <f>416.1-5.5-23.5-50.1-19.1-5.5</f>
        <v>312.39999999999998</v>
      </c>
      <c r="AN127" s="249">
        <f t="shared" si="17"/>
        <v>0.79999999999995453</v>
      </c>
      <c r="AO127" s="249">
        <f>SUMIFS(Таблица1[12],Таблица1[2],$D127)</f>
        <v>311.60000000000002</v>
      </c>
      <c r="AP127" s="249">
        <f>SUMIFS(Таблица1[13],Таблица1[2],$D127)</f>
        <v>0</v>
      </c>
      <c r="AQ127" s="61">
        <f>454.3</f>
        <v>454.3</v>
      </c>
      <c r="AR127" s="61">
        <f t="shared" si="18"/>
        <v>454.3</v>
      </c>
      <c r="AS127" s="60">
        <f>SUMIFS(Таблица1[14],Таблица1[2],$D127)</f>
        <v>0</v>
      </c>
      <c r="AT127" s="60">
        <f>SUMIFS(Таблица1[15],Таблица1[2],$D127)</f>
        <v>0</v>
      </c>
      <c r="AU127" s="61">
        <v>1126</v>
      </c>
      <c r="AV127" s="61">
        <f t="shared" si="19"/>
        <v>1126</v>
      </c>
      <c r="AW127" s="60">
        <f>SUMIFS(Таблица1[16],Таблица1[2],$D127)</f>
        <v>0</v>
      </c>
      <c r="AX127" s="60">
        <f>SUMIFS(Таблица1[17],Таблица1[2],$D127)</f>
        <v>0</v>
      </c>
      <c r="AY127" s="263"/>
      <c r="AZ127" s="264"/>
      <c r="BA127" s="296">
        <v>0</v>
      </c>
      <c r="BB127" s="296">
        <f t="shared" si="28"/>
        <v>0</v>
      </c>
      <c r="BC127" s="296">
        <v>0</v>
      </c>
      <c r="BD127" s="296">
        <v>0</v>
      </c>
      <c r="BE127" s="285" t="s">
        <v>1649</v>
      </c>
      <c r="BF127" s="259">
        <f>2679+719</f>
        <v>3398</v>
      </c>
      <c r="BG127" s="260">
        <f>4361+1616+2817+8341</f>
        <v>17135</v>
      </c>
      <c r="BH127" s="62" t="s">
        <v>936</v>
      </c>
      <c r="BI127" s="62" t="s">
        <v>935</v>
      </c>
      <c r="BJ127" s="62"/>
      <c r="BK127" s="267"/>
      <c r="BL127" s="267"/>
      <c r="BM127" s="267" t="s">
        <v>1649</v>
      </c>
      <c r="BN127" s="268"/>
      <c r="BO127" s="62">
        <v>22</v>
      </c>
      <c r="BP127" s="63">
        <v>28695</v>
      </c>
      <c r="BQ127" s="64" t="s">
        <v>1131</v>
      </c>
      <c r="BR127" s="372" t="s">
        <v>2747</v>
      </c>
      <c r="BS127" s="62"/>
      <c r="BT127" s="323"/>
      <c r="BU127" s="62"/>
      <c r="BV127" s="323"/>
      <c r="BW127" s="62"/>
      <c r="BX127" s="336">
        <v>28</v>
      </c>
      <c r="BY127" s="336"/>
    </row>
    <row r="128" spans="1:77" ht="13.15" hidden="1" customHeight="1" outlineLevel="1" x14ac:dyDescent="0.2">
      <c r="A128" s="50">
        <f t="shared" si="26"/>
        <v>123</v>
      </c>
      <c r="B128" s="51">
        <v>30</v>
      </c>
      <c r="C128" s="51">
        <v>36</v>
      </c>
      <c r="D128" s="18" t="s">
        <v>455</v>
      </c>
      <c r="E128" s="18">
        <v>10</v>
      </c>
      <c r="F128" s="18">
        <v>2</v>
      </c>
      <c r="G128" s="52">
        <v>1</v>
      </c>
      <c r="H128" s="237">
        <v>1</v>
      </c>
      <c r="I128" s="65">
        <v>1952</v>
      </c>
      <c r="J128" s="349">
        <v>5</v>
      </c>
      <c r="K128" s="346">
        <f t="shared" si="25"/>
        <v>6</v>
      </c>
      <c r="L128" s="346">
        <v>1</v>
      </c>
      <c r="M128" s="349">
        <v>3</v>
      </c>
      <c r="N128" s="255">
        <f t="shared" si="20"/>
        <v>1</v>
      </c>
      <c r="O128" s="310">
        <v>45</v>
      </c>
      <c r="P128" s="66">
        <v>1</v>
      </c>
      <c r="Q128" s="66"/>
      <c r="R128" s="66">
        <v>0</v>
      </c>
      <c r="S128" s="66">
        <v>33</v>
      </c>
      <c r="T128" s="66">
        <v>12</v>
      </c>
      <c r="U128" s="66">
        <v>0</v>
      </c>
      <c r="V128" s="66">
        <v>0</v>
      </c>
      <c r="W128" s="54">
        <v>0</v>
      </c>
      <c r="X128" s="55">
        <f>SUMIFS(Таблица3[Кол-во квартир],Таблица3[Адрес МКД],$D128)</f>
        <v>43</v>
      </c>
      <c r="Y128" s="56">
        <f t="shared" si="30"/>
        <v>5628.14</v>
      </c>
      <c r="Z128" s="253">
        <f>SUMIFS(Таблица3[Площадь жилая],Таблица3[Адрес МКД],$D128)</f>
        <v>2694.94</v>
      </c>
      <c r="AA128" s="261">
        <f>SUMIFS(Таблица3[Площадь нежилых помещений],Таблица3[Адрес МКД],$D128)</f>
        <v>954.3</v>
      </c>
      <c r="AB128" s="252">
        <f>SUMIFS(Таблица1[1],Таблица1[2],$D128)</f>
        <v>1259.4000000000001</v>
      </c>
      <c r="AC128" s="57">
        <f t="shared" si="21"/>
        <v>1259.4000000000001</v>
      </c>
      <c r="AD128" s="57">
        <f t="shared" si="22"/>
        <v>0</v>
      </c>
      <c r="AE128" s="58">
        <f>SUMIFS(Таблица1[8],Таблица1[2],$D128)+SUMIFS(Таблица1[18],Таблица1[2],$D128)</f>
        <v>622.29999999999995</v>
      </c>
      <c r="AF128" s="58">
        <f>SUMIFS(Таблица1[9],Таблица1[2],$D128)+SUMIFS(Таблица1[19],Таблица1[2],$D128)</f>
        <v>0</v>
      </c>
      <c r="AG128" s="59">
        <f t="shared" si="23"/>
        <v>1673.8</v>
      </c>
      <c r="AH128" s="59">
        <f t="shared" si="24"/>
        <v>1673.8</v>
      </c>
      <c r="AI128" s="60">
        <f>718.8-AM128</f>
        <v>602.59999999999991</v>
      </c>
      <c r="AJ128" s="60">
        <f t="shared" si="16"/>
        <v>81.699999999999818</v>
      </c>
      <c r="AK128" s="60">
        <f>SUMIFS(Таблица1[10],Таблица1[2],$D128)</f>
        <v>520.90000000000009</v>
      </c>
      <c r="AL128" s="60">
        <f>SUMIFS(Таблица1[11],Таблица1[2],$D128)</f>
        <v>0</v>
      </c>
      <c r="AM128" s="251">
        <f>116.2</f>
        <v>116.2</v>
      </c>
      <c r="AN128" s="249">
        <f t="shared" si="17"/>
        <v>0</v>
      </c>
      <c r="AO128" s="249">
        <f>SUMIFS(Таблица1[12],Таблица1[2],$D128)</f>
        <v>116.2</v>
      </c>
      <c r="AP128" s="249">
        <f>SUMIFS(Таблица1[13],Таблица1[2],$D128)</f>
        <v>0</v>
      </c>
      <c r="AQ128" s="61">
        <v>402.7</v>
      </c>
      <c r="AR128" s="61">
        <f t="shared" si="18"/>
        <v>402.7</v>
      </c>
      <c r="AS128" s="60">
        <f>SUMIFS(Таблица1[14],Таблица1[2],$D128)</f>
        <v>0</v>
      </c>
      <c r="AT128" s="60">
        <f>SUMIFS(Таблица1[15],Таблица1[2],$D128)</f>
        <v>0</v>
      </c>
      <c r="AU128" s="61">
        <v>1189.4000000000001</v>
      </c>
      <c r="AV128" s="61">
        <f t="shared" si="19"/>
        <v>1189.4000000000001</v>
      </c>
      <c r="AW128" s="60">
        <f>SUMIFS(Таблица1[16],Таблица1[2],$D128)</f>
        <v>0</v>
      </c>
      <c r="AX128" s="60">
        <f>SUMIFS(Таблица1[17],Таблица1[2],$D128)</f>
        <v>0</v>
      </c>
      <c r="AY128" s="263">
        <f>Нежилые!K701</f>
        <v>305.10000000000002</v>
      </c>
      <c r="AZ128" s="264"/>
      <c r="BA128" s="296">
        <v>0</v>
      </c>
      <c r="BB128" s="296">
        <f t="shared" si="28"/>
        <v>0</v>
      </c>
      <c r="BC128" s="296">
        <v>0</v>
      </c>
      <c r="BD128" s="296">
        <v>0</v>
      </c>
      <c r="BE128" s="285"/>
      <c r="BF128" s="259">
        <v>2846</v>
      </c>
      <c r="BG128" s="260">
        <v>15657</v>
      </c>
      <c r="BH128" s="62" t="s">
        <v>939</v>
      </c>
      <c r="BI128" s="62" t="s">
        <v>935</v>
      </c>
      <c r="BJ128" s="62"/>
      <c r="BK128" s="267"/>
      <c r="BL128" s="267"/>
      <c r="BM128" s="267" t="s">
        <v>1649</v>
      </c>
      <c r="BN128" s="268"/>
      <c r="BO128" s="62">
        <v>25</v>
      </c>
      <c r="BP128" s="63">
        <v>28730</v>
      </c>
      <c r="BQ128" s="64" t="s">
        <v>1131</v>
      </c>
      <c r="BR128" s="372" t="s">
        <v>2747</v>
      </c>
      <c r="BS128" s="62"/>
      <c r="BT128" s="323"/>
      <c r="BU128" s="62"/>
      <c r="BV128" s="323"/>
      <c r="BW128" s="62"/>
      <c r="BX128" s="340"/>
      <c r="BY128" s="336"/>
    </row>
    <row r="129" spans="1:77" ht="13.15" hidden="1" customHeight="1" outlineLevel="1" x14ac:dyDescent="0.2">
      <c r="A129" s="50">
        <f t="shared" si="26"/>
        <v>124</v>
      </c>
      <c r="B129" s="51">
        <v>31</v>
      </c>
      <c r="C129" s="51">
        <v>37</v>
      </c>
      <c r="D129" s="18" t="s">
        <v>456</v>
      </c>
      <c r="E129" s="18">
        <v>10</v>
      </c>
      <c r="F129" s="18">
        <v>2</v>
      </c>
      <c r="G129" s="52">
        <v>1</v>
      </c>
      <c r="H129" s="237">
        <v>1</v>
      </c>
      <c r="I129" s="65">
        <v>1952</v>
      </c>
      <c r="J129" s="349">
        <v>5</v>
      </c>
      <c r="K129" s="346">
        <f t="shared" si="25"/>
        <v>6</v>
      </c>
      <c r="L129" s="346">
        <v>1</v>
      </c>
      <c r="M129" s="349">
        <v>3</v>
      </c>
      <c r="N129" s="255">
        <f t="shared" si="20"/>
        <v>0</v>
      </c>
      <c r="O129" s="310">
        <v>30</v>
      </c>
      <c r="P129" s="66">
        <v>6</v>
      </c>
      <c r="Q129" s="66"/>
      <c r="R129" s="66">
        <v>0</v>
      </c>
      <c r="S129" s="66">
        <v>25</v>
      </c>
      <c r="T129" s="66">
        <v>3</v>
      </c>
      <c r="U129" s="66">
        <v>2</v>
      </c>
      <c r="V129" s="66">
        <v>0</v>
      </c>
      <c r="W129" s="54">
        <v>0</v>
      </c>
      <c r="X129" s="55">
        <f>SUMIFS(Таблица3[Кол-во квартир],Таблица3[Адрес МКД],$D129)</f>
        <v>24</v>
      </c>
      <c r="Y129" s="56">
        <f t="shared" si="30"/>
        <v>3287.8</v>
      </c>
      <c r="Z129" s="253">
        <f>SUMIFS(Таблица3[Площадь жилая],Таблица3[Адрес МКД],$D129)</f>
        <v>1386.4</v>
      </c>
      <c r="AA129" s="261">
        <f>SUMIFS(Таблица3[Площадь нежилых помещений],Таблица3[Адрес МКД],$D129)</f>
        <v>804.8</v>
      </c>
      <c r="AB129" s="252">
        <f>SUMIFS(Таблица1[1],Таблица1[2],$D129)</f>
        <v>859.88</v>
      </c>
      <c r="AC129" s="57">
        <f t="shared" si="21"/>
        <v>859.88</v>
      </c>
      <c r="AD129" s="57">
        <f t="shared" si="22"/>
        <v>0</v>
      </c>
      <c r="AE129" s="58">
        <f>SUMIFS(Таблица1[8],Таблица1[2],$D129)+SUMIFS(Таблица1[18],Таблица1[2],$D129)</f>
        <v>730.5</v>
      </c>
      <c r="AF129" s="58">
        <f>SUMIFS(Таблица1[9],Таблица1[2],$D129)+SUMIFS(Таблица1[19],Таблица1[2],$D129)</f>
        <v>0</v>
      </c>
      <c r="AG129" s="59">
        <f t="shared" si="23"/>
        <v>1041.52</v>
      </c>
      <c r="AH129" s="59">
        <f t="shared" si="24"/>
        <v>1041.52</v>
      </c>
      <c r="AI129" s="60">
        <f>402-AM129</f>
        <v>327.7</v>
      </c>
      <c r="AJ129" s="60">
        <f t="shared" si="16"/>
        <v>272.62</v>
      </c>
      <c r="AK129" s="60">
        <f>SUMIFS(Таблица1[10],Таблица1[2],$D129)</f>
        <v>55.08</v>
      </c>
      <c r="AL129" s="60">
        <f>SUMIFS(Таблица1[11],Таблица1[2],$D129)</f>
        <v>0</v>
      </c>
      <c r="AM129" s="251">
        <f>74.3</f>
        <v>74.3</v>
      </c>
      <c r="AN129" s="249">
        <f t="shared" si="17"/>
        <v>0</v>
      </c>
      <c r="AO129" s="249">
        <f>SUMIFS(Таблица1[12],Таблица1[2],$D129)</f>
        <v>74.3</v>
      </c>
      <c r="AP129" s="249">
        <f>SUMIFS(Таблица1[13],Таблица1[2],$D129)</f>
        <v>0</v>
      </c>
      <c r="AQ129" s="61">
        <v>268.89999999999998</v>
      </c>
      <c r="AR129" s="61">
        <f t="shared" si="18"/>
        <v>268.89999999999998</v>
      </c>
      <c r="AS129" s="60">
        <f>SUMIFS(Таблица1[14],Таблица1[2],$D129)</f>
        <v>0</v>
      </c>
      <c r="AT129" s="60">
        <f>SUMIFS(Таблица1[15],Таблица1[2],$D129)</f>
        <v>0</v>
      </c>
      <c r="AU129" s="61">
        <v>500</v>
      </c>
      <c r="AV129" s="61">
        <f t="shared" si="19"/>
        <v>500</v>
      </c>
      <c r="AW129" s="60">
        <f>SUMIFS(Таблица1[16],Таблица1[2],$D129)</f>
        <v>0</v>
      </c>
      <c r="AX129" s="60">
        <f>SUMIFS(Таблица1[17],Таблица1[2],$D129)</f>
        <v>0</v>
      </c>
      <c r="AY129" s="263">
        <f>Нежилые!G711</f>
        <v>55.08</v>
      </c>
      <c r="AZ129" s="264"/>
      <c r="BA129" s="296">
        <v>0</v>
      </c>
      <c r="BB129" s="296">
        <f t="shared" si="28"/>
        <v>0</v>
      </c>
      <c r="BC129" s="296">
        <v>0</v>
      </c>
      <c r="BD129" s="296">
        <v>0</v>
      </c>
      <c r="BE129" s="285"/>
      <c r="BF129" s="259">
        <v>1715</v>
      </c>
      <c r="BG129" s="260">
        <f>6434+3219</f>
        <v>9653</v>
      </c>
      <c r="BH129" s="62" t="s">
        <v>936</v>
      </c>
      <c r="BI129" s="62" t="s">
        <v>935</v>
      </c>
      <c r="BJ129" s="62"/>
      <c r="BK129" s="267"/>
      <c r="BL129" s="267"/>
      <c r="BM129" s="267" t="s">
        <v>1649</v>
      </c>
      <c r="BN129" s="268"/>
      <c r="BO129" s="62">
        <v>40</v>
      </c>
      <c r="BP129" s="63">
        <v>44945</v>
      </c>
      <c r="BQ129" s="64" t="s">
        <v>1131</v>
      </c>
      <c r="BR129" s="372" t="s">
        <v>2747</v>
      </c>
      <c r="BS129" s="62"/>
      <c r="BT129" s="323"/>
      <c r="BU129" s="62"/>
      <c r="BV129" s="323"/>
      <c r="BW129" s="62"/>
      <c r="BX129" s="336">
        <v>30</v>
      </c>
      <c r="BY129" s="336"/>
    </row>
    <row r="130" spans="1:77" ht="13.15" hidden="1" customHeight="1" outlineLevel="1" x14ac:dyDescent="0.2">
      <c r="A130" s="50">
        <f t="shared" si="26"/>
        <v>125</v>
      </c>
      <c r="B130" s="51">
        <v>32</v>
      </c>
      <c r="C130" s="51">
        <v>38</v>
      </c>
      <c r="D130" s="18" t="s">
        <v>457</v>
      </c>
      <c r="E130" s="18">
        <v>10</v>
      </c>
      <c r="F130" s="18">
        <v>2</v>
      </c>
      <c r="G130" s="52">
        <v>1</v>
      </c>
      <c r="H130" s="237">
        <v>1</v>
      </c>
      <c r="I130" s="65">
        <v>1952</v>
      </c>
      <c r="J130" s="349">
        <v>5</v>
      </c>
      <c r="K130" s="346">
        <f t="shared" si="25"/>
        <v>6</v>
      </c>
      <c r="L130" s="346">
        <v>1</v>
      </c>
      <c r="M130" s="349">
        <v>3</v>
      </c>
      <c r="N130" s="255">
        <f t="shared" si="20"/>
        <v>1</v>
      </c>
      <c r="O130" s="310">
        <v>45</v>
      </c>
      <c r="P130" s="66">
        <v>1</v>
      </c>
      <c r="Q130" s="66"/>
      <c r="R130" s="66">
        <v>0</v>
      </c>
      <c r="S130" s="66">
        <v>33</v>
      </c>
      <c r="T130" s="66">
        <v>12</v>
      </c>
      <c r="U130" s="66">
        <v>0</v>
      </c>
      <c r="V130" s="66">
        <v>0</v>
      </c>
      <c r="W130" s="54">
        <v>0</v>
      </c>
      <c r="X130" s="55">
        <f>SUMIFS(Таблица3[Кол-во квартир],Таблица3[Адрес МКД],$D130)</f>
        <v>43</v>
      </c>
      <c r="Y130" s="56">
        <f t="shared" si="30"/>
        <v>6362.7</v>
      </c>
      <c r="Z130" s="253">
        <f>SUMIFS(Таблица3[Площадь жилая],Таблица3[Адрес МКД],$D130)</f>
        <v>2711.8</v>
      </c>
      <c r="AA130" s="261">
        <f>SUMIFS(Таблица3[Площадь нежилых помещений],Таблица3[Адрес МКД],$D130)</f>
        <v>1527.2</v>
      </c>
      <c r="AB130" s="252">
        <f>SUMIFS(Таблица1[1],Таблица1[2],$D130)</f>
        <v>1527.1999999999998</v>
      </c>
      <c r="AC130" s="57">
        <f t="shared" si="21"/>
        <v>1527.2</v>
      </c>
      <c r="AD130" s="57">
        <f t="shared" si="22"/>
        <v>0</v>
      </c>
      <c r="AE130" s="58">
        <f>SUMIFS(Таблица1[8],Таблица1[2],$D130)+SUMIFS(Таблица1[18],Таблица1[2],$D130)</f>
        <v>677.3</v>
      </c>
      <c r="AF130" s="58">
        <f>SUMIFS(Таблица1[9],Таблица1[2],$D130)+SUMIFS(Таблица1[19],Таблица1[2],$D130)</f>
        <v>0</v>
      </c>
      <c r="AG130" s="59">
        <f t="shared" si="23"/>
        <v>2123.6999999999998</v>
      </c>
      <c r="AH130" s="59">
        <f t="shared" si="24"/>
        <v>2123.6999999999998</v>
      </c>
      <c r="AI130" s="60">
        <f>1079.8-AM130</f>
        <v>861.5</v>
      </c>
      <c r="AJ130" s="60">
        <f t="shared" si="16"/>
        <v>229.89999999999998</v>
      </c>
      <c r="AK130" s="60">
        <f>SUMIFS(Таблица1[10],Таблица1[2],$D130)</f>
        <v>631.6</v>
      </c>
      <c r="AL130" s="60">
        <f>SUMIFS(Таблица1[11],Таблица1[2],$D130)</f>
        <v>0</v>
      </c>
      <c r="AM130" s="251">
        <f>218.3</f>
        <v>218.3</v>
      </c>
      <c r="AN130" s="249">
        <f t="shared" si="17"/>
        <v>0</v>
      </c>
      <c r="AO130" s="249">
        <f>SUMIFS(Таблица1[12],Таблица1[2],$D130)</f>
        <v>218.3</v>
      </c>
      <c r="AP130" s="249">
        <f>SUMIFS(Таблица1[13],Таблица1[2],$D130)</f>
        <v>0</v>
      </c>
      <c r="AQ130" s="61">
        <v>319.8</v>
      </c>
      <c r="AR130" s="61">
        <f t="shared" si="18"/>
        <v>319.8</v>
      </c>
      <c r="AS130" s="60">
        <f>SUMIFS(Таблица1[14],Таблица1[2],$D130)</f>
        <v>0</v>
      </c>
      <c r="AT130" s="60">
        <f>SUMIFS(Таблица1[15],Таблица1[2],$D130)</f>
        <v>0</v>
      </c>
      <c r="AU130" s="61">
        <v>1574</v>
      </c>
      <c r="AV130" s="61">
        <f t="shared" si="19"/>
        <v>1574</v>
      </c>
      <c r="AW130" s="60">
        <f>SUMIFS(Таблица1[16],Таблица1[2],$D130)</f>
        <v>0</v>
      </c>
      <c r="AX130" s="60">
        <f>SUMIFS(Таблица1[17],Таблица1[2],$D130)</f>
        <v>0</v>
      </c>
      <c r="AY130" s="263"/>
      <c r="AZ130" s="264"/>
      <c r="BA130" s="296">
        <v>0</v>
      </c>
      <c r="BB130" s="296">
        <f t="shared" si="28"/>
        <v>0</v>
      </c>
      <c r="BC130" s="296">
        <v>0</v>
      </c>
      <c r="BD130" s="296">
        <v>0</v>
      </c>
      <c r="BE130" s="285"/>
      <c r="BF130" s="259">
        <v>2426</v>
      </c>
      <c r="BG130" s="260">
        <v>16730</v>
      </c>
      <c r="BH130" s="62" t="s">
        <v>936</v>
      </c>
      <c r="BI130" s="62" t="s">
        <v>935</v>
      </c>
      <c r="BJ130" s="62" t="s">
        <v>1017</v>
      </c>
      <c r="BK130" s="267"/>
      <c r="BL130" s="267"/>
      <c r="BM130" s="267" t="s">
        <v>1649</v>
      </c>
      <c r="BN130" s="268"/>
      <c r="BO130" s="62">
        <v>40</v>
      </c>
      <c r="BP130" s="63">
        <v>30853</v>
      </c>
      <c r="BQ130" s="64" t="s">
        <v>1131</v>
      </c>
      <c r="BR130" s="372" t="s">
        <v>2747</v>
      </c>
      <c r="BS130" s="62"/>
      <c r="BT130" s="323"/>
      <c r="BU130" s="62"/>
      <c r="BV130" s="323"/>
      <c r="BW130" s="62"/>
      <c r="BX130" s="336">
        <v>32</v>
      </c>
      <c r="BY130" s="336"/>
    </row>
    <row r="131" spans="1:77" ht="13.15" hidden="1" customHeight="1" outlineLevel="1" x14ac:dyDescent="0.2">
      <c r="A131" s="50">
        <f t="shared" si="26"/>
        <v>126</v>
      </c>
      <c r="B131" s="51">
        <v>33</v>
      </c>
      <c r="C131" s="51">
        <v>39</v>
      </c>
      <c r="D131" s="18" t="s">
        <v>458</v>
      </c>
      <c r="E131" s="18">
        <v>10</v>
      </c>
      <c r="F131" s="18">
        <v>2</v>
      </c>
      <c r="G131" s="52">
        <v>1</v>
      </c>
      <c r="H131" s="237">
        <v>1</v>
      </c>
      <c r="I131" s="65">
        <v>1952</v>
      </c>
      <c r="J131" s="349">
        <v>3</v>
      </c>
      <c r="K131" s="346">
        <f t="shared" si="25"/>
        <v>4</v>
      </c>
      <c r="L131" s="346">
        <v>1</v>
      </c>
      <c r="M131" s="349">
        <v>3</v>
      </c>
      <c r="N131" s="255">
        <f t="shared" si="20"/>
        <v>2</v>
      </c>
      <c r="O131" s="310">
        <v>30</v>
      </c>
      <c r="P131" s="66">
        <v>2</v>
      </c>
      <c r="Q131" s="66"/>
      <c r="R131" s="66">
        <v>0</v>
      </c>
      <c r="S131" s="66">
        <v>21</v>
      </c>
      <c r="T131" s="66">
        <v>9</v>
      </c>
      <c r="U131" s="66">
        <v>0</v>
      </c>
      <c r="V131" s="66">
        <v>0</v>
      </c>
      <c r="W131" s="54">
        <v>0</v>
      </c>
      <c r="X131" s="55">
        <f>SUMIFS(Таблица3[Кол-во квартир],Таблица3[Адрес МКД],$D131)</f>
        <v>26</v>
      </c>
      <c r="Y131" s="56">
        <f t="shared" si="30"/>
        <v>3301.9399999999996</v>
      </c>
      <c r="Z131" s="253">
        <f>SUMIFS(Таблица3[Площадь жилая],Таблица3[Адрес МКД],$D131)</f>
        <v>1634.24</v>
      </c>
      <c r="AA131" s="261">
        <f>SUMIFS(Таблица3[Площадь нежилых помещений],Таблица3[Адрес МКД],$D131)</f>
        <v>290.39999999999998</v>
      </c>
      <c r="AB131" s="252">
        <f>SUMIFS(Таблица1[1],Таблица1[2],$D131)</f>
        <v>290.39999999999998</v>
      </c>
      <c r="AC131" s="57">
        <f t="shared" si="21"/>
        <v>290.39999999999998</v>
      </c>
      <c r="AD131" s="57">
        <f t="shared" si="22"/>
        <v>0</v>
      </c>
      <c r="AE131" s="58">
        <f>SUMIFS(Таблица1[8],Таблица1[2],$D131)+SUMIFS(Таблица1[18],Таблица1[2],$D131)</f>
        <v>135.69999999999999</v>
      </c>
      <c r="AF131" s="58">
        <f>SUMIFS(Таблица1[9],Таблица1[2],$D131)+SUMIFS(Таблица1[19],Таблица1[2],$D131)</f>
        <v>0</v>
      </c>
      <c r="AG131" s="59">
        <f t="shared" si="23"/>
        <v>1377.3</v>
      </c>
      <c r="AH131" s="59">
        <f t="shared" si="24"/>
        <v>1377.3</v>
      </c>
      <c r="AI131" s="60">
        <f>557-AM131</f>
        <v>402.3</v>
      </c>
      <c r="AJ131" s="60">
        <f t="shared" si="16"/>
        <v>402.3</v>
      </c>
      <c r="AK131" s="60">
        <f>SUMIFS(Таблица1[10],Таблица1[2],$D131)</f>
        <v>0</v>
      </c>
      <c r="AL131" s="60">
        <f>SUMIFS(Таблица1[11],Таблица1[2],$D131)</f>
        <v>0</v>
      </c>
      <c r="AM131" s="251">
        <f>154.7</f>
        <v>154.69999999999999</v>
      </c>
      <c r="AN131" s="249">
        <f t="shared" si="17"/>
        <v>0</v>
      </c>
      <c r="AO131" s="249">
        <f>SUMIFS(Таблица1[12],Таблица1[2],$D131)</f>
        <v>154.69999999999999</v>
      </c>
      <c r="AP131" s="249">
        <f>SUMIFS(Таблица1[13],Таблица1[2],$D131)</f>
        <v>0</v>
      </c>
      <c r="AQ131" s="61">
        <v>247</v>
      </c>
      <c r="AR131" s="61">
        <f t="shared" si="18"/>
        <v>247</v>
      </c>
      <c r="AS131" s="60">
        <f>SUMIFS(Таблица1[14],Таблица1[2],$D131)</f>
        <v>0</v>
      </c>
      <c r="AT131" s="60">
        <f>SUMIFS(Таблица1[15],Таблица1[2],$D131)</f>
        <v>0</v>
      </c>
      <c r="AU131" s="61">
        <v>728</v>
      </c>
      <c r="AV131" s="61">
        <f t="shared" si="19"/>
        <v>728</v>
      </c>
      <c r="AW131" s="60">
        <f>SUMIFS(Таблица1[16],Таблица1[2],$D131)</f>
        <v>0</v>
      </c>
      <c r="AX131" s="60">
        <f>SUMIFS(Таблица1[17],Таблица1[2],$D131)</f>
        <v>0</v>
      </c>
      <c r="AY131" s="263"/>
      <c r="AZ131" s="264"/>
      <c r="BA131" s="296">
        <v>0</v>
      </c>
      <c r="BB131" s="296">
        <f t="shared" si="28"/>
        <v>0</v>
      </c>
      <c r="BC131" s="296">
        <v>0</v>
      </c>
      <c r="BD131" s="296">
        <v>0</v>
      </c>
      <c r="BE131" s="285"/>
      <c r="BF131" s="259">
        <v>2301</v>
      </c>
      <c r="BG131" s="260">
        <f>8024+353</f>
        <v>8377</v>
      </c>
      <c r="BH131" s="62" t="s">
        <v>936</v>
      </c>
      <c r="BI131" s="62" t="s">
        <v>935</v>
      </c>
      <c r="BJ131" s="62"/>
      <c r="BK131" s="267"/>
      <c r="BL131" s="267"/>
      <c r="BM131" s="267" t="s">
        <v>1649</v>
      </c>
      <c r="BN131" s="268"/>
      <c r="BO131" s="62">
        <v>40</v>
      </c>
      <c r="BP131" s="63">
        <v>28726</v>
      </c>
      <c r="BQ131" s="64" t="s">
        <v>1131</v>
      </c>
      <c r="BR131" s="372" t="s">
        <v>2747</v>
      </c>
      <c r="BS131" s="62"/>
      <c r="BT131" s="323"/>
      <c r="BU131" s="62"/>
      <c r="BV131" s="323"/>
      <c r="BW131" s="62"/>
      <c r="BX131" s="336">
        <v>34</v>
      </c>
      <c r="BY131" s="336"/>
    </row>
    <row r="132" spans="1:77" ht="13.15" customHeight="1" outlineLevel="1" x14ac:dyDescent="0.2">
      <c r="A132" s="50">
        <f t="shared" si="26"/>
        <v>127</v>
      </c>
      <c r="B132" s="51">
        <v>48</v>
      </c>
      <c r="C132" s="51">
        <v>49</v>
      </c>
      <c r="D132" s="18" t="s">
        <v>599</v>
      </c>
      <c r="E132" s="18">
        <v>12</v>
      </c>
      <c r="F132" s="18">
        <v>4</v>
      </c>
      <c r="G132" s="52">
        <v>1</v>
      </c>
      <c r="H132" s="237">
        <v>1</v>
      </c>
      <c r="I132" s="53">
        <v>1955</v>
      </c>
      <c r="J132" s="348">
        <v>5</v>
      </c>
      <c r="K132" s="346">
        <f t="shared" si="25"/>
        <v>6</v>
      </c>
      <c r="L132" s="346">
        <v>1</v>
      </c>
      <c r="M132" s="349">
        <v>3</v>
      </c>
      <c r="N132" s="255">
        <f t="shared" si="20"/>
        <v>0</v>
      </c>
      <c r="O132" s="310">
        <v>52</v>
      </c>
      <c r="P132" s="66">
        <v>4</v>
      </c>
      <c r="Q132" s="66"/>
      <c r="R132" s="66">
        <v>0</v>
      </c>
      <c r="S132" s="66">
        <v>39</v>
      </c>
      <c r="T132" s="66">
        <v>13</v>
      </c>
      <c r="U132" s="66">
        <v>0</v>
      </c>
      <c r="V132" s="66">
        <v>0</v>
      </c>
      <c r="W132" s="54">
        <v>0</v>
      </c>
      <c r="X132" s="55">
        <f>SUMIFS(Таблица3[Кол-во квартир],Таблица3[Адрес МКД],$D132)</f>
        <v>48</v>
      </c>
      <c r="Y132" s="56">
        <f t="shared" si="30"/>
        <v>5547.4900000000007</v>
      </c>
      <c r="Z132" s="253">
        <f>SUMIFS(Таблица3[Площадь жилая],Таблица3[Адрес МКД],$D132)</f>
        <v>2989.2000000000003</v>
      </c>
      <c r="AA132" s="261">
        <f>SUMIFS(Таблица3[Площадь нежилых помещений],Таблица3[Адрес МКД],$D132)</f>
        <v>1251.5</v>
      </c>
      <c r="AB132" s="252">
        <f>SUMIFS(Таблица1[1],Таблица1[2],$D132)</f>
        <v>1251.5</v>
      </c>
      <c r="AC132" s="57">
        <f t="shared" si="21"/>
        <v>1251.5</v>
      </c>
      <c r="AD132" s="57">
        <f t="shared" si="22"/>
        <v>0</v>
      </c>
      <c r="AE132" s="58">
        <f>SUMIFS(Таблица1[8],Таблица1[2],$D132)+SUMIFS(Таблица1[18],Таблица1[2],$D132)</f>
        <v>730.4</v>
      </c>
      <c r="AF132" s="58">
        <f>SUMIFS(Таблица1[9],Таблица1[2],$D132)+SUMIFS(Таблица1[19],Таблица1[2],$D132)</f>
        <v>0</v>
      </c>
      <c r="AG132" s="59">
        <f t="shared" si="23"/>
        <v>1306.79</v>
      </c>
      <c r="AH132" s="59">
        <f t="shared" si="24"/>
        <v>1306.79</v>
      </c>
      <c r="AI132" s="60">
        <f>557.8-AM132</f>
        <v>331.79999999999995</v>
      </c>
      <c r="AJ132" s="60">
        <f t="shared" ref="AJ132:AJ194" si="31">AI132-AK132-AL132</f>
        <v>36.699999999999932</v>
      </c>
      <c r="AK132" s="60">
        <f>SUMIFS(Таблица1[10],Таблица1[2],$D132)</f>
        <v>295.10000000000002</v>
      </c>
      <c r="AL132" s="60">
        <f>SUMIFS(Таблица1[11],Таблица1[2],$D132)</f>
        <v>0</v>
      </c>
      <c r="AM132" s="251">
        <v>226</v>
      </c>
      <c r="AN132" s="249">
        <f t="shared" ref="AN132:AN194" si="32">AM132-AO132-AP132</f>
        <v>0</v>
      </c>
      <c r="AO132" s="249">
        <f>SUMIFS(Таблица1[12],Таблица1[2],$D132)</f>
        <v>226</v>
      </c>
      <c r="AP132" s="249">
        <f>SUMIFS(Таблица1[13],Таблица1[2],$D132)</f>
        <v>0</v>
      </c>
      <c r="AQ132" s="61">
        <v>362</v>
      </c>
      <c r="AR132" s="61">
        <f t="shared" ref="AR132:AR194" si="33">AQ132-AS132-AT132</f>
        <v>362</v>
      </c>
      <c r="AS132" s="60">
        <f>SUMIFS(Таблица1[14],Таблица1[2],$D132)</f>
        <v>0</v>
      </c>
      <c r="AT132" s="60">
        <f>SUMIFS(Таблица1[15],Таблица1[2],$D132)</f>
        <v>0</v>
      </c>
      <c r="AU132" s="61">
        <v>908.09</v>
      </c>
      <c r="AV132" s="61">
        <f t="shared" ref="AV132:AV194" si="34">AU132-AW132-AX132</f>
        <v>908.09</v>
      </c>
      <c r="AW132" s="60">
        <f>SUMIFS(Таблица1[16],Таблица1[2],$D132)</f>
        <v>0</v>
      </c>
      <c r="AX132" s="60">
        <f>SUMIFS(Таблица1[17],Таблица1[2],$D132)</f>
        <v>0</v>
      </c>
      <c r="AY132" s="263"/>
      <c r="AZ132" s="264"/>
      <c r="BA132" s="296">
        <v>0</v>
      </c>
      <c r="BB132" s="296">
        <f t="shared" si="28"/>
        <v>0</v>
      </c>
      <c r="BC132" s="296">
        <v>0</v>
      </c>
      <c r="BD132" s="296">
        <v>0</v>
      </c>
      <c r="BE132" s="285"/>
      <c r="BF132" s="259">
        <v>2553</v>
      </c>
      <c r="BG132" s="260">
        <f>3874+13012+76+30</f>
        <v>16992</v>
      </c>
      <c r="BH132" s="62" t="s">
        <v>936</v>
      </c>
      <c r="BI132" s="62" t="s">
        <v>935</v>
      </c>
      <c r="BJ132" s="62"/>
      <c r="BK132" s="267"/>
      <c r="BL132" s="267"/>
      <c r="BM132" s="267" t="s">
        <v>1649</v>
      </c>
      <c r="BN132" s="268"/>
      <c r="BO132" s="62">
        <v>15.5</v>
      </c>
      <c r="BP132" s="63">
        <v>30211</v>
      </c>
      <c r="BQ132" s="64" t="s">
        <v>1131</v>
      </c>
      <c r="BR132" s="372" t="s">
        <v>2747</v>
      </c>
      <c r="BS132" s="62"/>
      <c r="BT132" s="323"/>
      <c r="BU132" s="62"/>
      <c r="BV132" s="323"/>
      <c r="BW132" s="62"/>
      <c r="BX132" s="336">
        <v>27</v>
      </c>
      <c r="BY132" s="336"/>
    </row>
    <row r="133" spans="1:77" ht="13.15" hidden="1" customHeight="1" outlineLevel="1" x14ac:dyDescent="0.2">
      <c r="A133" s="50">
        <f t="shared" si="26"/>
        <v>128</v>
      </c>
      <c r="B133" s="51">
        <v>34</v>
      </c>
      <c r="C133" s="51">
        <v>40</v>
      </c>
      <c r="D133" s="18" t="s">
        <v>459</v>
      </c>
      <c r="E133" s="18">
        <v>10</v>
      </c>
      <c r="F133" s="18">
        <v>2</v>
      </c>
      <c r="G133" s="52">
        <v>1</v>
      </c>
      <c r="H133" s="237">
        <v>1</v>
      </c>
      <c r="I133" s="65">
        <v>1955</v>
      </c>
      <c r="J133" s="353">
        <v>4.5</v>
      </c>
      <c r="K133" s="355">
        <v>5.6</v>
      </c>
      <c r="L133" s="346">
        <v>1</v>
      </c>
      <c r="M133" s="349">
        <v>6</v>
      </c>
      <c r="N133" s="255">
        <f t="shared" si="20"/>
        <v>2</v>
      </c>
      <c r="O133" s="310">
        <v>90</v>
      </c>
      <c r="P133" s="66">
        <v>9</v>
      </c>
      <c r="Q133" s="66"/>
      <c r="R133" s="66">
        <v>1</v>
      </c>
      <c r="S133" s="66">
        <v>53</v>
      </c>
      <c r="T133" s="66">
        <v>30</v>
      </c>
      <c r="U133" s="66">
        <v>6</v>
      </c>
      <c r="V133" s="66">
        <v>0</v>
      </c>
      <c r="W133" s="54">
        <v>0</v>
      </c>
      <c r="X133" s="55">
        <f>SUMIFS(Таблица3[Кол-во квартир],Таблица3[Адрес МКД],$D133)</f>
        <v>79</v>
      </c>
      <c r="Y133" s="56">
        <f t="shared" si="30"/>
        <v>9860</v>
      </c>
      <c r="Z133" s="253">
        <f>SUMIFS(Таблица3[Площадь жилая],Таблица3[Адрес МКД],$D133)</f>
        <v>5349.8</v>
      </c>
      <c r="AA133" s="261">
        <f>SUMIFS(Таблица3[Площадь нежилых помещений],Таблица3[Адрес МКД],$D133)</f>
        <v>1768.6</v>
      </c>
      <c r="AB133" s="252">
        <f>SUMIFS(Таблица1[1],Таблица1[2],$D133)</f>
        <v>1768.6000000000001</v>
      </c>
      <c r="AC133" s="57">
        <f t="shared" ref="AC133:AC195" si="35">AE133+AK133+AO133+AS133+AW133</f>
        <v>1768.6</v>
      </c>
      <c r="AD133" s="57">
        <f t="shared" ref="AD133:AD195" si="36">AF133+AL133+AP133+AT133+AX133</f>
        <v>0</v>
      </c>
      <c r="AE133" s="58">
        <f>SUMIFS(Таблица1[8],Таблица1[2],$D133)+SUMIFS(Таблица1[18],Таблица1[2],$D133)</f>
        <v>1141.6999999999998</v>
      </c>
      <c r="AF133" s="58">
        <f>SUMIFS(Таблица1[9],Таблица1[2],$D133)+SUMIFS(Таблица1[19],Таблица1[2],$D133)</f>
        <v>0</v>
      </c>
      <c r="AG133" s="59">
        <f t="shared" ref="AG133:AG195" si="37">AJ133+AR133+AV133+AZ133</f>
        <v>2741.6</v>
      </c>
      <c r="AH133" s="59">
        <f t="shared" ref="AH133:AH195" si="38">AJ133+AL133+AR133+AT133+AV133+AX133</f>
        <v>2741.6</v>
      </c>
      <c r="AI133" s="60">
        <f>827.2-AM133</f>
        <v>529</v>
      </c>
      <c r="AJ133" s="60">
        <f t="shared" si="31"/>
        <v>200.3</v>
      </c>
      <c r="AK133" s="60">
        <f>SUMIFS(Таблица1[10],Таблица1[2],$D133)</f>
        <v>328.7</v>
      </c>
      <c r="AL133" s="60">
        <f>SUMIFS(Таблица1[11],Таблица1[2],$D133)</f>
        <v>0</v>
      </c>
      <c r="AM133" s="251">
        <v>298.2</v>
      </c>
      <c r="AN133" s="249">
        <f t="shared" si="32"/>
        <v>0</v>
      </c>
      <c r="AO133" s="249">
        <f>SUMIFS(Таблица1[12],Таблица1[2],$D133)</f>
        <v>298.2</v>
      </c>
      <c r="AP133" s="249">
        <f>SUMIFS(Таблица1[13],Таблица1[2],$D133)</f>
        <v>0</v>
      </c>
      <c r="AQ133" s="61">
        <f>717.8</f>
        <v>717.8</v>
      </c>
      <c r="AR133" s="61">
        <f t="shared" si="33"/>
        <v>717.8</v>
      </c>
      <c r="AS133" s="60">
        <f>SUMIFS(Таблица1[14],Таблица1[2],$D133)</f>
        <v>0</v>
      </c>
      <c r="AT133" s="60">
        <f>SUMIFS(Таблица1[15],Таблица1[2],$D133)</f>
        <v>0</v>
      </c>
      <c r="AU133" s="61">
        <v>1823.5</v>
      </c>
      <c r="AV133" s="61">
        <f t="shared" si="34"/>
        <v>1823.5</v>
      </c>
      <c r="AW133" s="60">
        <f>SUMIFS(Таблица1[16],Таблица1[2],$D133)</f>
        <v>0</v>
      </c>
      <c r="AX133" s="60">
        <f>SUMIFS(Таблица1[17],Таблица1[2],$D133)</f>
        <v>0</v>
      </c>
      <c r="AY133" s="263"/>
      <c r="AZ133" s="264"/>
      <c r="BA133" s="296">
        <v>0</v>
      </c>
      <c r="BB133" s="296">
        <f t="shared" si="28"/>
        <v>0</v>
      </c>
      <c r="BC133" s="296">
        <v>0</v>
      </c>
      <c r="BD133" s="296">
        <v>0</v>
      </c>
      <c r="BE133" s="285"/>
      <c r="BF133" s="259">
        <f>1024+2434</f>
        <v>3458</v>
      </c>
      <c r="BG133" s="260">
        <f>7949+4106+17493+64</f>
        <v>29612</v>
      </c>
      <c r="BH133" s="62" t="s">
        <v>936</v>
      </c>
      <c r="BI133" s="62" t="s">
        <v>935</v>
      </c>
      <c r="BJ133" s="62"/>
      <c r="BK133" s="267"/>
      <c r="BL133" s="267"/>
      <c r="BM133" s="267" t="s">
        <v>1649</v>
      </c>
      <c r="BN133" s="268"/>
      <c r="BO133" s="62">
        <v>34</v>
      </c>
      <c r="BP133" s="63">
        <v>33073</v>
      </c>
      <c r="BQ133" s="64" t="s">
        <v>1131</v>
      </c>
      <c r="BR133" s="372" t="s">
        <v>2747</v>
      </c>
      <c r="BS133" s="62"/>
      <c r="BT133" s="323"/>
      <c r="BU133" s="62"/>
      <c r="BV133" s="323"/>
      <c r="BW133" s="62"/>
      <c r="BX133" s="340"/>
      <c r="BY133" s="336"/>
    </row>
    <row r="134" spans="1:77" ht="13.15" hidden="1" customHeight="1" outlineLevel="1" x14ac:dyDescent="0.2">
      <c r="A134" s="50">
        <f t="shared" si="26"/>
        <v>129</v>
      </c>
      <c r="B134" s="51">
        <v>35</v>
      </c>
      <c r="C134" s="51">
        <v>41</v>
      </c>
      <c r="D134" s="18" t="s">
        <v>460</v>
      </c>
      <c r="E134" s="18">
        <v>10</v>
      </c>
      <c r="F134" s="18">
        <v>2</v>
      </c>
      <c r="G134" s="52">
        <v>1</v>
      </c>
      <c r="H134" s="237">
        <v>1</v>
      </c>
      <c r="I134" s="53">
        <v>1954</v>
      </c>
      <c r="J134" s="348">
        <v>4</v>
      </c>
      <c r="K134" s="346">
        <f t="shared" si="25"/>
        <v>5</v>
      </c>
      <c r="L134" s="346">
        <v>1</v>
      </c>
      <c r="M134" s="349">
        <v>2</v>
      </c>
      <c r="N134" s="255">
        <f t="shared" ref="N134:N196" si="39">O134-P134-X134-Q134</f>
        <v>1</v>
      </c>
      <c r="O134" s="310">
        <v>32</v>
      </c>
      <c r="P134" s="66">
        <v>0</v>
      </c>
      <c r="Q134" s="66"/>
      <c r="R134" s="66">
        <v>0</v>
      </c>
      <c r="S134" s="66">
        <v>24</v>
      </c>
      <c r="T134" s="66">
        <v>8</v>
      </c>
      <c r="U134" s="66">
        <v>0</v>
      </c>
      <c r="V134" s="66">
        <v>0</v>
      </c>
      <c r="W134" s="54">
        <v>0</v>
      </c>
      <c r="X134" s="55">
        <f>SUMIFS(Таблица3[Кол-во квартир],Таблица3[Адрес МКД],$D134)</f>
        <v>31</v>
      </c>
      <c r="Y134" s="56">
        <f t="shared" si="30"/>
        <v>3067.58</v>
      </c>
      <c r="Z134" s="253">
        <f>SUMIFS(Таблица3[Площадь жилая],Таблица3[Адрес МКД],$D134)</f>
        <v>1920.28</v>
      </c>
      <c r="AA134" s="261">
        <f>SUMIFS(Таблица3[Площадь нежилых помещений],Таблица3[Адрес МКД],$D134)</f>
        <v>161.6</v>
      </c>
      <c r="AB134" s="252">
        <f>SUMIFS(Таблица1[1],Таблица1[2],$D134)</f>
        <v>161.6</v>
      </c>
      <c r="AC134" s="57">
        <f t="shared" si="35"/>
        <v>161.6</v>
      </c>
      <c r="AD134" s="57">
        <f t="shared" si="36"/>
        <v>0</v>
      </c>
      <c r="AE134" s="58">
        <f>SUMIFS(Таблица1[8],Таблица1[2],$D134)+SUMIFS(Таблица1[18],Таблица1[2],$D134)</f>
        <v>0</v>
      </c>
      <c r="AF134" s="58">
        <f>SUMIFS(Таблица1[9],Таблица1[2],$D134)+SUMIFS(Таблица1[19],Таблица1[2],$D134)</f>
        <v>0</v>
      </c>
      <c r="AG134" s="59">
        <f t="shared" si="37"/>
        <v>985.7</v>
      </c>
      <c r="AH134" s="59">
        <f t="shared" si="38"/>
        <v>985.7</v>
      </c>
      <c r="AI134" s="60">
        <f>348.4-AM134</f>
        <v>186.79999999999998</v>
      </c>
      <c r="AJ134" s="60">
        <f t="shared" si="31"/>
        <v>186.79999999999998</v>
      </c>
      <c r="AK134" s="60">
        <f>SUMIFS(Таблица1[10],Таблица1[2],$D134)</f>
        <v>0</v>
      </c>
      <c r="AL134" s="60">
        <f>SUMIFS(Таблица1[11],Таблица1[2],$D134)</f>
        <v>0</v>
      </c>
      <c r="AM134" s="251">
        <f>161.6</f>
        <v>161.6</v>
      </c>
      <c r="AN134" s="249">
        <f t="shared" si="32"/>
        <v>0</v>
      </c>
      <c r="AO134" s="249">
        <f>SUMIFS(Таблица1[12],Таблица1[2],$D134)</f>
        <v>161.6</v>
      </c>
      <c r="AP134" s="249">
        <f>SUMIFS(Таблица1[13],Таблица1[2],$D134)</f>
        <v>0</v>
      </c>
      <c r="AQ134" s="61">
        <v>212.2</v>
      </c>
      <c r="AR134" s="61">
        <f t="shared" si="33"/>
        <v>212.2</v>
      </c>
      <c r="AS134" s="60">
        <f>SUMIFS(Таблица1[14],Таблица1[2],$D134)</f>
        <v>0</v>
      </c>
      <c r="AT134" s="60">
        <f>SUMIFS(Таблица1[15],Таблица1[2],$D134)</f>
        <v>0</v>
      </c>
      <c r="AU134" s="61">
        <v>586.70000000000005</v>
      </c>
      <c r="AV134" s="61">
        <f t="shared" si="34"/>
        <v>586.70000000000005</v>
      </c>
      <c r="AW134" s="60">
        <f>SUMIFS(Таблица1[16],Таблица1[2],$D134)</f>
        <v>0</v>
      </c>
      <c r="AX134" s="60">
        <f>SUMIFS(Таблица1[17],Таблица1[2],$D134)</f>
        <v>0</v>
      </c>
      <c r="AY134" s="263"/>
      <c r="AZ134" s="264"/>
      <c r="BA134" s="296">
        <v>0</v>
      </c>
      <c r="BB134" s="296">
        <f t="shared" si="28"/>
        <v>0</v>
      </c>
      <c r="BC134" s="296">
        <v>0</v>
      </c>
      <c r="BD134" s="296">
        <v>0</v>
      </c>
      <c r="BE134" s="285"/>
      <c r="BF134" s="259">
        <v>1460</v>
      </c>
      <c r="BG134" s="260">
        <f>8562+32</f>
        <v>8594</v>
      </c>
      <c r="BH134" s="62" t="s">
        <v>936</v>
      </c>
      <c r="BI134" s="62" t="s">
        <v>935</v>
      </c>
      <c r="BJ134" s="62"/>
      <c r="BK134" s="267"/>
      <c r="BL134" s="267"/>
      <c r="BM134" s="267" t="s">
        <v>1649</v>
      </c>
      <c r="BN134" s="268"/>
      <c r="BO134" s="62">
        <v>31</v>
      </c>
      <c r="BP134" s="63">
        <v>32115</v>
      </c>
      <c r="BQ134" s="64" t="s">
        <v>1131</v>
      </c>
      <c r="BR134" s="372" t="s">
        <v>2747</v>
      </c>
      <c r="BS134" s="62"/>
      <c r="BT134" s="323"/>
      <c r="BU134" s="62"/>
      <c r="BV134" s="323"/>
      <c r="BW134" s="62"/>
      <c r="BX134" s="340"/>
      <c r="BY134" s="336"/>
    </row>
    <row r="135" spans="1:77" ht="13.15" hidden="1" customHeight="1" outlineLevel="1" x14ac:dyDescent="0.2">
      <c r="A135" s="50">
        <f t="shared" ref="A135:A197" si="40">A134+1</f>
        <v>130</v>
      </c>
      <c r="B135" s="51">
        <v>2</v>
      </c>
      <c r="C135" s="51">
        <v>50</v>
      </c>
      <c r="D135" s="18" t="s">
        <v>662</v>
      </c>
      <c r="E135" s="18">
        <v>16</v>
      </c>
      <c r="F135" s="18">
        <v>4</v>
      </c>
      <c r="G135" s="52">
        <v>1</v>
      </c>
      <c r="H135" s="237">
        <v>1</v>
      </c>
      <c r="I135" s="65">
        <v>1957</v>
      </c>
      <c r="J135" s="349">
        <v>5</v>
      </c>
      <c r="K135" s="346">
        <f t="shared" ref="K135:K197" si="41">J135+L135</f>
        <v>6</v>
      </c>
      <c r="L135" s="346">
        <v>1</v>
      </c>
      <c r="M135" s="349">
        <v>4</v>
      </c>
      <c r="N135" s="255">
        <f t="shared" si="39"/>
        <v>1</v>
      </c>
      <c r="O135" s="310">
        <v>60</v>
      </c>
      <c r="P135" s="66">
        <v>13</v>
      </c>
      <c r="Q135" s="66">
        <v>1</v>
      </c>
      <c r="R135" s="66">
        <v>10</v>
      </c>
      <c r="S135" s="66">
        <v>30</v>
      </c>
      <c r="T135" s="66">
        <v>15</v>
      </c>
      <c r="U135" s="66">
        <v>5</v>
      </c>
      <c r="V135" s="66">
        <v>0</v>
      </c>
      <c r="W135" s="54">
        <v>0</v>
      </c>
      <c r="X135" s="55">
        <f>SUMIFS(Таблица3[Кол-во квартир],Таблица3[Адрес МКД],$D135)</f>
        <v>45</v>
      </c>
      <c r="Y135" s="56">
        <f t="shared" si="30"/>
        <v>5862.8499999999995</v>
      </c>
      <c r="Z135" s="253">
        <f>SUMIFS(Таблица3[Площадь жилая],Таблица3[Адрес МКД],$D135)</f>
        <v>2930.95</v>
      </c>
      <c r="AA135" s="261">
        <f>SUMIFS(Таблица3[Площадь нежилых помещений],Таблица3[Адрес МКД],$D135)</f>
        <v>857.4</v>
      </c>
      <c r="AB135" s="252">
        <f>SUMIFS(Таблица1[1],Таблица1[2],$D135)</f>
        <v>903.69999999999993</v>
      </c>
      <c r="AC135" s="57">
        <f t="shared" si="35"/>
        <v>857.4</v>
      </c>
      <c r="AD135" s="57">
        <f t="shared" si="36"/>
        <v>46.3</v>
      </c>
      <c r="AE135" s="58">
        <f>SUMIFS(Таблица1[8],Таблица1[2],$D135)+SUMIFS(Таблица1[18],Таблица1[2],$D135)</f>
        <v>857.4</v>
      </c>
      <c r="AF135" s="58">
        <f>SUMIFS(Таблица1[9],Таблица1[2],$D135)+SUMIFS(Таблица1[19],Таблица1[2],$D135)</f>
        <v>0</v>
      </c>
      <c r="AG135" s="59">
        <f t="shared" si="37"/>
        <v>2028.1999999999998</v>
      </c>
      <c r="AH135" s="59">
        <f t="shared" si="38"/>
        <v>2074.5</v>
      </c>
      <c r="AI135" s="60">
        <f>770.5-AM135</f>
        <v>770.5</v>
      </c>
      <c r="AJ135" s="60">
        <f t="shared" si="31"/>
        <v>724.2</v>
      </c>
      <c r="AK135" s="60">
        <f>SUMIFS(Таблица1[10],Таблица1[2],$D135)</f>
        <v>0</v>
      </c>
      <c r="AL135" s="60">
        <f>SUMIFS(Таблица1[11],Таблица1[2],$D135)</f>
        <v>46.3</v>
      </c>
      <c r="AM135" s="251">
        <v>0</v>
      </c>
      <c r="AN135" s="249">
        <f t="shared" si="32"/>
        <v>0</v>
      </c>
      <c r="AO135" s="249">
        <f>SUMIFS(Таблица1[12],Таблица1[2],$D135)</f>
        <v>0</v>
      </c>
      <c r="AP135" s="249">
        <f>SUMIFS(Таблица1[13],Таблица1[2],$D135)</f>
        <v>0</v>
      </c>
      <c r="AQ135" s="61">
        <v>370.9</v>
      </c>
      <c r="AR135" s="61">
        <f t="shared" si="33"/>
        <v>370.9</v>
      </c>
      <c r="AS135" s="60">
        <f>SUMIFS(Таблица1[14],Таблица1[2],$D135)</f>
        <v>0</v>
      </c>
      <c r="AT135" s="60">
        <f>SUMIFS(Таблица1[15],Таблица1[2],$D135)</f>
        <v>0</v>
      </c>
      <c r="AU135" s="61">
        <v>933.1</v>
      </c>
      <c r="AV135" s="61">
        <f t="shared" si="34"/>
        <v>933.1</v>
      </c>
      <c r="AW135" s="60">
        <f>SUMIFS(Таблица1[16],Таблица1[2],$D135)</f>
        <v>0</v>
      </c>
      <c r="AX135" s="60">
        <f>SUMIFS(Таблица1[17],Таблица1[2],$D135)</f>
        <v>0</v>
      </c>
      <c r="AY135" s="263"/>
      <c r="AZ135" s="264"/>
      <c r="BA135" s="296">
        <v>0</v>
      </c>
      <c r="BB135" s="296">
        <f t="shared" si="28"/>
        <v>0</v>
      </c>
      <c r="BC135" s="296">
        <v>0</v>
      </c>
      <c r="BD135" s="296">
        <v>0</v>
      </c>
      <c r="BE135" s="285"/>
      <c r="BF135" s="259">
        <v>2602</v>
      </c>
      <c r="BG135" s="260">
        <v>16880</v>
      </c>
      <c r="BH135" s="62" t="s">
        <v>936</v>
      </c>
      <c r="BI135" s="62" t="s">
        <v>935</v>
      </c>
      <c r="BJ135" s="62"/>
      <c r="BK135" s="267"/>
      <c r="BL135" s="267"/>
      <c r="BM135" s="267" t="s">
        <v>1649</v>
      </c>
      <c r="BN135" s="268"/>
      <c r="BO135" s="62">
        <v>13</v>
      </c>
      <c r="BP135" s="63">
        <v>29878</v>
      </c>
      <c r="BQ135" s="64" t="s">
        <v>1131</v>
      </c>
      <c r="BR135" s="372" t="s">
        <v>2747</v>
      </c>
      <c r="BS135" s="62"/>
      <c r="BT135" s="323"/>
      <c r="BU135" s="62"/>
      <c r="BV135" s="323"/>
      <c r="BW135" s="62"/>
      <c r="BX135" s="336"/>
      <c r="BY135" s="336"/>
    </row>
    <row r="136" spans="1:77" ht="13.15" hidden="1" customHeight="1" outlineLevel="1" x14ac:dyDescent="0.2">
      <c r="A136" s="50">
        <f t="shared" si="40"/>
        <v>131</v>
      </c>
      <c r="B136" s="51">
        <v>36</v>
      </c>
      <c r="C136" s="51">
        <v>42</v>
      </c>
      <c r="D136" s="18" t="s">
        <v>461</v>
      </c>
      <c r="E136" s="18">
        <v>10</v>
      </c>
      <c r="F136" s="18">
        <v>2</v>
      </c>
      <c r="G136" s="52">
        <v>1</v>
      </c>
      <c r="H136" s="237">
        <v>1</v>
      </c>
      <c r="I136" s="53">
        <v>1954</v>
      </c>
      <c r="J136" s="348">
        <v>5</v>
      </c>
      <c r="K136" s="346">
        <f t="shared" si="41"/>
        <v>6</v>
      </c>
      <c r="L136" s="346">
        <v>1</v>
      </c>
      <c r="M136" s="349">
        <v>2</v>
      </c>
      <c r="N136" s="255">
        <f t="shared" si="39"/>
        <v>2</v>
      </c>
      <c r="O136" s="310">
        <v>40</v>
      </c>
      <c r="P136" s="66">
        <v>5</v>
      </c>
      <c r="Q136" s="66"/>
      <c r="R136" s="66">
        <v>0</v>
      </c>
      <c r="S136" s="66">
        <v>30</v>
      </c>
      <c r="T136" s="66">
        <v>10</v>
      </c>
      <c r="U136" s="66">
        <v>0</v>
      </c>
      <c r="V136" s="66">
        <v>0</v>
      </c>
      <c r="W136" s="54">
        <v>0</v>
      </c>
      <c r="X136" s="55">
        <f>SUMIFS(Таблица3[Кол-во квартир],Таблица3[Адрес МКД],$D136)</f>
        <v>33</v>
      </c>
      <c r="Y136" s="56">
        <f t="shared" si="30"/>
        <v>3538.7000000000003</v>
      </c>
      <c r="Z136" s="253">
        <f>SUMIFS(Таблица3[Площадь жилая],Таблица3[Адрес МКД],$D136)</f>
        <v>2071.9</v>
      </c>
      <c r="AA136" s="261">
        <f>SUMIFS(Таблица3[Площадь нежилых помещений],Таблица3[Адрес МКД],$D136)</f>
        <v>545.4</v>
      </c>
      <c r="AB136" s="252">
        <f>SUMIFS(Таблица1[1],Таблица1[2],$D136)</f>
        <v>545.4</v>
      </c>
      <c r="AC136" s="57">
        <f t="shared" si="35"/>
        <v>545.4</v>
      </c>
      <c r="AD136" s="57">
        <f t="shared" si="36"/>
        <v>0</v>
      </c>
      <c r="AE136" s="58">
        <f>SUMIFS(Таблица1[8],Таблица1[2],$D136)+SUMIFS(Таблица1[18],Таблица1[2],$D136)</f>
        <v>303</v>
      </c>
      <c r="AF136" s="58">
        <f>SUMIFS(Таблица1[9],Таблица1[2],$D136)+SUMIFS(Таблица1[19],Таблица1[2],$D136)</f>
        <v>0</v>
      </c>
      <c r="AG136" s="59">
        <f t="shared" si="37"/>
        <v>921.4</v>
      </c>
      <c r="AH136" s="59">
        <f t="shared" si="38"/>
        <v>921.4</v>
      </c>
      <c r="AI136" s="60">
        <f>343.4-AM136</f>
        <v>100.99999999999997</v>
      </c>
      <c r="AJ136" s="60">
        <f t="shared" si="31"/>
        <v>100.99999999999997</v>
      </c>
      <c r="AK136" s="60">
        <f>SUMIFS(Таблица1[10],Таблица1[2],$D136)</f>
        <v>0</v>
      </c>
      <c r="AL136" s="60">
        <f>SUMIFS(Таблица1[11],Таблица1[2],$D136)</f>
        <v>0</v>
      </c>
      <c r="AM136" s="251">
        <f>242.4</f>
        <v>242.4</v>
      </c>
      <c r="AN136" s="249">
        <f t="shared" si="32"/>
        <v>0</v>
      </c>
      <c r="AO136" s="249">
        <f>SUMIFS(Таблица1[12],Таблица1[2],$D136)</f>
        <v>242.4</v>
      </c>
      <c r="AP136" s="249">
        <f>SUMIFS(Таблица1[13],Таблица1[2],$D136)</f>
        <v>0</v>
      </c>
      <c r="AQ136" s="61">
        <v>252.4</v>
      </c>
      <c r="AR136" s="61">
        <f t="shared" si="33"/>
        <v>252.4</v>
      </c>
      <c r="AS136" s="60">
        <f>SUMIFS(Таблица1[14],Таблица1[2],$D136)</f>
        <v>0</v>
      </c>
      <c r="AT136" s="60">
        <f>SUMIFS(Таблица1[15],Таблица1[2],$D136)</f>
        <v>0</v>
      </c>
      <c r="AU136" s="61">
        <v>568</v>
      </c>
      <c r="AV136" s="61">
        <f t="shared" si="34"/>
        <v>568</v>
      </c>
      <c r="AW136" s="60">
        <f>SUMIFS(Таблица1[16],Таблица1[2],$D136)</f>
        <v>0</v>
      </c>
      <c r="AX136" s="60">
        <f>SUMIFS(Таблица1[17],Таблица1[2],$D136)</f>
        <v>0</v>
      </c>
      <c r="AY136" s="263"/>
      <c r="AZ136" s="264"/>
      <c r="BA136" s="296">
        <v>0</v>
      </c>
      <c r="BB136" s="296">
        <f t="shared" si="28"/>
        <v>0</v>
      </c>
      <c r="BC136" s="296">
        <v>0</v>
      </c>
      <c r="BD136" s="296">
        <v>0</v>
      </c>
      <c r="BE136" s="285"/>
      <c r="BF136" s="259">
        <v>1531</v>
      </c>
      <c r="BG136" s="260">
        <f>10457</f>
        <v>10457</v>
      </c>
      <c r="BH136" s="62" t="s">
        <v>936</v>
      </c>
      <c r="BI136" s="62" t="s">
        <v>935</v>
      </c>
      <c r="BJ136" s="62"/>
      <c r="BK136" s="267"/>
      <c r="BL136" s="267"/>
      <c r="BM136" s="267" t="s">
        <v>1649</v>
      </c>
      <c r="BN136" s="268"/>
      <c r="BO136" s="62">
        <v>31</v>
      </c>
      <c r="BP136" s="63">
        <v>32112</v>
      </c>
      <c r="BQ136" s="64" t="s">
        <v>1131</v>
      </c>
      <c r="BR136" s="372" t="s">
        <v>2747</v>
      </c>
      <c r="BS136" s="62"/>
      <c r="BT136" s="323"/>
      <c r="BU136" s="62"/>
      <c r="BV136" s="323"/>
      <c r="BW136" s="62"/>
      <c r="BX136" s="336"/>
      <c r="BY136" s="336"/>
    </row>
    <row r="137" spans="1:77" ht="13.15" hidden="1" customHeight="1" outlineLevel="1" x14ac:dyDescent="0.2">
      <c r="A137" s="50">
        <f t="shared" si="40"/>
        <v>132</v>
      </c>
      <c r="B137" s="51">
        <v>3</v>
      </c>
      <c r="C137" s="51">
        <v>51</v>
      </c>
      <c r="D137" s="18" t="s">
        <v>663</v>
      </c>
      <c r="E137" s="18">
        <v>16</v>
      </c>
      <c r="F137" s="18">
        <v>4</v>
      </c>
      <c r="G137" s="52">
        <v>1</v>
      </c>
      <c r="H137" s="237">
        <v>1</v>
      </c>
      <c r="I137" s="53">
        <v>1972</v>
      </c>
      <c r="J137" s="348">
        <v>5</v>
      </c>
      <c r="K137" s="346">
        <f t="shared" si="41"/>
        <v>6</v>
      </c>
      <c r="L137" s="346">
        <v>1</v>
      </c>
      <c r="M137" s="349">
        <v>4</v>
      </c>
      <c r="N137" s="255">
        <f t="shared" si="39"/>
        <v>0</v>
      </c>
      <c r="O137" s="310">
        <v>56</v>
      </c>
      <c r="P137" s="66">
        <v>0</v>
      </c>
      <c r="Q137" s="66"/>
      <c r="R137" s="66">
        <v>16</v>
      </c>
      <c r="S137" s="66">
        <v>8</v>
      </c>
      <c r="T137" s="66">
        <v>24</v>
      </c>
      <c r="U137" s="66">
        <v>8</v>
      </c>
      <c r="V137" s="66">
        <v>0</v>
      </c>
      <c r="W137" s="54">
        <v>0</v>
      </c>
      <c r="X137" s="55">
        <f>SUMIFS(Таблица3[Кол-во квартир],Таблица3[Адрес МКД],$D137)</f>
        <v>56</v>
      </c>
      <c r="Y137" s="56">
        <f t="shared" si="30"/>
        <v>5585.7999999999993</v>
      </c>
      <c r="Z137" s="253">
        <f>SUMIFS(Таблица3[Площадь жилая],Таблица3[Адрес МКД],$D137)</f>
        <v>2744.5</v>
      </c>
      <c r="AA137" s="261">
        <f>SUMIFS(Таблица3[Площадь нежилых помещений],Таблица3[Адрес МКД],$D137)</f>
        <v>1422.2</v>
      </c>
      <c r="AB137" s="252">
        <f>SUMIFS(Таблица1[1],Таблица1[2],$D137)</f>
        <v>1422.2</v>
      </c>
      <c r="AC137" s="57">
        <f t="shared" si="35"/>
        <v>1422.2</v>
      </c>
      <c r="AD137" s="57">
        <f t="shared" si="36"/>
        <v>0</v>
      </c>
      <c r="AE137" s="58">
        <f>SUMIFS(Таблица1[8],Таблица1[2],$D137)+SUMIFS(Таблица1[18],Таблица1[2],$D137)</f>
        <v>968.90000000000009</v>
      </c>
      <c r="AF137" s="58">
        <f>SUMIFS(Таблица1[9],Таблица1[2],$D137)+SUMIFS(Таблица1[19],Таблица1[2],$D137)</f>
        <v>0</v>
      </c>
      <c r="AG137" s="59">
        <f t="shared" si="37"/>
        <v>1419.1</v>
      </c>
      <c r="AH137" s="59">
        <f t="shared" si="38"/>
        <v>1419.1</v>
      </c>
      <c r="AI137" s="60">
        <f>742.6-AM137</f>
        <v>742.6</v>
      </c>
      <c r="AJ137" s="60">
        <f t="shared" si="31"/>
        <v>289.3</v>
      </c>
      <c r="AK137" s="60">
        <f>SUMIFS(Таблица1[10],Таблица1[2],$D137)</f>
        <v>453.3</v>
      </c>
      <c r="AL137" s="60">
        <f>SUMIFS(Таблица1[11],Таблица1[2],$D137)</f>
        <v>0</v>
      </c>
      <c r="AM137" s="251">
        <v>0</v>
      </c>
      <c r="AN137" s="249">
        <f t="shared" si="32"/>
        <v>0</v>
      </c>
      <c r="AO137" s="249">
        <f>SUMIFS(Таблица1[12],Таблица1[2],$D137)</f>
        <v>0</v>
      </c>
      <c r="AP137" s="249">
        <f>SUMIFS(Таблица1[13],Таблица1[2],$D137)</f>
        <v>0</v>
      </c>
      <c r="AQ137" s="61">
        <v>327.3</v>
      </c>
      <c r="AR137" s="61">
        <f t="shared" si="33"/>
        <v>327.3</v>
      </c>
      <c r="AS137" s="60">
        <f>SUMIFS(Таблица1[14],Таблица1[2],$D137)</f>
        <v>0</v>
      </c>
      <c r="AT137" s="60">
        <f>SUMIFS(Таблица1[15],Таблица1[2],$D137)</f>
        <v>0</v>
      </c>
      <c r="AU137" s="61">
        <v>802.5</v>
      </c>
      <c r="AV137" s="61">
        <f t="shared" si="34"/>
        <v>802.5</v>
      </c>
      <c r="AW137" s="60">
        <f>SUMIFS(Таблица1[16],Таблица1[2],$D137)</f>
        <v>0</v>
      </c>
      <c r="AX137" s="60">
        <f>SUMIFS(Таблица1[17],Таблица1[2],$D137)</f>
        <v>0</v>
      </c>
      <c r="AY137" s="263"/>
      <c r="AZ137" s="264"/>
      <c r="BA137" s="296">
        <v>0</v>
      </c>
      <c r="BB137" s="296">
        <f t="shared" si="28"/>
        <v>0</v>
      </c>
      <c r="BC137" s="296">
        <v>0</v>
      </c>
      <c r="BD137" s="296">
        <v>0</v>
      </c>
      <c r="BE137" s="285"/>
      <c r="BF137" s="259">
        <v>2651</v>
      </c>
      <c r="BG137" s="260">
        <f>13744+407+885</f>
        <v>15036</v>
      </c>
      <c r="BH137" s="62" t="s">
        <v>2598</v>
      </c>
      <c r="BI137" s="62" t="s">
        <v>935</v>
      </c>
      <c r="BJ137" s="62" t="s">
        <v>2723</v>
      </c>
      <c r="BK137" s="267"/>
      <c r="BL137" s="267" t="s">
        <v>1649</v>
      </c>
      <c r="BM137" s="267"/>
      <c r="BN137" s="268"/>
      <c r="BO137" s="62">
        <v>6</v>
      </c>
      <c r="BP137" s="63">
        <v>30831</v>
      </c>
      <c r="BQ137" s="64" t="s">
        <v>2597</v>
      </c>
      <c r="BR137" s="372" t="s">
        <v>2747</v>
      </c>
      <c r="BS137" s="62"/>
      <c r="BT137" s="323"/>
      <c r="BU137" s="62"/>
      <c r="BV137" s="323"/>
      <c r="BW137" s="62"/>
      <c r="BX137" s="336"/>
      <c r="BY137" s="336"/>
    </row>
    <row r="138" spans="1:77" ht="13.15" hidden="1" customHeight="1" outlineLevel="1" x14ac:dyDescent="0.2">
      <c r="A138" s="50">
        <f t="shared" si="40"/>
        <v>133</v>
      </c>
      <c r="B138" s="51">
        <v>4</v>
      </c>
      <c r="C138" s="51">
        <v>52</v>
      </c>
      <c r="D138" s="18" t="s">
        <v>664</v>
      </c>
      <c r="E138" s="18">
        <v>16</v>
      </c>
      <c r="F138" s="18">
        <v>4</v>
      </c>
      <c r="G138" s="52">
        <v>1</v>
      </c>
      <c r="H138" s="237">
        <v>1</v>
      </c>
      <c r="I138" s="53">
        <v>1958</v>
      </c>
      <c r="J138" s="348">
        <v>5</v>
      </c>
      <c r="K138" s="346">
        <f t="shared" si="41"/>
        <v>6</v>
      </c>
      <c r="L138" s="346">
        <v>1</v>
      </c>
      <c r="M138" s="349">
        <v>2</v>
      </c>
      <c r="N138" s="255">
        <f t="shared" si="39"/>
        <v>0</v>
      </c>
      <c r="O138" s="310">
        <v>30</v>
      </c>
      <c r="P138" s="66">
        <v>0</v>
      </c>
      <c r="Q138" s="66"/>
      <c r="R138" s="66">
        <v>10</v>
      </c>
      <c r="S138" s="66">
        <v>10</v>
      </c>
      <c r="T138" s="66">
        <v>10</v>
      </c>
      <c r="U138" s="66">
        <v>0</v>
      </c>
      <c r="V138" s="66">
        <v>0</v>
      </c>
      <c r="W138" s="54">
        <v>0</v>
      </c>
      <c r="X138" s="55">
        <f>SUMIFS(Таблица3[Кол-во квартир],Таблица3[Адрес МКД],$D138)</f>
        <v>30</v>
      </c>
      <c r="Y138" s="56">
        <f t="shared" si="30"/>
        <v>2623.7</v>
      </c>
      <c r="Z138" s="253">
        <f>SUMIFS(Таблица3[Площадь жилая],Таблица3[Адрес МКД],$D138)</f>
        <v>1682.6</v>
      </c>
      <c r="AA138" s="261">
        <f>SUMIFS(Таблица3[Площадь нежилых помещений],Таблица3[Адрес МКД],$D138)</f>
        <v>0</v>
      </c>
      <c r="AB138" s="252">
        <f>SUMIFS(Таблица1[1],Таблица1[2],$D138)</f>
        <v>0</v>
      </c>
      <c r="AC138" s="57">
        <f t="shared" si="35"/>
        <v>0</v>
      </c>
      <c r="AD138" s="57">
        <f t="shared" si="36"/>
        <v>0</v>
      </c>
      <c r="AE138" s="58">
        <f>SUMIFS(Таблица1[8],Таблица1[2],$D138)+SUMIFS(Таблица1[18],Таблица1[2],$D138)</f>
        <v>0</v>
      </c>
      <c r="AF138" s="58">
        <f>SUMIFS(Таблица1[9],Таблица1[2],$D138)+SUMIFS(Таблица1[19],Таблица1[2],$D138)</f>
        <v>0</v>
      </c>
      <c r="AG138" s="59">
        <f t="shared" si="37"/>
        <v>941.1</v>
      </c>
      <c r="AH138" s="59">
        <f t="shared" si="38"/>
        <v>941.1</v>
      </c>
      <c r="AI138" s="60">
        <f>343.6-AM138</f>
        <v>343.6</v>
      </c>
      <c r="AJ138" s="60">
        <f t="shared" si="31"/>
        <v>343.6</v>
      </c>
      <c r="AK138" s="60">
        <f>SUMIFS(Таблица1[10],Таблица1[2],$D138)</f>
        <v>0</v>
      </c>
      <c r="AL138" s="60">
        <f>SUMIFS(Таблица1[11],Таблица1[2],$D138)</f>
        <v>0</v>
      </c>
      <c r="AM138" s="251">
        <v>0</v>
      </c>
      <c r="AN138" s="249">
        <f t="shared" si="32"/>
        <v>0</v>
      </c>
      <c r="AO138" s="249">
        <f>SUMIFS(Таблица1[12],Таблица1[2],$D138)</f>
        <v>0</v>
      </c>
      <c r="AP138" s="249">
        <f>SUMIFS(Таблица1[13],Таблица1[2],$D138)</f>
        <v>0</v>
      </c>
      <c r="AQ138" s="61">
        <v>189.5</v>
      </c>
      <c r="AR138" s="61">
        <f t="shared" si="33"/>
        <v>189.5</v>
      </c>
      <c r="AS138" s="60">
        <f>SUMIFS(Таблица1[14],Таблица1[2],$D138)</f>
        <v>0</v>
      </c>
      <c r="AT138" s="60">
        <f>SUMIFS(Таблица1[15],Таблица1[2],$D138)</f>
        <v>0</v>
      </c>
      <c r="AU138" s="61">
        <v>408</v>
      </c>
      <c r="AV138" s="61">
        <f t="shared" si="34"/>
        <v>408</v>
      </c>
      <c r="AW138" s="60">
        <f>SUMIFS(Таблица1[16],Таблица1[2],$D138)</f>
        <v>0</v>
      </c>
      <c r="AX138" s="60">
        <f>SUMIFS(Таблица1[17],Таблица1[2],$D138)</f>
        <v>0</v>
      </c>
      <c r="AY138" s="263"/>
      <c r="AZ138" s="264"/>
      <c r="BA138" s="296">
        <v>0</v>
      </c>
      <c r="BB138" s="296">
        <f t="shared" si="28"/>
        <v>0</v>
      </c>
      <c r="BC138" s="296">
        <v>0</v>
      </c>
      <c r="BD138" s="296">
        <v>0</v>
      </c>
      <c r="BE138" s="285"/>
      <c r="BF138" s="259">
        <v>1211</v>
      </c>
      <c r="BG138" s="260">
        <v>7656</v>
      </c>
      <c r="BH138" s="62" t="s">
        <v>936</v>
      </c>
      <c r="BI138" s="62" t="s">
        <v>935</v>
      </c>
      <c r="BJ138" s="62"/>
      <c r="BK138" s="267"/>
      <c r="BL138" s="267"/>
      <c r="BM138" s="267" t="s">
        <v>1649</v>
      </c>
      <c r="BN138" s="268"/>
      <c r="BO138" s="62">
        <v>27</v>
      </c>
      <c r="BP138" s="63">
        <v>33164</v>
      </c>
      <c r="BQ138" s="64" t="s">
        <v>1131</v>
      </c>
      <c r="BR138" s="372" t="s">
        <v>2747</v>
      </c>
      <c r="BS138" s="62"/>
      <c r="BT138" s="323"/>
      <c r="BU138" s="62"/>
      <c r="BV138" s="323"/>
      <c r="BW138" s="62"/>
      <c r="BX138" s="336"/>
      <c r="BY138" s="336"/>
    </row>
    <row r="139" spans="1:77" ht="13.15" hidden="1" customHeight="1" outlineLevel="1" x14ac:dyDescent="0.2">
      <c r="A139" s="50">
        <f t="shared" si="40"/>
        <v>134</v>
      </c>
      <c r="B139" s="51">
        <v>37</v>
      </c>
      <c r="C139" s="51">
        <v>43</v>
      </c>
      <c r="D139" s="18" t="s">
        <v>462</v>
      </c>
      <c r="E139" s="18">
        <v>10</v>
      </c>
      <c r="F139" s="18">
        <v>2</v>
      </c>
      <c r="G139" s="52">
        <v>1</v>
      </c>
      <c r="H139" s="237">
        <v>1</v>
      </c>
      <c r="I139" s="53">
        <v>1955</v>
      </c>
      <c r="J139" s="348">
        <v>5</v>
      </c>
      <c r="K139" s="346">
        <f t="shared" si="41"/>
        <v>6</v>
      </c>
      <c r="L139" s="346">
        <v>1</v>
      </c>
      <c r="M139" s="349">
        <v>4</v>
      </c>
      <c r="N139" s="255">
        <f t="shared" si="39"/>
        <v>2</v>
      </c>
      <c r="O139" s="310">
        <v>69</v>
      </c>
      <c r="P139" s="66">
        <v>8</v>
      </c>
      <c r="Q139" s="66"/>
      <c r="R139" s="66">
        <v>2</v>
      </c>
      <c r="S139" s="66">
        <v>38</v>
      </c>
      <c r="T139" s="66">
        <v>26</v>
      </c>
      <c r="U139" s="66">
        <v>3</v>
      </c>
      <c r="V139" s="66">
        <v>0</v>
      </c>
      <c r="W139" s="54">
        <v>0</v>
      </c>
      <c r="X139" s="55">
        <f>SUMIFS(Таблица3[Кол-во квартир],Таблица3[Адрес МКД],$D139)</f>
        <v>59</v>
      </c>
      <c r="Y139" s="56">
        <f t="shared" si="30"/>
        <v>7588.4000000000005</v>
      </c>
      <c r="Z139" s="253">
        <f>SUMIFS(Таблица3[Площадь жилая],Таблица3[Адрес МКД],$D139)</f>
        <v>3901.4</v>
      </c>
      <c r="AA139" s="261">
        <f>SUMIFS(Таблица3[Площадь нежилых помещений],Таблица3[Адрес МКД],$D139)</f>
        <v>1799.8</v>
      </c>
      <c r="AB139" s="252">
        <f>SUMIFS(Таблица1[1],Таблица1[2],$D139)</f>
        <v>1799.8000000000002</v>
      </c>
      <c r="AC139" s="57">
        <f t="shared" si="35"/>
        <v>1799.8000000000002</v>
      </c>
      <c r="AD139" s="57">
        <f t="shared" si="36"/>
        <v>0</v>
      </c>
      <c r="AE139" s="58">
        <f>SUMIFS(Таблица1[8],Таблица1[2],$D139)+SUMIFS(Таблица1[18],Таблица1[2],$D139)</f>
        <v>1148.2</v>
      </c>
      <c r="AF139" s="58">
        <f>SUMIFS(Таблица1[9],Таблица1[2],$D139)+SUMIFS(Таблица1[19],Таблица1[2],$D139)</f>
        <v>0</v>
      </c>
      <c r="AG139" s="59">
        <f t="shared" si="37"/>
        <v>1887.1999999999998</v>
      </c>
      <c r="AH139" s="59">
        <f t="shared" si="38"/>
        <v>1887.1999999999998</v>
      </c>
      <c r="AI139" s="60">
        <f>847.4-AM139</f>
        <v>448.79999999999995</v>
      </c>
      <c r="AJ139" s="60">
        <f t="shared" si="31"/>
        <v>195.79999999999995</v>
      </c>
      <c r="AK139" s="60">
        <f>SUMIFS(Таблица1[10],Таблица1[2],$D139)</f>
        <v>253</v>
      </c>
      <c r="AL139" s="60">
        <f>SUMIFS(Таблица1[11],Таблица1[2],$D139)</f>
        <v>0</v>
      </c>
      <c r="AM139" s="251">
        <f>398.6</f>
        <v>398.6</v>
      </c>
      <c r="AN139" s="249">
        <f t="shared" si="32"/>
        <v>0</v>
      </c>
      <c r="AO139" s="249">
        <f>SUMIFS(Таблица1[12],Таблица1[2],$D139)</f>
        <v>398.6</v>
      </c>
      <c r="AP139" s="249">
        <f>SUMIFS(Таблица1[13],Таблица1[2],$D139)</f>
        <v>0</v>
      </c>
      <c r="AQ139" s="61">
        <v>481.4</v>
      </c>
      <c r="AR139" s="61">
        <f t="shared" si="33"/>
        <v>481.4</v>
      </c>
      <c r="AS139" s="60">
        <f>SUMIFS(Таблица1[14],Таблица1[2],$D139)</f>
        <v>0</v>
      </c>
      <c r="AT139" s="60">
        <f>SUMIFS(Таблица1[15],Таблица1[2],$D139)</f>
        <v>0</v>
      </c>
      <c r="AU139" s="61">
        <v>1210</v>
      </c>
      <c r="AV139" s="61">
        <f t="shared" si="34"/>
        <v>1210</v>
      </c>
      <c r="AW139" s="60">
        <f>SUMIFS(Таблица1[16],Таблица1[2],$D139)</f>
        <v>0</v>
      </c>
      <c r="AX139" s="60">
        <f>SUMIFS(Таблица1[17],Таблица1[2],$D139)</f>
        <v>0</v>
      </c>
      <c r="AY139" s="263"/>
      <c r="AZ139" s="264"/>
      <c r="BA139" s="296">
        <v>0</v>
      </c>
      <c r="BB139" s="296">
        <f t="shared" si="28"/>
        <v>0</v>
      </c>
      <c r="BC139" s="296">
        <v>0</v>
      </c>
      <c r="BD139" s="296">
        <v>0</v>
      </c>
      <c r="BE139" s="285"/>
      <c r="BF139" s="259">
        <v>3545</v>
      </c>
      <c r="BG139" s="260">
        <f>9334+8890+4236</f>
        <v>22460</v>
      </c>
      <c r="BH139" s="62" t="s">
        <v>936</v>
      </c>
      <c r="BI139" s="62" t="s">
        <v>935</v>
      </c>
      <c r="BJ139" s="62"/>
      <c r="BK139" s="267"/>
      <c r="BL139" s="267"/>
      <c r="BM139" s="267" t="s">
        <v>1649</v>
      </c>
      <c r="BN139" s="268"/>
      <c r="BO139" s="62">
        <v>27</v>
      </c>
      <c r="BP139" s="63">
        <v>28702</v>
      </c>
      <c r="BQ139" s="64" t="s">
        <v>1131</v>
      </c>
      <c r="BR139" s="372" t="s">
        <v>2747</v>
      </c>
      <c r="BS139" s="62"/>
      <c r="BT139" s="323"/>
      <c r="BU139" s="62"/>
      <c r="BV139" s="323"/>
      <c r="BW139" s="62"/>
      <c r="BX139" s="336"/>
      <c r="BY139" s="336"/>
    </row>
    <row r="140" spans="1:77" ht="13.15" hidden="1" customHeight="1" outlineLevel="1" x14ac:dyDescent="0.2">
      <c r="A140" s="50">
        <f t="shared" si="40"/>
        <v>135</v>
      </c>
      <c r="B140" s="51">
        <v>38</v>
      </c>
      <c r="C140" s="51">
        <v>44</v>
      </c>
      <c r="D140" s="18" t="s">
        <v>463</v>
      </c>
      <c r="E140" s="18">
        <v>10</v>
      </c>
      <c r="F140" s="18">
        <v>2</v>
      </c>
      <c r="G140" s="52">
        <v>1</v>
      </c>
      <c r="H140" s="237">
        <v>1</v>
      </c>
      <c r="I140" s="53">
        <v>1954</v>
      </c>
      <c r="J140" s="348">
        <v>4</v>
      </c>
      <c r="K140" s="346">
        <f t="shared" si="41"/>
        <v>5</v>
      </c>
      <c r="L140" s="346">
        <v>1</v>
      </c>
      <c r="M140" s="349">
        <v>2</v>
      </c>
      <c r="N140" s="255">
        <f t="shared" si="39"/>
        <v>2</v>
      </c>
      <c r="O140" s="310">
        <v>32</v>
      </c>
      <c r="P140" s="66">
        <v>0</v>
      </c>
      <c r="Q140" s="66"/>
      <c r="R140" s="66">
        <v>2</v>
      </c>
      <c r="S140" s="66">
        <v>22</v>
      </c>
      <c r="T140" s="66">
        <v>8</v>
      </c>
      <c r="U140" s="66">
        <v>0</v>
      </c>
      <c r="V140" s="66">
        <v>0</v>
      </c>
      <c r="W140" s="54">
        <v>0</v>
      </c>
      <c r="X140" s="55">
        <f>SUMIFS(Таблица3[Кол-во квартир],Таблица3[Адрес МКД],$D140)</f>
        <v>30</v>
      </c>
      <c r="Y140" s="56">
        <f t="shared" si="30"/>
        <v>3191.1</v>
      </c>
      <c r="Z140" s="253">
        <f>SUMIFS(Таблица3[Площадь жилая],Таблица3[Адрес МКД],$D140)</f>
        <v>1900.1</v>
      </c>
      <c r="AA140" s="261">
        <f>SUMIFS(Таблица3[Площадь нежилых помещений],Таблица3[Адрес МКД],$D140)</f>
        <v>147</v>
      </c>
      <c r="AB140" s="252">
        <f>SUMIFS(Таблица1[1],Таблица1[2],$D140)</f>
        <v>147</v>
      </c>
      <c r="AC140" s="57">
        <f t="shared" si="35"/>
        <v>147</v>
      </c>
      <c r="AD140" s="57">
        <f t="shared" si="36"/>
        <v>0</v>
      </c>
      <c r="AE140" s="58">
        <f>SUMIFS(Таблица1[8],Таблица1[2],$D140)+SUMIFS(Таблица1[18],Таблица1[2],$D140)</f>
        <v>0</v>
      </c>
      <c r="AF140" s="58">
        <f>SUMIFS(Таблица1[9],Таблица1[2],$D140)+SUMIFS(Таблица1[19],Таблица1[2],$D140)</f>
        <v>0</v>
      </c>
      <c r="AG140" s="59">
        <f t="shared" si="37"/>
        <v>1144</v>
      </c>
      <c r="AH140" s="59">
        <f t="shared" si="38"/>
        <v>1144</v>
      </c>
      <c r="AI140" s="60">
        <f>458-AM140</f>
        <v>311</v>
      </c>
      <c r="AJ140" s="60">
        <f t="shared" si="31"/>
        <v>311</v>
      </c>
      <c r="AK140" s="60">
        <f>SUMIFS(Таблица1[10],Таблица1[2],$D140)</f>
        <v>0</v>
      </c>
      <c r="AL140" s="60">
        <f>SUMIFS(Таблица1[11],Таблица1[2],$D140)</f>
        <v>0</v>
      </c>
      <c r="AM140" s="251">
        <f>147</f>
        <v>147</v>
      </c>
      <c r="AN140" s="249">
        <f t="shared" si="32"/>
        <v>0</v>
      </c>
      <c r="AO140" s="249">
        <f>SUMIFS(Таблица1[12],Таблица1[2],$D140)</f>
        <v>147</v>
      </c>
      <c r="AP140" s="249">
        <f>SUMIFS(Таблица1[13],Таблица1[2],$D140)</f>
        <v>0</v>
      </c>
      <c r="AQ140" s="61">
        <v>240</v>
      </c>
      <c r="AR140" s="61">
        <f t="shared" si="33"/>
        <v>240</v>
      </c>
      <c r="AS140" s="60">
        <f>SUMIFS(Таблица1[14],Таблица1[2],$D140)</f>
        <v>0</v>
      </c>
      <c r="AT140" s="60">
        <f>SUMIFS(Таблица1[15],Таблица1[2],$D140)</f>
        <v>0</v>
      </c>
      <c r="AU140" s="61">
        <v>593</v>
      </c>
      <c r="AV140" s="61">
        <f t="shared" si="34"/>
        <v>593</v>
      </c>
      <c r="AW140" s="60">
        <f>SUMIFS(Таблица1[16],Таблица1[2],$D140)</f>
        <v>0</v>
      </c>
      <c r="AX140" s="60">
        <f>SUMIFS(Таблица1[17],Таблица1[2],$D140)</f>
        <v>0</v>
      </c>
      <c r="AY140" s="263"/>
      <c r="AZ140" s="264"/>
      <c r="BA140" s="296">
        <v>0</v>
      </c>
      <c r="BB140" s="296">
        <f t="shared" si="28"/>
        <v>0</v>
      </c>
      <c r="BC140" s="296">
        <v>0</v>
      </c>
      <c r="BD140" s="296">
        <v>0</v>
      </c>
      <c r="BE140" s="285"/>
      <c r="BF140" s="259">
        <v>1840</v>
      </c>
      <c r="BG140" s="260">
        <v>8591</v>
      </c>
      <c r="BH140" s="62" t="s">
        <v>936</v>
      </c>
      <c r="BI140" s="62" t="s">
        <v>935</v>
      </c>
      <c r="BJ140" s="62"/>
      <c r="BK140" s="267"/>
      <c r="BL140" s="267"/>
      <c r="BM140" s="267" t="s">
        <v>1649</v>
      </c>
      <c r="BN140" s="268"/>
      <c r="BO140" s="62">
        <v>33</v>
      </c>
      <c r="BP140" s="63">
        <v>32122</v>
      </c>
      <c r="BQ140" s="64" t="s">
        <v>1131</v>
      </c>
      <c r="BR140" s="372" t="s">
        <v>2747</v>
      </c>
      <c r="BS140" s="62"/>
      <c r="BT140" s="323"/>
      <c r="BU140" s="62"/>
      <c r="BV140" s="323"/>
      <c r="BW140" s="62"/>
      <c r="BX140" s="336"/>
      <c r="BY140" s="336"/>
    </row>
    <row r="141" spans="1:77" ht="13.15" hidden="1" customHeight="1" outlineLevel="1" x14ac:dyDescent="0.2">
      <c r="A141" s="50">
        <f t="shared" si="40"/>
        <v>136</v>
      </c>
      <c r="B141" s="51">
        <v>5</v>
      </c>
      <c r="C141" s="51">
        <v>53</v>
      </c>
      <c r="D141" s="18" t="s">
        <v>665</v>
      </c>
      <c r="E141" s="18">
        <v>16</v>
      </c>
      <c r="F141" s="18">
        <v>4</v>
      </c>
      <c r="G141" s="52">
        <v>1</v>
      </c>
      <c r="H141" s="237">
        <v>1</v>
      </c>
      <c r="I141" s="53">
        <v>1958</v>
      </c>
      <c r="J141" s="348">
        <v>5</v>
      </c>
      <c r="K141" s="346">
        <f t="shared" si="41"/>
        <v>6</v>
      </c>
      <c r="L141" s="346">
        <v>1</v>
      </c>
      <c r="M141" s="349">
        <v>4</v>
      </c>
      <c r="N141" s="255">
        <f t="shared" si="39"/>
        <v>0</v>
      </c>
      <c r="O141" s="310">
        <v>60</v>
      </c>
      <c r="P141" s="66">
        <v>12</v>
      </c>
      <c r="Q141" s="66"/>
      <c r="R141" s="66">
        <v>10</v>
      </c>
      <c r="S141" s="66">
        <v>30</v>
      </c>
      <c r="T141" s="66">
        <v>15</v>
      </c>
      <c r="U141" s="66">
        <v>5</v>
      </c>
      <c r="V141" s="66">
        <v>0</v>
      </c>
      <c r="W141" s="54">
        <v>0</v>
      </c>
      <c r="X141" s="55">
        <f>SUMIFS(Таблица3[Кол-во квартир],Таблица3[Адрес МКД],$D141)</f>
        <v>48</v>
      </c>
      <c r="Y141" s="56">
        <f t="shared" si="30"/>
        <v>5870.6</v>
      </c>
      <c r="Z141" s="253">
        <f>SUMIFS(Таблица3[Площадь жилая],Таблица3[Адрес МКД],$D141)</f>
        <v>3035.6</v>
      </c>
      <c r="AA141" s="261">
        <f>SUMIFS(Таблица3[Площадь нежилых помещений],Таблица3[Адрес МКД],$D141)</f>
        <v>743.1</v>
      </c>
      <c r="AB141" s="252">
        <f>SUMIFS(Таблица1[1],Таблица1[2],$D141)</f>
        <v>743.10000000000014</v>
      </c>
      <c r="AC141" s="57">
        <f t="shared" si="35"/>
        <v>743.10000000000014</v>
      </c>
      <c r="AD141" s="57">
        <f t="shared" si="36"/>
        <v>0</v>
      </c>
      <c r="AE141" s="58">
        <f>SUMIFS(Таблица1[8],Таблица1[2],$D141)+SUMIFS(Таблица1[18],Таблица1[2],$D141)</f>
        <v>743.10000000000014</v>
      </c>
      <c r="AF141" s="58">
        <f>SUMIFS(Таблица1[9],Таблица1[2],$D141)+SUMIFS(Таблица1[19],Таблица1[2],$D141)</f>
        <v>0</v>
      </c>
      <c r="AG141" s="59">
        <f t="shared" si="37"/>
        <v>2091.9</v>
      </c>
      <c r="AH141" s="59">
        <f t="shared" si="38"/>
        <v>2091.9</v>
      </c>
      <c r="AI141" s="60">
        <f>786.9-AM141</f>
        <v>786.9</v>
      </c>
      <c r="AJ141" s="60">
        <f t="shared" si="31"/>
        <v>786.9</v>
      </c>
      <c r="AK141" s="60">
        <f>SUMIFS(Таблица1[10],Таблица1[2],$D141)</f>
        <v>0</v>
      </c>
      <c r="AL141" s="60">
        <f>SUMIFS(Таблица1[11],Таблица1[2],$D141)</f>
        <v>0</v>
      </c>
      <c r="AM141" s="251">
        <v>0</v>
      </c>
      <c r="AN141" s="249">
        <f t="shared" si="32"/>
        <v>0</v>
      </c>
      <c r="AO141" s="249">
        <f>SUMIFS(Таблица1[12],Таблица1[2],$D141)</f>
        <v>0</v>
      </c>
      <c r="AP141" s="249">
        <f>SUMIFS(Таблица1[13],Таблица1[2],$D141)</f>
        <v>0</v>
      </c>
      <c r="AQ141" s="61">
        <v>370.8</v>
      </c>
      <c r="AR141" s="61">
        <f t="shared" si="33"/>
        <v>370.8</v>
      </c>
      <c r="AS141" s="60">
        <f>SUMIFS(Таблица1[14],Таблица1[2],$D141)</f>
        <v>0</v>
      </c>
      <c r="AT141" s="60">
        <f>SUMIFS(Таблица1[15],Таблица1[2],$D141)</f>
        <v>0</v>
      </c>
      <c r="AU141" s="61">
        <v>934.2</v>
      </c>
      <c r="AV141" s="61">
        <f t="shared" si="34"/>
        <v>934.2</v>
      </c>
      <c r="AW141" s="60">
        <f>SUMIFS(Таблица1[16],Таблица1[2],$D141)</f>
        <v>0</v>
      </c>
      <c r="AX141" s="60">
        <f>SUMIFS(Таблица1[17],Таблица1[2],$D141)</f>
        <v>0</v>
      </c>
      <c r="AY141" s="263"/>
      <c r="AZ141" s="264"/>
      <c r="BA141" s="296">
        <v>0</v>
      </c>
      <c r="BB141" s="296">
        <f t="shared" si="28"/>
        <v>0</v>
      </c>
      <c r="BC141" s="296">
        <v>0</v>
      </c>
      <c r="BD141" s="296">
        <v>0</v>
      </c>
      <c r="BE141" s="285"/>
      <c r="BF141" s="259">
        <v>2857</v>
      </c>
      <c r="BG141" s="260">
        <v>10138</v>
      </c>
      <c r="BH141" s="62" t="s">
        <v>936</v>
      </c>
      <c r="BI141" s="62" t="s">
        <v>935</v>
      </c>
      <c r="BJ141" s="62"/>
      <c r="BK141" s="267"/>
      <c r="BL141" s="267"/>
      <c r="BM141" s="267" t="s">
        <v>1649</v>
      </c>
      <c r="BN141" s="268"/>
      <c r="BO141" s="62">
        <v>11</v>
      </c>
      <c r="BP141" s="63">
        <v>28871</v>
      </c>
      <c r="BQ141" s="64" t="s">
        <v>1131</v>
      </c>
      <c r="BR141" s="372" t="s">
        <v>2747</v>
      </c>
      <c r="BS141" s="62"/>
      <c r="BT141" s="323"/>
      <c r="BU141" s="62"/>
      <c r="BV141" s="323"/>
      <c r="BW141" s="62"/>
      <c r="BX141" s="336"/>
      <c r="BY141" s="336"/>
    </row>
    <row r="142" spans="1:77" ht="13.15" hidden="1" customHeight="1" outlineLevel="1" x14ac:dyDescent="0.2">
      <c r="A142" s="50">
        <f t="shared" si="40"/>
        <v>137</v>
      </c>
      <c r="B142" s="51">
        <v>6</v>
      </c>
      <c r="C142" s="51">
        <v>54</v>
      </c>
      <c r="D142" s="18" t="s">
        <v>666</v>
      </c>
      <c r="E142" s="18">
        <v>16</v>
      </c>
      <c r="F142" s="18">
        <v>4</v>
      </c>
      <c r="G142" s="52">
        <v>2</v>
      </c>
      <c r="H142" s="237">
        <v>2</v>
      </c>
      <c r="I142" s="53">
        <v>1958</v>
      </c>
      <c r="J142" s="348">
        <v>5</v>
      </c>
      <c r="K142" s="346">
        <f t="shared" si="41"/>
        <v>6</v>
      </c>
      <c r="L142" s="346">
        <v>1</v>
      </c>
      <c r="M142" s="349">
        <v>8</v>
      </c>
      <c r="N142" s="255">
        <f t="shared" si="39"/>
        <v>0</v>
      </c>
      <c r="O142" s="310">
        <v>99</v>
      </c>
      <c r="P142" s="66">
        <v>0</v>
      </c>
      <c r="Q142" s="66">
        <v>1</v>
      </c>
      <c r="R142" s="66">
        <v>10</v>
      </c>
      <c r="S142" s="66">
        <v>48</v>
      </c>
      <c r="T142" s="66">
        <v>35</v>
      </c>
      <c r="U142" s="66">
        <v>6</v>
      </c>
      <c r="V142" s="66">
        <v>0</v>
      </c>
      <c r="W142" s="54">
        <v>0</v>
      </c>
      <c r="X142" s="55">
        <f>SUMIFS(Таблица3[Кол-во квартир],Таблица3[Адрес МКД],$D142)</f>
        <v>98</v>
      </c>
      <c r="Y142" s="56">
        <f>Z142+AB142+AG142+AM142</f>
        <v>9921.4000000000015</v>
      </c>
      <c r="Z142" s="253">
        <f>SUMIFS(Таблица3[Площадь жилая],Таблица3[Адрес МКД],$D142)</f>
        <v>6345.6</v>
      </c>
      <c r="AA142" s="261">
        <f>SUMIFS(Таблица3[Площадь нежилых помещений],Таблица3[Адрес МКД],$D142)</f>
        <v>157.69999999999999</v>
      </c>
      <c r="AB142" s="252">
        <f>SUMIFS(Таблица1[1],Таблица1[2],$D142)</f>
        <v>259</v>
      </c>
      <c r="AC142" s="57">
        <f t="shared" si="35"/>
        <v>243.2</v>
      </c>
      <c r="AD142" s="57">
        <f t="shared" si="36"/>
        <v>15.8</v>
      </c>
      <c r="AE142" s="58">
        <f>SUMIFS(Таблица1[8],Таблица1[2],$D142)+SUMIFS(Таблица1[18],Таблица1[2],$D142)</f>
        <v>0</v>
      </c>
      <c r="AF142" s="58">
        <f>SUMIFS(Таблица1[9],Таблица1[2],$D142)+SUMIFS(Таблица1[19],Таблица1[2],$D142)</f>
        <v>0</v>
      </c>
      <c r="AG142" s="59">
        <f t="shared" si="37"/>
        <v>3316.8</v>
      </c>
      <c r="AH142" s="59">
        <f t="shared" si="38"/>
        <v>3332.6</v>
      </c>
      <c r="AI142" s="60">
        <f>1232.3-AM142</f>
        <v>1232.3</v>
      </c>
      <c r="AJ142" s="60">
        <f t="shared" si="31"/>
        <v>989.09999999999991</v>
      </c>
      <c r="AK142" s="60">
        <f>SUMIFS(Таблица1[10],Таблица1[2],$D142)</f>
        <v>243.2</v>
      </c>
      <c r="AL142" s="60">
        <f>SUMIFS(Таблица1[11],Таблица1[2],$D142)</f>
        <v>0</v>
      </c>
      <c r="AM142" s="251">
        <v>0</v>
      </c>
      <c r="AN142" s="249">
        <f t="shared" si="32"/>
        <v>0</v>
      </c>
      <c r="AO142" s="249">
        <f>SUMIFS(Таблица1[12],Таблица1[2],$D142)</f>
        <v>0</v>
      </c>
      <c r="AP142" s="249">
        <f>SUMIFS(Таблица1[13],Таблица1[2],$D142)</f>
        <v>0</v>
      </c>
      <c r="AQ142" s="61">
        <f>744.7</f>
        <v>744.7</v>
      </c>
      <c r="AR142" s="61">
        <f t="shared" si="33"/>
        <v>728.90000000000009</v>
      </c>
      <c r="AS142" s="60">
        <f>SUMIFS(Таблица1[14],Таблица1[2],$D142)</f>
        <v>0</v>
      </c>
      <c r="AT142" s="60">
        <f>SUMIFS(Таблица1[15],Таблица1[2],$D142)</f>
        <v>15.8</v>
      </c>
      <c r="AU142" s="61">
        <v>1598.8</v>
      </c>
      <c r="AV142" s="61">
        <f t="shared" si="34"/>
        <v>1598.8</v>
      </c>
      <c r="AW142" s="60">
        <f>SUMIFS(Таблица1[16],Таблица1[2],$D142)</f>
        <v>0</v>
      </c>
      <c r="AX142" s="60">
        <f>SUMIFS(Таблица1[17],Таблица1[2],$D142)</f>
        <v>0</v>
      </c>
      <c r="AY142" s="263">
        <f>Нежилые!G794</f>
        <v>85.5</v>
      </c>
      <c r="AZ142" s="264"/>
      <c r="BA142" s="296">
        <v>0</v>
      </c>
      <c r="BB142" s="296">
        <f t="shared" si="28"/>
        <v>0</v>
      </c>
      <c r="BC142" s="296">
        <v>0</v>
      </c>
      <c r="BD142" s="296">
        <v>0</v>
      </c>
      <c r="BE142" s="285"/>
      <c r="BF142" s="259">
        <v>4711</v>
      </c>
      <c r="BG142" s="260">
        <v>17510</v>
      </c>
      <c r="BH142" s="62" t="s">
        <v>936</v>
      </c>
      <c r="BI142" s="62" t="s">
        <v>935</v>
      </c>
      <c r="BJ142" s="62" t="s">
        <v>1017</v>
      </c>
      <c r="BK142" s="267"/>
      <c r="BL142" s="267"/>
      <c r="BM142" s="267" t="s">
        <v>1649</v>
      </c>
      <c r="BN142" s="268"/>
      <c r="BO142" s="62">
        <v>11</v>
      </c>
      <c r="BP142" s="63">
        <v>28871</v>
      </c>
      <c r="BQ142" s="64" t="s">
        <v>1131</v>
      </c>
      <c r="BR142" s="372" t="s">
        <v>2747</v>
      </c>
      <c r="BS142" s="62"/>
      <c r="BT142" s="323"/>
      <c r="BU142" s="62"/>
      <c r="BV142" s="323"/>
      <c r="BW142" s="62"/>
      <c r="BX142" s="336"/>
      <c r="BY142" s="336"/>
    </row>
    <row r="143" spans="1:77" ht="13.15" hidden="1" customHeight="1" outlineLevel="1" x14ac:dyDescent="0.2">
      <c r="A143" s="50">
        <f t="shared" si="40"/>
        <v>138</v>
      </c>
      <c r="B143" s="51">
        <v>7</v>
      </c>
      <c r="C143" s="51">
        <v>55</v>
      </c>
      <c r="D143" s="18" t="s">
        <v>667</v>
      </c>
      <c r="E143" s="18">
        <v>16</v>
      </c>
      <c r="F143" s="18">
        <v>4</v>
      </c>
      <c r="G143" s="52">
        <v>1</v>
      </c>
      <c r="H143" s="237">
        <v>1</v>
      </c>
      <c r="I143" s="53">
        <v>1958</v>
      </c>
      <c r="J143" s="348">
        <v>5</v>
      </c>
      <c r="K143" s="346">
        <f t="shared" si="41"/>
        <v>6</v>
      </c>
      <c r="L143" s="346">
        <v>1</v>
      </c>
      <c r="M143" s="349">
        <v>6</v>
      </c>
      <c r="N143" s="255">
        <f t="shared" si="39"/>
        <v>0</v>
      </c>
      <c r="O143" s="310">
        <v>90</v>
      </c>
      <c r="P143" s="66">
        <v>0</v>
      </c>
      <c r="Q143" s="66"/>
      <c r="R143" s="66">
        <v>5</v>
      </c>
      <c r="S143" s="66">
        <v>50</v>
      </c>
      <c r="T143" s="66">
        <v>25</v>
      </c>
      <c r="U143" s="66">
        <v>10</v>
      </c>
      <c r="V143" s="66">
        <v>0</v>
      </c>
      <c r="W143" s="54">
        <v>0</v>
      </c>
      <c r="X143" s="55">
        <f>SUMIFS(Таблица3[Кол-во квартир],Таблица3[Адрес МКД],$D143)</f>
        <v>90</v>
      </c>
      <c r="Y143" s="56">
        <f t="shared" ref="Y143:Y164" si="42">Z143+AB143+AG143+AN143</f>
        <v>6833.79</v>
      </c>
      <c r="Z143" s="253">
        <f>SUMIFS(Таблица3[Площадь жилая],Таблица3[Адрес МКД],$D143)</f>
        <v>4383.09</v>
      </c>
      <c r="AA143" s="261">
        <f>SUMIFS(Таблица3[Площадь нежилых помещений],Таблица3[Адрес МКД],$D143)</f>
        <v>0</v>
      </c>
      <c r="AB143" s="252">
        <f>SUMIFS(Таблица1[1],Таблица1[2],$D143)</f>
        <v>0</v>
      </c>
      <c r="AC143" s="57">
        <f t="shared" si="35"/>
        <v>0</v>
      </c>
      <c r="AD143" s="57">
        <f t="shared" si="36"/>
        <v>0</v>
      </c>
      <c r="AE143" s="58">
        <f>SUMIFS(Таблица1[8],Таблица1[2],$D143)+SUMIFS(Таблица1[18],Таблица1[2],$D143)</f>
        <v>0</v>
      </c>
      <c r="AF143" s="58">
        <f>SUMIFS(Таблица1[9],Таблица1[2],$D143)+SUMIFS(Таблица1[19],Таблица1[2],$D143)</f>
        <v>0</v>
      </c>
      <c r="AG143" s="59">
        <f t="shared" si="37"/>
        <v>2450.6999999999998</v>
      </c>
      <c r="AH143" s="59">
        <f t="shared" si="38"/>
        <v>2450.6999999999998</v>
      </c>
      <c r="AI143" s="60">
        <f>887.9-AM143</f>
        <v>887.9</v>
      </c>
      <c r="AJ143" s="60">
        <f t="shared" si="31"/>
        <v>887.9</v>
      </c>
      <c r="AK143" s="60">
        <f>SUMIFS(Таблица1[10],Таблица1[2],$D143)</f>
        <v>0</v>
      </c>
      <c r="AL143" s="60">
        <f>SUMIFS(Таблица1[11],Таблица1[2],$D143)</f>
        <v>0</v>
      </c>
      <c r="AM143" s="251">
        <v>0</v>
      </c>
      <c r="AN143" s="249">
        <f t="shared" si="32"/>
        <v>0</v>
      </c>
      <c r="AO143" s="249">
        <f>SUMIFS(Таблица1[12],Таблица1[2],$D143)</f>
        <v>0</v>
      </c>
      <c r="AP143" s="249">
        <f>SUMIFS(Таблица1[13],Таблица1[2],$D143)</f>
        <v>0</v>
      </c>
      <c r="AQ143" s="61">
        <v>488.3</v>
      </c>
      <c r="AR143" s="61">
        <f t="shared" si="33"/>
        <v>488.3</v>
      </c>
      <c r="AS143" s="60">
        <f>SUMIFS(Таблица1[14],Таблица1[2],$D143)</f>
        <v>0</v>
      </c>
      <c r="AT143" s="60">
        <f>SUMIFS(Таблица1[15],Таблица1[2],$D143)</f>
        <v>0</v>
      </c>
      <c r="AU143" s="61">
        <v>1074.5</v>
      </c>
      <c r="AV143" s="61">
        <f t="shared" si="34"/>
        <v>1074.5</v>
      </c>
      <c r="AW143" s="60">
        <f>SUMIFS(Таблица1[16],Таблица1[2],$D143)</f>
        <v>0</v>
      </c>
      <c r="AX143" s="60">
        <f>SUMIFS(Таблица1[17],Таблица1[2],$D143)</f>
        <v>0</v>
      </c>
      <c r="AY143" s="263"/>
      <c r="AZ143" s="264"/>
      <c r="BA143" s="296">
        <v>0</v>
      </c>
      <c r="BB143" s="296">
        <f t="shared" si="28"/>
        <v>0</v>
      </c>
      <c r="BC143" s="296">
        <v>0</v>
      </c>
      <c r="BD143" s="296">
        <v>0</v>
      </c>
      <c r="BE143" s="285"/>
      <c r="BF143" s="259">
        <v>2389</v>
      </c>
      <c r="BG143" s="260">
        <v>15443</v>
      </c>
      <c r="BH143" s="62" t="s">
        <v>940</v>
      </c>
      <c r="BI143" s="62" t="s">
        <v>935</v>
      </c>
      <c r="BJ143" s="62"/>
      <c r="BK143" s="267"/>
      <c r="BL143" s="267" t="s">
        <v>1649</v>
      </c>
      <c r="BM143" s="267"/>
      <c r="BN143" s="268"/>
      <c r="BO143" s="62">
        <v>12</v>
      </c>
      <c r="BP143" s="63">
        <v>30040</v>
      </c>
      <c r="BQ143" s="64" t="s">
        <v>1131</v>
      </c>
      <c r="BR143" s="372" t="s">
        <v>2747</v>
      </c>
      <c r="BS143" s="62"/>
      <c r="BT143" s="323"/>
      <c r="BU143" s="62"/>
      <c r="BV143" s="323"/>
      <c r="BW143" s="62"/>
      <c r="BX143" s="336"/>
      <c r="BY143" s="336"/>
    </row>
    <row r="144" spans="1:77" ht="13.15" hidden="1" customHeight="1" outlineLevel="1" x14ac:dyDescent="0.2">
      <c r="A144" s="50">
        <f t="shared" si="40"/>
        <v>139</v>
      </c>
      <c r="B144" s="51">
        <v>8</v>
      </c>
      <c r="C144" s="51">
        <v>1</v>
      </c>
      <c r="D144" s="18" t="s">
        <v>688</v>
      </c>
      <c r="E144" s="18">
        <v>16</v>
      </c>
      <c r="F144" s="18">
        <v>3</v>
      </c>
      <c r="G144" s="52">
        <v>1</v>
      </c>
      <c r="H144" s="237">
        <v>1</v>
      </c>
      <c r="I144" s="65">
        <v>1959</v>
      </c>
      <c r="J144" s="349">
        <v>5</v>
      </c>
      <c r="K144" s="346">
        <f t="shared" si="41"/>
        <v>6</v>
      </c>
      <c r="L144" s="346">
        <v>1</v>
      </c>
      <c r="M144" s="349">
        <v>4</v>
      </c>
      <c r="N144" s="255">
        <f t="shared" si="39"/>
        <v>0</v>
      </c>
      <c r="O144" s="310">
        <v>70</v>
      </c>
      <c r="P144" s="66">
        <v>5</v>
      </c>
      <c r="Q144" s="66"/>
      <c r="R144" s="66">
        <v>43</v>
      </c>
      <c r="S144" s="66">
        <v>27</v>
      </c>
      <c r="T144" s="66">
        <v>0</v>
      </c>
      <c r="U144" s="66">
        <v>0</v>
      </c>
      <c r="V144" s="66">
        <v>0</v>
      </c>
      <c r="W144" s="54">
        <v>0</v>
      </c>
      <c r="X144" s="55">
        <f>SUMIFS(Таблица3[Кол-во квартир],Таблица3[Адрес МКД],$D144)</f>
        <v>65</v>
      </c>
      <c r="Y144" s="56">
        <f t="shared" si="42"/>
        <v>7869.37</v>
      </c>
      <c r="Z144" s="253">
        <f>SUMIFS(Таблица3[Площадь жилая],Таблица3[Адрес МКД],$D144)</f>
        <v>4230.07</v>
      </c>
      <c r="AA144" s="261">
        <f>SUMIFS(Таблица3[Площадь нежилых помещений],Таблица3[Адрес МКД],$D144)</f>
        <v>1352.6</v>
      </c>
      <c r="AB144" s="252">
        <f>SUMIFS(Таблица1[1],Таблица1[2],$D144)</f>
        <v>1352.6000000000001</v>
      </c>
      <c r="AC144" s="57">
        <f t="shared" si="35"/>
        <v>1352.6000000000001</v>
      </c>
      <c r="AD144" s="57">
        <f t="shared" si="36"/>
        <v>0</v>
      </c>
      <c r="AE144" s="58">
        <f>SUMIFS(Таблица1[8],Таблица1[2],$D144)+SUMIFS(Таблица1[18],Таблица1[2],$D144)</f>
        <v>958.40000000000009</v>
      </c>
      <c r="AF144" s="58">
        <f>SUMIFS(Таблица1[9],Таблица1[2],$D144)+SUMIFS(Таблица1[19],Таблица1[2],$D144)</f>
        <v>0</v>
      </c>
      <c r="AG144" s="59">
        <f t="shared" si="37"/>
        <v>2286.6999999999998</v>
      </c>
      <c r="AH144" s="59">
        <f t="shared" si="38"/>
        <v>2286.6999999999998</v>
      </c>
      <c r="AI144" s="60">
        <f>984.4-AM144</f>
        <v>984.4</v>
      </c>
      <c r="AJ144" s="60">
        <f t="shared" si="31"/>
        <v>590.20000000000005</v>
      </c>
      <c r="AK144" s="60">
        <f>SUMIFS(Таблица1[10],Таблица1[2],$D144)</f>
        <v>394.2</v>
      </c>
      <c r="AL144" s="60">
        <f>SUMIFS(Таблица1[11],Таблица1[2],$D144)</f>
        <v>0</v>
      </c>
      <c r="AM144" s="251">
        <v>0</v>
      </c>
      <c r="AN144" s="249">
        <f t="shared" si="32"/>
        <v>0</v>
      </c>
      <c r="AO144" s="249">
        <f>SUMIFS(Таблица1[12],Таблица1[2],$D144)</f>
        <v>0</v>
      </c>
      <c r="AP144" s="249">
        <f>SUMIFS(Таблица1[13],Таблица1[2],$D144)</f>
        <v>0</v>
      </c>
      <c r="AQ144" s="61">
        <v>437.4</v>
      </c>
      <c r="AR144" s="61">
        <f t="shared" si="33"/>
        <v>437.4</v>
      </c>
      <c r="AS144" s="60">
        <f>SUMIFS(Таблица1[14],Таблица1[2],$D144)</f>
        <v>0</v>
      </c>
      <c r="AT144" s="60">
        <f>SUMIFS(Таблица1[15],Таблица1[2],$D144)</f>
        <v>0</v>
      </c>
      <c r="AU144" s="61">
        <v>1259.0999999999999</v>
      </c>
      <c r="AV144" s="61">
        <f t="shared" si="34"/>
        <v>1259.0999999999999</v>
      </c>
      <c r="AW144" s="60">
        <f>SUMIFS(Таблица1[16],Таблица1[2],$D144)</f>
        <v>0</v>
      </c>
      <c r="AX144" s="60">
        <f>SUMIFS(Таблица1[17],Таблица1[2],$D144)</f>
        <v>0</v>
      </c>
      <c r="AY144" s="263"/>
      <c r="AZ144" s="264"/>
      <c r="BA144" s="296">
        <v>0</v>
      </c>
      <c r="BB144" s="296">
        <f t="shared" si="28"/>
        <v>0</v>
      </c>
      <c r="BC144" s="296">
        <v>0</v>
      </c>
      <c r="BD144" s="296">
        <v>0</v>
      </c>
      <c r="BE144" s="285"/>
      <c r="BF144" s="259">
        <v>3637</v>
      </c>
      <c r="BG144" s="260">
        <v>22765</v>
      </c>
      <c r="BH144" s="62" t="s">
        <v>936</v>
      </c>
      <c r="BI144" s="62" t="s">
        <v>935</v>
      </c>
      <c r="BJ144" s="62"/>
      <c r="BK144" s="267"/>
      <c r="BL144" s="267"/>
      <c r="BM144" s="267" t="s">
        <v>1649</v>
      </c>
      <c r="BN144" s="268"/>
      <c r="BO144" s="62">
        <v>32</v>
      </c>
      <c r="BP144" s="63">
        <v>41359</v>
      </c>
      <c r="BQ144" s="64" t="s">
        <v>1131</v>
      </c>
      <c r="BR144" s="372" t="s">
        <v>2747</v>
      </c>
      <c r="BS144" s="62">
        <v>10</v>
      </c>
      <c r="BT144" s="323">
        <v>50</v>
      </c>
      <c r="BU144" s="62">
        <v>296</v>
      </c>
      <c r="BV144" s="323" t="s">
        <v>2073</v>
      </c>
      <c r="BW144" s="62">
        <v>83</v>
      </c>
      <c r="BX144" s="336"/>
      <c r="BY144" s="336"/>
    </row>
    <row r="145" spans="1:77" ht="13.15" hidden="1" customHeight="1" outlineLevel="1" x14ac:dyDescent="0.2">
      <c r="A145" s="50">
        <f t="shared" si="40"/>
        <v>140</v>
      </c>
      <c r="B145" s="51">
        <v>9</v>
      </c>
      <c r="C145" s="51">
        <v>2</v>
      </c>
      <c r="D145" s="18" t="s">
        <v>689</v>
      </c>
      <c r="E145" s="18">
        <v>16</v>
      </c>
      <c r="F145" s="18">
        <v>3</v>
      </c>
      <c r="G145" s="52">
        <v>1</v>
      </c>
      <c r="H145" s="237"/>
      <c r="I145" s="65">
        <v>1960</v>
      </c>
      <c r="J145" s="349">
        <v>5</v>
      </c>
      <c r="K145" s="346">
        <f t="shared" si="41"/>
        <v>6</v>
      </c>
      <c r="L145" s="346">
        <v>1</v>
      </c>
      <c r="M145" s="349">
        <v>2</v>
      </c>
      <c r="N145" s="255">
        <f t="shared" si="39"/>
        <v>0</v>
      </c>
      <c r="O145" s="310">
        <v>40</v>
      </c>
      <c r="P145" s="66">
        <v>1</v>
      </c>
      <c r="Q145" s="66"/>
      <c r="R145" s="66">
        <v>20</v>
      </c>
      <c r="S145" s="66">
        <v>10</v>
      </c>
      <c r="T145" s="66">
        <v>10</v>
      </c>
      <c r="U145" s="66">
        <v>0</v>
      </c>
      <c r="V145" s="66">
        <v>0</v>
      </c>
      <c r="W145" s="54">
        <v>0</v>
      </c>
      <c r="X145" s="55">
        <f>SUMIFS(Таблица3[Кол-во квартир],Таблица3[Адрес МКД],$D145)</f>
        <v>39</v>
      </c>
      <c r="Y145" s="56">
        <f t="shared" si="42"/>
        <v>2453.5</v>
      </c>
      <c r="Z145" s="253">
        <f>SUMIFS(Таблица3[Площадь жилая],Таблица3[Адрес МКД],$D145)</f>
        <v>1583.4</v>
      </c>
      <c r="AA145" s="261">
        <f>SUMIFS(Таблица3[Площадь нежилых помещений],Таблица3[Адрес МКД],$D145)</f>
        <v>43.3</v>
      </c>
      <c r="AB145" s="252">
        <f>SUMIFS(Таблица1[1],Таблица1[2],$D145)</f>
        <v>43.3</v>
      </c>
      <c r="AC145" s="57">
        <f t="shared" si="35"/>
        <v>43.3</v>
      </c>
      <c r="AD145" s="57">
        <f t="shared" si="36"/>
        <v>0</v>
      </c>
      <c r="AE145" s="58">
        <f>SUMIFS(Таблица1[8],Таблица1[2],$D145)+SUMIFS(Таблица1[18],Таблица1[2],$D145)</f>
        <v>43.3</v>
      </c>
      <c r="AF145" s="58">
        <f>SUMIFS(Таблица1[9],Таблица1[2],$D145)+SUMIFS(Таблица1[19],Таблица1[2],$D145)</f>
        <v>0</v>
      </c>
      <c r="AG145" s="59">
        <f t="shared" si="37"/>
        <v>826.8</v>
      </c>
      <c r="AH145" s="59">
        <f t="shared" si="38"/>
        <v>826.8</v>
      </c>
      <c r="AI145" s="60">
        <f>312.2-AM145</f>
        <v>312.2</v>
      </c>
      <c r="AJ145" s="60">
        <f t="shared" si="31"/>
        <v>312.2</v>
      </c>
      <c r="AK145" s="60">
        <f>SUMIFS(Таблица1[10],Таблица1[2],$D145)</f>
        <v>0</v>
      </c>
      <c r="AL145" s="60">
        <f>SUMIFS(Таблица1[11],Таблица1[2],$D145)</f>
        <v>0</v>
      </c>
      <c r="AM145" s="251">
        <v>0</v>
      </c>
      <c r="AN145" s="249">
        <f t="shared" si="32"/>
        <v>0</v>
      </c>
      <c r="AO145" s="249">
        <f>SUMIFS(Таблица1[12],Таблица1[2],$D145)</f>
        <v>0</v>
      </c>
      <c r="AP145" s="249">
        <f>SUMIFS(Таблица1[13],Таблица1[2],$D145)</f>
        <v>0</v>
      </c>
      <c r="AQ145" s="61">
        <v>137</v>
      </c>
      <c r="AR145" s="61">
        <f t="shared" si="33"/>
        <v>137</v>
      </c>
      <c r="AS145" s="60">
        <f>SUMIFS(Таблица1[14],Таблица1[2],$D145)</f>
        <v>0</v>
      </c>
      <c r="AT145" s="60">
        <f>SUMIFS(Таблица1[15],Таблица1[2],$D145)</f>
        <v>0</v>
      </c>
      <c r="AU145" s="61">
        <v>377.6</v>
      </c>
      <c r="AV145" s="61">
        <f t="shared" si="34"/>
        <v>377.6</v>
      </c>
      <c r="AW145" s="60">
        <f>SUMIFS(Таблица1[16],Таблица1[2],$D145)</f>
        <v>0</v>
      </c>
      <c r="AX145" s="60">
        <f>SUMIFS(Таблица1[17],Таблица1[2],$D145)</f>
        <v>0</v>
      </c>
      <c r="AY145" s="263"/>
      <c r="AZ145" s="264"/>
      <c r="BA145" s="296">
        <v>0</v>
      </c>
      <c r="BB145" s="296">
        <f t="shared" si="28"/>
        <v>0</v>
      </c>
      <c r="BC145" s="296">
        <v>0</v>
      </c>
      <c r="BD145" s="296">
        <v>0</v>
      </c>
      <c r="BE145" s="285"/>
      <c r="BF145" s="259">
        <v>1072</v>
      </c>
      <c r="BG145" s="260">
        <v>6383</v>
      </c>
      <c r="BH145" s="62" t="s">
        <v>943</v>
      </c>
      <c r="BI145" s="62" t="s">
        <v>935</v>
      </c>
      <c r="BJ145" s="62"/>
      <c r="BK145" s="267"/>
      <c r="BL145" s="267" t="s">
        <v>1649</v>
      </c>
      <c r="BM145" s="267"/>
      <c r="BN145" s="268"/>
      <c r="BO145" s="62">
        <v>30</v>
      </c>
      <c r="BP145" s="63">
        <v>41359</v>
      </c>
      <c r="BQ145" s="64" t="s">
        <v>1131</v>
      </c>
      <c r="BR145" s="372" t="s">
        <v>2747</v>
      </c>
      <c r="BS145" s="62">
        <v>7</v>
      </c>
      <c r="BT145" s="323">
        <v>40</v>
      </c>
      <c r="BU145" s="62">
        <v>166</v>
      </c>
      <c r="BV145" s="323" t="s">
        <v>2077</v>
      </c>
      <c r="BW145" s="62">
        <v>66</v>
      </c>
      <c r="BX145" s="336"/>
      <c r="BY145" s="336"/>
    </row>
    <row r="146" spans="1:77" ht="13.15" hidden="1" customHeight="1" outlineLevel="1" x14ac:dyDescent="0.2">
      <c r="A146" s="50">
        <f t="shared" si="40"/>
        <v>141</v>
      </c>
      <c r="B146" s="51">
        <v>10</v>
      </c>
      <c r="C146" s="51">
        <v>56</v>
      </c>
      <c r="D146" s="18" t="s">
        <v>668</v>
      </c>
      <c r="E146" s="18">
        <v>16</v>
      </c>
      <c r="F146" s="18">
        <v>4</v>
      </c>
      <c r="G146" s="52">
        <v>1</v>
      </c>
      <c r="H146" s="237">
        <v>1</v>
      </c>
      <c r="I146" s="65">
        <v>1958</v>
      </c>
      <c r="J146" s="349">
        <v>5</v>
      </c>
      <c r="K146" s="346">
        <f t="shared" si="41"/>
        <v>6</v>
      </c>
      <c r="L146" s="346">
        <v>1</v>
      </c>
      <c r="M146" s="349">
        <v>4</v>
      </c>
      <c r="N146" s="255">
        <f t="shared" si="39"/>
        <v>3</v>
      </c>
      <c r="O146" s="310">
        <v>60</v>
      </c>
      <c r="P146" s="66">
        <v>12</v>
      </c>
      <c r="Q146" s="66"/>
      <c r="R146" s="66">
        <v>10</v>
      </c>
      <c r="S146" s="66">
        <v>30</v>
      </c>
      <c r="T146" s="66">
        <v>15</v>
      </c>
      <c r="U146" s="66">
        <v>5</v>
      </c>
      <c r="V146" s="66">
        <v>0</v>
      </c>
      <c r="W146" s="54">
        <v>0</v>
      </c>
      <c r="X146" s="55">
        <f>SUMIFS(Таблица3[Кол-во квартир],Таблица3[Адрес МКД],$D146)</f>
        <v>45</v>
      </c>
      <c r="Y146" s="56">
        <f t="shared" si="42"/>
        <v>5762.7000000000007</v>
      </c>
      <c r="Z146" s="253">
        <f>SUMIFS(Таблица3[Площадь жилая],Таблица3[Адрес МКД],$D146)</f>
        <v>2946.5</v>
      </c>
      <c r="AA146" s="261">
        <f>SUMIFS(Таблица3[Площадь нежилых помещений],Таблица3[Адрес МКД],$D146)</f>
        <v>727.9</v>
      </c>
      <c r="AB146" s="252">
        <f>SUMIFS(Таблица1[1],Таблица1[2],$D146)</f>
        <v>727.9</v>
      </c>
      <c r="AC146" s="57">
        <f t="shared" si="35"/>
        <v>727.9</v>
      </c>
      <c r="AD146" s="57">
        <f t="shared" si="36"/>
        <v>0</v>
      </c>
      <c r="AE146" s="58">
        <f>SUMIFS(Таблица1[8],Таблица1[2],$D146)+SUMIFS(Таблица1[18],Таблица1[2],$D146)</f>
        <v>727.9</v>
      </c>
      <c r="AF146" s="58">
        <f>SUMIFS(Таблица1[9],Таблица1[2],$D146)+SUMIFS(Таблица1[19],Таблица1[2],$D146)</f>
        <v>0</v>
      </c>
      <c r="AG146" s="59">
        <f t="shared" si="37"/>
        <v>2088.3000000000002</v>
      </c>
      <c r="AH146" s="59">
        <f t="shared" si="38"/>
        <v>2088.3000000000002</v>
      </c>
      <c r="AI146" s="60">
        <f>802.9-AM146</f>
        <v>802.9</v>
      </c>
      <c r="AJ146" s="60">
        <f t="shared" si="31"/>
        <v>802.9</v>
      </c>
      <c r="AK146" s="60">
        <f>SUMIFS(Таблица1[10],Таблица1[2],$D146)</f>
        <v>0</v>
      </c>
      <c r="AL146" s="60">
        <f>SUMIFS(Таблица1[11],Таблица1[2],$D146)</f>
        <v>0</v>
      </c>
      <c r="AM146" s="251">
        <v>0</v>
      </c>
      <c r="AN146" s="249">
        <f t="shared" si="32"/>
        <v>0</v>
      </c>
      <c r="AO146" s="249">
        <f>SUMIFS(Таблица1[12],Таблица1[2],$D146)</f>
        <v>0</v>
      </c>
      <c r="AP146" s="249">
        <f>SUMIFS(Таблица1[13],Таблица1[2],$D146)</f>
        <v>0</v>
      </c>
      <c r="AQ146" s="61">
        <v>367.5</v>
      </c>
      <c r="AR146" s="61">
        <f t="shared" si="33"/>
        <v>367.5</v>
      </c>
      <c r="AS146" s="60">
        <f>SUMIFS(Таблица1[14],Таблица1[2],$D146)</f>
        <v>0</v>
      </c>
      <c r="AT146" s="60">
        <f>SUMIFS(Таблица1[15],Таблица1[2],$D146)</f>
        <v>0</v>
      </c>
      <c r="AU146" s="61">
        <v>917.9</v>
      </c>
      <c r="AV146" s="61">
        <f t="shared" si="34"/>
        <v>917.9</v>
      </c>
      <c r="AW146" s="60">
        <f>SUMIFS(Таблица1[16],Таблица1[2],$D146)</f>
        <v>0</v>
      </c>
      <c r="AX146" s="60">
        <f>SUMIFS(Таблица1[17],Таблица1[2],$D146)</f>
        <v>0</v>
      </c>
      <c r="AY146" s="263"/>
      <c r="AZ146" s="264"/>
      <c r="BA146" s="296">
        <v>0</v>
      </c>
      <c r="BB146" s="296">
        <f t="shared" si="28"/>
        <v>0</v>
      </c>
      <c r="BC146" s="296">
        <v>0</v>
      </c>
      <c r="BD146" s="296">
        <v>0</v>
      </c>
      <c r="BE146" s="285"/>
      <c r="BF146" s="259">
        <v>3044</v>
      </c>
      <c r="BG146" s="260">
        <v>10128</v>
      </c>
      <c r="BH146" s="62" t="s">
        <v>936</v>
      </c>
      <c r="BI146" s="62" t="s">
        <v>935</v>
      </c>
      <c r="BJ146" s="62"/>
      <c r="BK146" s="267"/>
      <c r="BL146" s="267"/>
      <c r="BM146" s="267" t="s">
        <v>1649</v>
      </c>
      <c r="BN146" s="268"/>
      <c r="BO146" s="62">
        <v>35</v>
      </c>
      <c r="BP146" s="63">
        <v>44243</v>
      </c>
      <c r="BQ146" s="64" t="s">
        <v>1131</v>
      </c>
      <c r="BR146" s="372" t="s">
        <v>2747</v>
      </c>
      <c r="BS146" s="62"/>
      <c r="BT146" s="323"/>
      <c r="BU146" s="62"/>
      <c r="BV146" s="323"/>
      <c r="BW146" s="62"/>
      <c r="BX146" s="336"/>
      <c r="BY146" s="336"/>
    </row>
    <row r="147" spans="1:77" ht="13.15" hidden="1" customHeight="1" outlineLevel="1" x14ac:dyDescent="0.2">
      <c r="A147" s="50">
        <f t="shared" si="40"/>
        <v>142</v>
      </c>
      <c r="B147" s="51">
        <v>11</v>
      </c>
      <c r="C147" s="51">
        <v>57</v>
      </c>
      <c r="D147" s="18" t="s">
        <v>669</v>
      </c>
      <c r="E147" s="18">
        <v>16</v>
      </c>
      <c r="F147" s="18">
        <v>4</v>
      </c>
      <c r="G147" s="52">
        <v>2</v>
      </c>
      <c r="H147" s="237">
        <v>2</v>
      </c>
      <c r="I147" s="65">
        <v>1958</v>
      </c>
      <c r="J147" s="349">
        <v>5</v>
      </c>
      <c r="K147" s="346">
        <f t="shared" si="41"/>
        <v>6</v>
      </c>
      <c r="L147" s="346">
        <v>1</v>
      </c>
      <c r="M147" s="349">
        <v>8</v>
      </c>
      <c r="N147" s="255">
        <f t="shared" si="39"/>
        <v>0</v>
      </c>
      <c r="O147" s="310">
        <v>99</v>
      </c>
      <c r="P147" s="66">
        <v>3</v>
      </c>
      <c r="Q147" s="66">
        <v>1</v>
      </c>
      <c r="R147" s="66">
        <v>10</v>
      </c>
      <c r="S147" s="66">
        <v>48</v>
      </c>
      <c r="T147" s="66">
        <v>35</v>
      </c>
      <c r="U147" s="66">
        <v>6</v>
      </c>
      <c r="V147" s="66">
        <v>0</v>
      </c>
      <c r="W147" s="54">
        <v>0</v>
      </c>
      <c r="X147" s="55">
        <f>SUMIFS(Таблица3[Кол-во квартир],Таблица3[Адрес МКД],$D147)</f>
        <v>95</v>
      </c>
      <c r="Y147" s="56">
        <f t="shared" si="42"/>
        <v>9184.2000000000007</v>
      </c>
      <c r="Z147" s="253">
        <f>SUMIFS(Таблица3[Площадь жилая],Таблица3[Адрес МКД],$D147)</f>
        <v>6039.6</v>
      </c>
      <c r="AA147" s="261">
        <f>SUMIFS(Таблица3[Площадь нежилых помещений],Таблица3[Адрес МКД],$D147)</f>
        <v>286.3</v>
      </c>
      <c r="AB147" s="252">
        <f>SUMIFS(Таблица1[1],Таблица1[2],$D147)</f>
        <v>362.29999999999995</v>
      </c>
      <c r="AC147" s="57">
        <f t="shared" si="35"/>
        <v>362.3</v>
      </c>
      <c r="AD147" s="57">
        <f t="shared" si="36"/>
        <v>0</v>
      </c>
      <c r="AE147" s="58">
        <f>SUMIFS(Таблица1[8],Таблица1[2],$D147)+SUMIFS(Таблица1[18],Таблица1[2],$D147)</f>
        <v>286.3</v>
      </c>
      <c r="AF147" s="58">
        <f>SUMIFS(Таблица1[9],Таблица1[2],$D147)+SUMIFS(Таблица1[19],Таблица1[2],$D147)</f>
        <v>0</v>
      </c>
      <c r="AG147" s="59">
        <f t="shared" si="37"/>
        <v>2782.3</v>
      </c>
      <c r="AH147" s="59">
        <f t="shared" si="38"/>
        <v>2782.3</v>
      </c>
      <c r="AI147" s="60">
        <f>1238-AM147</f>
        <v>1238</v>
      </c>
      <c r="AJ147" s="60">
        <f t="shared" si="31"/>
        <v>1162</v>
      </c>
      <c r="AK147" s="60">
        <f>SUMIFS(Таблица1[10],Таблица1[2],$D147)</f>
        <v>76</v>
      </c>
      <c r="AL147" s="60">
        <f>SUMIFS(Таблица1[11],Таблица1[2],$D147)</f>
        <v>0</v>
      </c>
      <c r="AM147" s="251">
        <v>0</v>
      </c>
      <c r="AN147" s="249">
        <f t="shared" si="32"/>
        <v>0</v>
      </c>
      <c r="AO147" s="249">
        <f>SUMIFS(Таблица1[12],Таблица1[2],$D147)</f>
        <v>0</v>
      </c>
      <c r="AP147" s="249">
        <f>SUMIFS(Таблица1[13],Таблица1[2],$D147)</f>
        <v>0</v>
      </c>
      <c r="AQ147" s="61">
        <v>736.4</v>
      </c>
      <c r="AR147" s="61">
        <f t="shared" si="33"/>
        <v>736.4</v>
      </c>
      <c r="AS147" s="60">
        <f>SUMIFS(Таблица1[14],Таблица1[2],$D147)</f>
        <v>0</v>
      </c>
      <c r="AT147" s="60">
        <f>SUMIFS(Таблица1[15],Таблица1[2],$D147)</f>
        <v>0</v>
      </c>
      <c r="AU147" s="61">
        <v>883.9</v>
      </c>
      <c r="AV147" s="61">
        <f t="shared" si="34"/>
        <v>883.9</v>
      </c>
      <c r="AW147" s="60">
        <f>SUMIFS(Таблица1[16],Таблица1[2],$D147)</f>
        <v>0</v>
      </c>
      <c r="AX147" s="60">
        <f>SUMIFS(Таблица1[17],Таблица1[2],$D147)</f>
        <v>0</v>
      </c>
      <c r="AY147" s="263">
        <f>Нежилые!G824</f>
        <v>76</v>
      </c>
      <c r="AZ147" s="264"/>
      <c r="BA147" s="296">
        <v>0</v>
      </c>
      <c r="BB147" s="296">
        <f t="shared" si="28"/>
        <v>0</v>
      </c>
      <c r="BC147" s="296">
        <v>0</v>
      </c>
      <c r="BD147" s="296">
        <v>0</v>
      </c>
      <c r="BE147" s="285"/>
      <c r="BF147" s="259">
        <v>5240</v>
      </c>
      <c r="BG147" s="260">
        <f>17461+256</f>
        <v>17717</v>
      </c>
      <c r="BH147" s="62" t="s">
        <v>936</v>
      </c>
      <c r="BI147" s="62" t="s">
        <v>935</v>
      </c>
      <c r="BJ147" s="62"/>
      <c r="BK147" s="267"/>
      <c r="BL147" s="267"/>
      <c r="BM147" s="267" t="s">
        <v>1649</v>
      </c>
      <c r="BN147" s="268"/>
      <c r="BO147" s="62">
        <v>35</v>
      </c>
      <c r="BP147" s="63">
        <v>44243</v>
      </c>
      <c r="BQ147" s="64" t="s">
        <v>1131</v>
      </c>
      <c r="BR147" s="372" t="s">
        <v>2747</v>
      </c>
      <c r="BS147" s="62"/>
      <c r="BT147" s="323"/>
      <c r="BU147" s="62"/>
      <c r="BV147" s="323"/>
      <c r="BW147" s="62"/>
      <c r="BX147" s="336"/>
      <c r="BY147" s="336"/>
    </row>
    <row r="148" spans="1:77" ht="13.15" hidden="1" customHeight="1" outlineLevel="1" x14ac:dyDescent="0.2">
      <c r="A148" s="50">
        <f t="shared" si="40"/>
        <v>143</v>
      </c>
      <c r="B148" s="51">
        <v>12</v>
      </c>
      <c r="C148" s="51">
        <v>3</v>
      </c>
      <c r="D148" s="18" t="s">
        <v>690</v>
      </c>
      <c r="E148" s="18">
        <v>16</v>
      </c>
      <c r="F148" s="18">
        <v>3</v>
      </c>
      <c r="G148" s="52">
        <v>1</v>
      </c>
      <c r="H148" s="237">
        <v>1</v>
      </c>
      <c r="I148" s="53">
        <v>1960</v>
      </c>
      <c r="J148" s="348">
        <v>5</v>
      </c>
      <c r="K148" s="346">
        <f t="shared" si="41"/>
        <v>6</v>
      </c>
      <c r="L148" s="346">
        <v>1</v>
      </c>
      <c r="M148" s="349">
        <v>4</v>
      </c>
      <c r="N148" s="255">
        <f t="shared" si="39"/>
        <v>1</v>
      </c>
      <c r="O148" s="310">
        <v>60</v>
      </c>
      <c r="P148" s="66">
        <v>12</v>
      </c>
      <c r="Q148" s="66"/>
      <c r="R148" s="66">
        <v>20</v>
      </c>
      <c r="S148" s="66">
        <v>20</v>
      </c>
      <c r="T148" s="66">
        <v>20</v>
      </c>
      <c r="U148" s="66">
        <v>0</v>
      </c>
      <c r="V148" s="66">
        <v>0</v>
      </c>
      <c r="W148" s="54">
        <v>0</v>
      </c>
      <c r="X148" s="55">
        <f>SUMIFS(Таблица3[Кол-во квартир],Таблица3[Адрес МКД],$D148)</f>
        <v>47</v>
      </c>
      <c r="Y148" s="56">
        <f t="shared" si="42"/>
        <v>5055.1000000000004</v>
      </c>
      <c r="Z148" s="253">
        <f>SUMIFS(Таблица3[Площадь жилая],Таблица3[Адрес МКД],$D148)</f>
        <v>2672.6</v>
      </c>
      <c r="AA148" s="261">
        <f>SUMIFS(Таблица3[Площадь нежилых помещений],Таблица3[Адрес МКД],$D148)</f>
        <v>651.5</v>
      </c>
      <c r="AB148" s="252">
        <f>SUMIFS(Таблица1[1],Таблица1[2],$D148)</f>
        <v>651.5</v>
      </c>
      <c r="AC148" s="57">
        <f t="shared" si="35"/>
        <v>651.5</v>
      </c>
      <c r="AD148" s="57">
        <f t="shared" si="36"/>
        <v>0</v>
      </c>
      <c r="AE148" s="58">
        <f>SUMIFS(Таблица1[8],Таблица1[2],$D148)+SUMIFS(Таблица1[18],Таблица1[2],$D148)</f>
        <v>651.5</v>
      </c>
      <c r="AF148" s="58">
        <f>SUMIFS(Таблица1[9],Таблица1[2],$D148)+SUMIFS(Таблица1[19],Таблица1[2],$D148)</f>
        <v>0</v>
      </c>
      <c r="AG148" s="59">
        <f t="shared" si="37"/>
        <v>1731</v>
      </c>
      <c r="AH148" s="59">
        <f t="shared" si="38"/>
        <v>1731</v>
      </c>
      <c r="AI148" s="60">
        <f>635.9-AM148</f>
        <v>635.9</v>
      </c>
      <c r="AJ148" s="60">
        <f t="shared" si="31"/>
        <v>635.9</v>
      </c>
      <c r="AK148" s="60">
        <f>SUMIFS(Таблица1[10],Таблица1[2],$D148)</f>
        <v>0</v>
      </c>
      <c r="AL148" s="60">
        <f>SUMIFS(Таблица1[11],Таблица1[2],$D148)</f>
        <v>0</v>
      </c>
      <c r="AM148" s="251">
        <v>0</v>
      </c>
      <c r="AN148" s="249">
        <f t="shared" si="32"/>
        <v>0</v>
      </c>
      <c r="AO148" s="249">
        <f>SUMIFS(Таблица1[12],Таблица1[2],$D148)</f>
        <v>0</v>
      </c>
      <c r="AP148" s="249">
        <f>SUMIFS(Таблица1[13],Таблица1[2],$D148)</f>
        <v>0</v>
      </c>
      <c r="AQ148" s="61">
        <v>327.10000000000002</v>
      </c>
      <c r="AR148" s="61">
        <f t="shared" si="33"/>
        <v>327.10000000000002</v>
      </c>
      <c r="AS148" s="60">
        <f>SUMIFS(Таблица1[14],Таблица1[2],$D148)</f>
        <v>0</v>
      </c>
      <c r="AT148" s="60">
        <f>SUMIFS(Таблица1[15],Таблица1[2],$D148)</f>
        <v>0</v>
      </c>
      <c r="AU148" s="61">
        <v>768</v>
      </c>
      <c r="AV148" s="61">
        <f t="shared" si="34"/>
        <v>768</v>
      </c>
      <c r="AW148" s="60">
        <f>SUMIFS(Таблица1[16],Таблица1[2],$D148)</f>
        <v>0</v>
      </c>
      <c r="AX148" s="60">
        <f>SUMIFS(Таблица1[17],Таблица1[2],$D148)</f>
        <v>0</v>
      </c>
      <c r="AY148" s="263"/>
      <c r="AZ148" s="264"/>
      <c r="BA148" s="296">
        <v>0</v>
      </c>
      <c r="BB148" s="296">
        <f t="shared" si="28"/>
        <v>0</v>
      </c>
      <c r="BC148" s="296">
        <v>0</v>
      </c>
      <c r="BD148" s="296">
        <v>0</v>
      </c>
      <c r="BE148" s="285"/>
      <c r="BF148" s="259">
        <v>2499</v>
      </c>
      <c r="BG148" s="260">
        <v>14275</v>
      </c>
      <c r="BH148" s="62" t="s">
        <v>940</v>
      </c>
      <c r="BI148" s="62" t="s">
        <v>935</v>
      </c>
      <c r="BJ148" s="62"/>
      <c r="BK148" s="267"/>
      <c r="BL148" s="267"/>
      <c r="BM148" s="267" t="s">
        <v>1649</v>
      </c>
      <c r="BN148" s="268"/>
      <c r="BO148" s="62">
        <v>17</v>
      </c>
      <c r="BP148" s="63">
        <v>28786</v>
      </c>
      <c r="BQ148" s="64" t="s">
        <v>1131</v>
      </c>
      <c r="BR148" s="372" t="s">
        <v>2747</v>
      </c>
      <c r="BS148" s="62">
        <v>10</v>
      </c>
      <c r="BT148" s="323">
        <v>50</v>
      </c>
      <c r="BU148" s="62">
        <v>196</v>
      </c>
      <c r="BV148" s="323" t="s">
        <v>2073</v>
      </c>
      <c r="BW148" s="62">
        <v>63</v>
      </c>
      <c r="BX148" s="336">
        <v>31</v>
      </c>
      <c r="BY148" s="336"/>
    </row>
    <row r="149" spans="1:77" ht="13.15" hidden="1" customHeight="1" outlineLevel="1" x14ac:dyDescent="0.2">
      <c r="A149" s="50">
        <f t="shared" si="40"/>
        <v>144</v>
      </c>
      <c r="B149" s="51">
        <v>13</v>
      </c>
      <c r="C149" s="51">
        <v>4</v>
      </c>
      <c r="D149" s="18" t="s">
        <v>691</v>
      </c>
      <c r="E149" s="18">
        <v>16</v>
      </c>
      <c r="F149" s="18">
        <v>3</v>
      </c>
      <c r="G149" s="52">
        <v>1</v>
      </c>
      <c r="H149" s="237">
        <v>1</v>
      </c>
      <c r="I149" s="53">
        <v>1960</v>
      </c>
      <c r="J149" s="348">
        <v>5</v>
      </c>
      <c r="K149" s="346">
        <f t="shared" si="41"/>
        <v>6</v>
      </c>
      <c r="L149" s="346">
        <v>1</v>
      </c>
      <c r="M149" s="349">
        <v>2</v>
      </c>
      <c r="N149" s="255">
        <f t="shared" si="39"/>
        <v>0</v>
      </c>
      <c r="O149" s="310">
        <v>40</v>
      </c>
      <c r="P149" s="66">
        <v>0</v>
      </c>
      <c r="Q149" s="66"/>
      <c r="R149" s="66">
        <v>10</v>
      </c>
      <c r="S149" s="66">
        <v>30</v>
      </c>
      <c r="T149" s="66">
        <v>0</v>
      </c>
      <c r="U149" s="66">
        <v>0</v>
      </c>
      <c r="V149" s="66">
        <v>0</v>
      </c>
      <c r="W149" s="54">
        <v>0</v>
      </c>
      <c r="X149" s="55">
        <f>SUMIFS(Таблица3[Кол-во квартир],Таблица3[Адрес МКД],$D149)</f>
        <v>40</v>
      </c>
      <c r="Y149" s="56">
        <f t="shared" si="42"/>
        <v>2449.4</v>
      </c>
      <c r="Z149" s="253">
        <f>SUMIFS(Таблица3[Площадь жилая],Таблица3[Адрес МКД],$D149)</f>
        <v>1616</v>
      </c>
      <c r="AA149" s="261">
        <f>SUMIFS(Таблица3[Площадь нежилых помещений],Таблица3[Адрес МКД],$D149)</f>
        <v>0</v>
      </c>
      <c r="AB149" s="252">
        <f>SUMIFS(Таблица1[1],Таблица1[2],$D149)</f>
        <v>0</v>
      </c>
      <c r="AC149" s="57">
        <f t="shared" si="35"/>
        <v>0</v>
      </c>
      <c r="AD149" s="57">
        <f t="shared" si="36"/>
        <v>0</v>
      </c>
      <c r="AE149" s="58">
        <f>SUMIFS(Таблица1[8],Таблица1[2],$D149)+SUMIFS(Таблица1[18],Таблица1[2],$D149)</f>
        <v>0</v>
      </c>
      <c r="AF149" s="58">
        <f>SUMIFS(Таблица1[9],Таблица1[2],$D149)+SUMIFS(Таблица1[19],Таблица1[2],$D149)</f>
        <v>0</v>
      </c>
      <c r="AG149" s="59">
        <f t="shared" si="37"/>
        <v>833.4</v>
      </c>
      <c r="AH149" s="59">
        <f t="shared" si="38"/>
        <v>833.4</v>
      </c>
      <c r="AI149" s="60">
        <f>310.8-AM149</f>
        <v>310.8</v>
      </c>
      <c r="AJ149" s="60">
        <f t="shared" si="31"/>
        <v>310.8</v>
      </c>
      <c r="AK149" s="60">
        <f>SUMIFS(Таблица1[10],Таблица1[2],$D149)</f>
        <v>0</v>
      </c>
      <c r="AL149" s="60">
        <f>SUMIFS(Таблица1[11],Таблица1[2],$D149)</f>
        <v>0</v>
      </c>
      <c r="AM149" s="251">
        <v>0</v>
      </c>
      <c r="AN149" s="249">
        <f t="shared" si="32"/>
        <v>0</v>
      </c>
      <c r="AO149" s="249">
        <f>SUMIFS(Таблица1[12],Таблица1[2],$D149)</f>
        <v>0</v>
      </c>
      <c r="AP149" s="249">
        <f>SUMIFS(Таблица1[13],Таблица1[2],$D149)</f>
        <v>0</v>
      </c>
      <c r="AQ149" s="61">
        <v>137.19999999999999</v>
      </c>
      <c r="AR149" s="61">
        <f t="shared" si="33"/>
        <v>137.19999999999999</v>
      </c>
      <c r="AS149" s="60">
        <f>SUMIFS(Таблица1[14],Таблица1[2],$D149)</f>
        <v>0</v>
      </c>
      <c r="AT149" s="60">
        <f>SUMIFS(Таблица1[15],Таблица1[2],$D149)</f>
        <v>0</v>
      </c>
      <c r="AU149" s="61">
        <v>385.4</v>
      </c>
      <c r="AV149" s="61">
        <f t="shared" si="34"/>
        <v>385.4</v>
      </c>
      <c r="AW149" s="60">
        <f>SUMIFS(Таблица1[16],Таблица1[2],$D149)</f>
        <v>0</v>
      </c>
      <c r="AX149" s="60">
        <f>SUMIFS(Таблица1[17],Таблица1[2],$D149)</f>
        <v>0</v>
      </c>
      <c r="AY149" s="263"/>
      <c r="AZ149" s="264"/>
      <c r="BA149" s="296">
        <v>0</v>
      </c>
      <c r="BB149" s="296">
        <f t="shared" ref="BB149:BB211" si="43">BA149-BC149-BD149</f>
        <v>0</v>
      </c>
      <c r="BC149" s="296">
        <v>0</v>
      </c>
      <c r="BD149" s="296">
        <v>0</v>
      </c>
      <c r="BE149" s="285"/>
      <c r="BF149" s="259">
        <v>1065</v>
      </c>
      <c r="BG149" s="260">
        <v>6315</v>
      </c>
      <c r="BH149" s="62" t="s">
        <v>943</v>
      </c>
      <c r="BI149" s="62" t="s">
        <v>935</v>
      </c>
      <c r="BJ149" s="62"/>
      <c r="BK149" s="267"/>
      <c r="BL149" s="267" t="s">
        <v>1649</v>
      </c>
      <c r="BM149" s="267"/>
      <c r="BN149" s="268"/>
      <c r="BO149" s="62">
        <v>14</v>
      </c>
      <c r="BP149" s="63">
        <v>28786</v>
      </c>
      <c r="BQ149" s="64" t="s">
        <v>1131</v>
      </c>
      <c r="BR149" s="372" t="s">
        <v>2747</v>
      </c>
      <c r="BS149" s="62">
        <v>32</v>
      </c>
      <c r="BT149" s="323">
        <v>50</v>
      </c>
      <c r="BU149" s="62">
        <v>148</v>
      </c>
      <c r="BV149" s="323" t="s">
        <v>2073</v>
      </c>
      <c r="BW149" s="62">
        <v>47</v>
      </c>
      <c r="BX149" s="336"/>
      <c r="BY149" s="336"/>
    </row>
    <row r="150" spans="1:77" ht="13.15" hidden="1" customHeight="1" outlineLevel="1" x14ac:dyDescent="0.2">
      <c r="A150" s="50">
        <f t="shared" si="40"/>
        <v>145</v>
      </c>
      <c r="B150" s="51">
        <v>14</v>
      </c>
      <c r="C150" s="51">
        <v>58</v>
      </c>
      <c r="D150" s="18" t="s">
        <v>670</v>
      </c>
      <c r="E150" s="18">
        <v>16</v>
      </c>
      <c r="F150" s="18">
        <v>4</v>
      </c>
      <c r="G150" s="52">
        <v>1</v>
      </c>
      <c r="H150" s="237">
        <v>1</v>
      </c>
      <c r="I150" s="65">
        <v>1962</v>
      </c>
      <c r="J150" s="349">
        <v>4</v>
      </c>
      <c r="K150" s="346">
        <f t="shared" si="41"/>
        <v>5</v>
      </c>
      <c r="L150" s="346">
        <v>1</v>
      </c>
      <c r="M150" s="349">
        <v>3</v>
      </c>
      <c r="N150" s="255">
        <f t="shared" si="39"/>
        <v>0</v>
      </c>
      <c r="O150" s="310">
        <v>36</v>
      </c>
      <c r="P150" s="66">
        <v>0</v>
      </c>
      <c r="Q150" s="66"/>
      <c r="R150" s="66">
        <v>6</v>
      </c>
      <c r="S150" s="66">
        <v>27</v>
      </c>
      <c r="T150" s="66">
        <v>3</v>
      </c>
      <c r="U150" s="66">
        <v>0</v>
      </c>
      <c r="V150" s="66">
        <v>0</v>
      </c>
      <c r="W150" s="54">
        <v>0</v>
      </c>
      <c r="X150" s="55">
        <f>SUMIFS(Таблица3[Кол-во квартир],Таблица3[Адрес МКД],$D150)</f>
        <v>36</v>
      </c>
      <c r="Y150" s="56">
        <f t="shared" si="42"/>
        <v>3328.5</v>
      </c>
      <c r="Z150" s="253">
        <f>SUMIFS(Таблица3[Площадь жилая],Таблица3[Адрес МКД],$D150)</f>
        <v>1512.9</v>
      </c>
      <c r="AA150" s="261">
        <f>SUMIFS(Таблица3[Площадь нежилых помещений],Таблица3[Адрес МКД],$D150)</f>
        <v>891.9</v>
      </c>
      <c r="AB150" s="252">
        <f>SUMIFS(Таблица1[1],Таблица1[2],$D150)</f>
        <v>891.9</v>
      </c>
      <c r="AC150" s="57">
        <f t="shared" si="35"/>
        <v>891.90000000000009</v>
      </c>
      <c r="AD150" s="57">
        <f t="shared" si="36"/>
        <v>0</v>
      </c>
      <c r="AE150" s="58">
        <f>SUMIFS(Таблица1[8],Таблица1[2],$D150)+SUMIFS(Таблица1[18],Таблица1[2],$D150)</f>
        <v>578.20000000000005</v>
      </c>
      <c r="AF150" s="58">
        <f>SUMIFS(Таблица1[9],Таблица1[2],$D150)+SUMIFS(Таблица1[19],Таблица1[2],$D150)</f>
        <v>0</v>
      </c>
      <c r="AG150" s="59">
        <f t="shared" si="37"/>
        <v>923.7</v>
      </c>
      <c r="AH150" s="59">
        <f t="shared" si="38"/>
        <v>923.7</v>
      </c>
      <c r="AI150" s="60">
        <f>447.7-AM150</f>
        <v>447.7</v>
      </c>
      <c r="AJ150" s="60">
        <f t="shared" si="31"/>
        <v>134</v>
      </c>
      <c r="AK150" s="60">
        <f>SUMIFS(Таблица1[10],Таблица1[2],$D150)</f>
        <v>313.7</v>
      </c>
      <c r="AL150" s="60">
        <f>SUMIFS(Таблица1[11],Таблица1[2],$D150)</f>
        <v>0</v>
      </c>
      <c r="AM150" s="251">
        <v>0</v>
      </c>
      <c r="AN150" s="249">
        <f t="shared" si="32"/>
        <v>0</v>
      </c>
      <c r="AO150" s="249">
        <f>SUMIFS(Таблица1[12],Таблица1[2],$D150)</f>
        <v>0</v>
      </c>
      <c r="AP150" s="249">
        <f>SUMIFS(Таблица1[13],Таблица1[2],$D150)</f>
        <v>0</v>
      </c>
      <c r="AQ150" s="61">
        <v>185.2</v>
      </c>
      <c r="AR150" s="61">
        <f t="shared" si="33"/>
        <v>185.2</v>
      </c>
      <c r="AS150" s="60">
        <f>SUMIFS(Таблица1[14],Таблица1[2],$D150)</f>
        <v>0</v>
      </c>
      <c r="AT150" s="60">
        <f>SUMIFS(Таблица1[15],Таблица1[2],$D150)</f>
        <v>0</v>
      </c>
      <c r="AU150" s="61">
        <v>604.5</v>
      </c>
      <c r="AV150" s="61">
        <f t="shared" si="34"/>
        <v>604.5</v>
      </c>
      <c r="AW150" s="60">
        <f>SUMIFS(Таблица1[16],Таблица1[2],$D150)</f>
        <v>0</v>
      </c>
      <c r="AX150" s="60">
        <f>SUMIFS(Таблица1[17],Таблица1[2],$D150)</f>
        <v>0</v>
      </c>
      <c r="AY150" s="263"/>
      <c r="AZ150" s="264"/>
      <c r="BA150" s="296">
        <v>0</v>
      </c>
      <c r="BB150" s="296">
        <f t="shared" si="43"/>
        <v>0</v>
      </c>
      <c r="BC150" s="296">
        <v>0</v>
      </c>
      <c r="BD150" s="296">
        <v>0</v>
      </c>
      <c r="BE150" s="285"/>
      <c r="BF150" s="259">
        <v>1905</v>
      </c>
      <c r="BG150" s="260">
        <f>2728+5709</f>
        <v>8437</v>
      </c>
      <c r="BH150" s="62" t="s">
        <v>942</v>
      </c>
      <c r="BI150" s="62" t="s">
        <v>935</v>
      </c>
      <c r="BJ150" s="62"/>
      <c r="BK150" s="267"/>
      <c r="BL150" s="267" t="s">
        <v>1649</v>
      </c>
      <c r="BM150" s="267"/>
      <c r="BN150" s="268"/>
      <c r="BO150" s="62">
        <v>12</v>
      </c>
      <c r="BP150" s="63">
        <v>28733</v>
      </c>
      <c r="BQ150" s="64" t="s">
        <v>1131</v>
      </c>
      <c r="BR150" s="372" t="s">
        <v>2747</v>
      </c>
      <c r="BS150" s="62"/>
      <c r="BT150" s="323"/>
      <c r="BU150" s="62"/>
      <c r="BV150" s="323"/>
      <c r="BW150" s="62"/>
      <c r="BX150" s="336"/>
      <c r="BY150" s="336"/>
    </row>
    <row r="151" spans="1:77" ht="13.15" hidden="1" customHeight="1" outlineLevel="1" x14ac:dyDescent="0.2">
      <c r="A151" s="50">
        <f t="shared" si="40"/>
        <v>146</v>
      </c>
      <c r="B151" s="51">
        <v>15</v>
      </c>
      <c r="C151" s="51">
        <v>5</v>
      </c>
      <c r="D151" s="18" t="s">
        <v>692</v>
      </c>
      <c r="E151" s="18">
        <v>16</v>
      </c>
      <c r="F151" s="18">
        <v>3</v>
      </c>
      <c r="G151" s="52">
        <v>1</v>
      </c>
      <c r="H151" s="237">
        <v>1</v>
      </c>
      <c r="I151" s="65">
        <v>1960</v>
      </c>
      <c r="J151" s="349">
        <v>5</v>
      </c>
      <c r="K151" s="346">
        <f t="shared" si="41"/>
        <v>6</v>
      </c>
      <c r="L151" s="346">
        <v>1</v>
      </c>
      <c r="M151" s="349">
        <v>2</v>
      </c>
      <c r="N151" s="255">
        <f t="shared" si="39"/>
        <v>-1</v>
      </c>
      <c r="O151" s="310">
        <v>31</v>
      </c>
      <c r="P151" s="327">
        <v>4</v>
      </c>
      <c r="Q151" s="66"/>
      <c r="R151" s="66">
        <v>16</v>
      </c>
      <c r="S151" s="66">
        <v>8</v>
      </c>
      <c r="T151" s="66">
        <v>7</v>
      </c>
      <c r="U151" s="66">
        <v>0</v>
      </c>
      <c r="V151" s="66">
        <v>0</v>
      </c>
      <c r="W151" s="54">
        <v>0</v>
      </c>
      <c r="X151" s="55">
        <f>SUMIFS(Таблица3[Кол-во квартир],Таблица3[Адрес МКД],$D151)</f>
        <v>28</v>
      </c>
      <c r="Y151" s="56">
        <f t="shared" si="42"/>
        <v>2445.3999999999996</v>
      </c>
      <c r="Z151" s="253">
        <f>SUMIFS(Таблица3[Площадь жилая],Таблица3[Адрес МКД],$D151)</f>
        <v>1123.0999999999999</v>
      </c>
      <c r="AA151" s="261">
        <f>SUMIFS(Таблица3[Площадь нежилых помещений],Таблица3[Адрес МКД],$D151)</f>
        <v>648</v>
      </c>
      <c r="AB151" s="252">
        <f>SUMIFS(Таблица1[1],Таблица1[2],$D151)</f>
        <v>648</v>
      </c>
      <c r="AC151" s="57">
        <f t="shared" si="35"/>
        <v>648</v>
      </c>
      <c r="AD151" s="57">
        <f t="shared" si="36"/>
        <v>0</v>
      </c>
      <c r="AE151" s="58">
        <f>SUMIFS(Таблица1[8],Таблица1[2],$D151)+SUMIFS(Таблица1[18],Таблица1[2],$D151)</f>
        <v>478.30000000000007</v>
      </c>
      <c r="AF151" s="58">
        <f>SUMIFS(Таблица1[9],Таблица1[2],$D151)+SUMIFS(Таблица1[19],Таблица1[2],$D151)</f>
        <v>0</v>
      </c>
      <c r="AG151" s="59">
        <f t="shared" si="37"/>
        <v>674.3</v>
      </c>
      <c r="AH151" s="59">
        <f t="shared" si="38"/>
        <v>674.3</v>
      </c>
      <c r="AI151" s="60">
        <f>335.6-AM151</f>
        <v>335.6</v>
      </c>
      <c r="AJ151" s="60">
        <f t="shared" si="31"/>
        <v>165.90000000000003</v>
      </c>
      <c r="AK151" s="60">
        <f>SUMIFS(Таблица1[10],Таблица1[2],$D151)</f>
        <v>169.7</v>
      </c>
      <c r="AL151" s="60">
        <f>SUMIFS(Таблица1[11],Таблица1[2],$D151)</f>
        <v>0</v>
      </c>
      <c r="AM151" s="251">
        <v>0</v>
      </c>
      <c r="AN151" s="249">
        <f t="shared" si="32"/>
        <v>0</v>
      </c>
      <c r="AO151" s="249">
        <f>SUMIFS(Таблица1[12],Таблица1[2],$D151)</f>
        <v>0</v>
      </c>
      <c r="AP151" s="249">
        <f>SUMIFS(Таблица1[13],Таблица1[2],$D151)</f>
        <v>0</v>
      </c>
      <c r="AQ151" s="61">
        <v>132.6</v>
      </c>
      <c r="AR151" s="61">
        <f t="shared" si="33"/>
        <v>132.6</v>
      </c>
      <c r="AS151" s="60">
        <f>SUMIFS(Таблица1[14],Таблица1[2],$D151)</f>
        <v>0</v>
      </c>
      <c r="AT151" s="60">
        <f>SUMIFS(Таблица1[15],Таблица1[2],$D151)</f>
        <v>0</v>
      </c>
      <c r="AU151" s="61">
        <v>375.8</v>
      </c>
      <c r="AV151" s="61">
        <f t="shared" si="34"/>
        <v>375.8</v>
      </c>
      <c r="AW151" s="60">
        <f>SUMIFS(Таблица1[16],Таблица1[2],$D151)</f>
        <v>0</v>
      </c>
      <c r="AX151" s="60">
        <f>SUMIFS(Таблица1[17],Таблица1[2],$D151)</f>
        <v>0</v>
      </c>
      <c r="AY151" s="263"/>
      <c r="AZ151" s="264"/>
      <c r="BA151" s="296">
        <v>0</v>
      </c>
      <c r="BB151" s="296">
        <f t="shared" si="43"/>
        <v>0</v>
      </c>
      <c r="BC151" s="296">
        <v>0</v>
      </c>
      <c r="BD151" s="296">
        <v>0</v>
      </c>
      <c r="BE151" s="285"/>
      <c r="BF151" s="259">
        <v>1133</v>
      </c>
      <c r="BG151" s="260">
        <f>1634+4803</f>
        <v>6437</v>
      </c>
      <c r="BH151" s="67" t="s">
        <v>1008</v>
      </c>
      <c r="BI151" s="62" t="s">
        <v>935</v>
      </c>
      <c r="BJ151" s="62"/>
      <c r="BK151" s="267"/>
      <c r="BL151" s="267" t="s">
        <v>1649</v>
      </c>
      <c r="BM151" s="267"/>
      <c r="BN151" s="268"/>
      <c r="BO151" s="62">
        <v>17</v>
      </c>
      <c r="BP151" s="63">
        <v>28786</v>
      </c>
      <c r="BQ151" s="64" t="s">
        <v>1131</v>
      </c>
      <c r="BR151" s="372" t="s">
        <v>2747</v>
      </c>
      <c r="BS151" s="62">
        <v>48</v>
      </c>
      <c r="BT151" s="323">
        <v>50</v>
      </c>
      <c r="BU151" s="62">
        <v>120</v>
      </c>
      <c r="BV151" s="323" t="s">
        <v>2073</v>
      </c>
      <c r="BW151" s="62">
        <v>38</v>
      </c>
      <c r="BX151" s="336"/>
      <c r="BY151" s="336"/>
    </row>
    <row r="152" spans="1:77" ht="13.15" hidden="1" customHeight="1" outlineLevel="1" x14ac:dyDescent="0.2">
      <c r="A152" s="50">
        <f t="shared" si="40"/>
        <v>147</v>
      </c>
      <c r="B152" s="51">
        <v>16</v>
      </c>
      <c r="C152" s="51">
        <v>6</v>
      </c>
      <c r="D152" s="18" t="s">
        <v>693</v>
      </c>
      <c r="E152" s="18">
        <v>16</v>
      </c>
      <c r="F152" s="18">
        <v>3</v>
      </c>
      <c r="G152" s="52">
        <v>1</v>
      </c>
      <c r="H152" s="237">
        <v>1</v>
      </c>
      <c r="I152" s="65">
        <v>1960</v>
      </c>
      <c r="J152" s="349">
        <v>5</v>
      </c>
      <c r="K152" s="346">
        <f t="shared" si="41"/>
        <v>6</v>
      </c>
      <c r="L152" s="346">
        <v>1</v>
      </c>
      <c r="M152" s="349">
        <v>2</v>
      </c>
      <c r="N152" s="255">
        <f t="shared" si="39"/>
        <v>0</v>
      </c>
      <c r="O152" s="310">
        <v>40</v>
      </c>
      <c r="P152" s="66">
        <v>0</v>
      </c>
      <c r="Q152" s="66"/>
      <c r="R152" s="66">
        <v>20</v>
      </c>
      <c r="S152" s="66">
        <v>10</v>
      </c>
      <c r="T152" s="66">
        <v>10</v>
      </c>
      <c r="U152" s="66">
        <v>0</v>
      </c>
      <c r="V152" s="66">
        <v>0</v>
      </c>
      <c r="W152" s="54">
        <v>0</v>
      </c>
      <c r="X152" s="55">
        <f>SUMIFS(Таблица3[Кол-во квартир],Таблица3[Адрес МКД],$D152)</f>
        <v>40</v>
      </c>
      <c r="Y152" s="56">
        <f t="shared" si="42"/>
        <v>2435.1999999999998</v>
      </c>
      <c r="Z152" s="253">
        <f>SUMIFS(Таблица3[Площадь жилая],Таблица3[Адрес МКД],$D152)</f>
        <v>1617.2</v>
      </c>
      <c r="AA152" s="261">
        <f>SUMIFS(Таблица3[Площадь нежилых помещений],Таблица3[Адрес МКД],$D152)</f>
        <v>0</v>
      </c>
      <c r="AB152" s="252">
        <f>SUMIFS(Таблица1[1],Таблица1[2],$D152)</f>
        <v>0</v>
      </c>
      <c r="AC152" s="57">
        <f t="shared" si="35"/>
        <v>0</v>
      </c>
      <c r="AD152" s="57">
        <f t="shared" si="36"/>
        <v>0</v>
      </c>
      <c r="AE152" s="58">
        <f>SUMIFS(Таблица1[8],Таблица1[2],$D152)+SUMIFS(Таблица1[18],Таблица1[2],$D152)</f>
        <v>0</v>
      </c>
      <c r="AF152" s="58">
        <f>SUMIFS(Таблица1[9],Таблица1[2],$D152)+SUMIFS(Таблица1[19],Таблица1[2],$D152)</f>
        <v>0</v>
      </c>
      <c r="AG152" s="59">
        <f t="shared" si="37"/>
        <v>818</v>
      </c>
      <c r="AH152" s="59">
        <f t="shared" si="38"/>
        <v>818</v>
      </c>
      <c r="AI152" s="60">
        <f>310.3-AM152</f>
        <v>310.3</v>
      </c>
      <c r="AJ152" s="60">
        <f t="shared" si="31"/>
        <v>310.3</v>
      </c>
      <c r="AK152" s="60">
        <f>SUMIFS(Таблица1[10],Таблица1[2],$D152)</f>
        <v>0</v>
      </c>
      <c r="AL152" s="60">
        <f>SUMIFS(Таблица1[11],Таблица1[2],$D152)</f>
        <v>0</v>
      </c>
      <c r="AM152" s="251">
        <v>0</v>
      </c>
      <c r="AN152" s="249">
        <f t="shared" si="32"/>
        <v>0</v>
      </c>
      <c r="AO152" s="249">
        <f>SUMIFS(Таблица1[12],Таблица1[2],$D152)</f>
        <v>0</v>
      </c>
      <c r="AP152" s="249">
        <f>SUMIFS(Таблица1[13],Таблица1[2],$D152)</f>
        <v>0</v>
      </c>
      <c r="AQ152" s="61">
        <v>120.7</v>
      </c>
      <c r="AR152" s="61">
        <f t="shared" si="33"/>
        <v>120.7</v>
      </c>
      <c r="AS152" s="60">
        <f>SUMIFS(Таблица1[14],Таблица1[2],$D152)</f>
        <v>0</v>
      </c>
      <c r="AT152" s="60">
        <f>SUMIFS(Таблица1[15],Таблица1[2],$D152)</f>
        <v>0</v>
      </c>
      <c r="AU152" s="61">
        <v>387</v>
      </c>
      <c r="AV152" s="61">
        <f t="shared" si="34"/>
        <v>387</v>
      </c>
      <c r="AW152" s="60">
        <f>SUMIFS(Таблица1[16],Таблица1[2],$D152)</f>
        <v>0</v>
      </c>
      <c r="AX152" s="60">
        <f>SUMIFS(Таблица1[17],Таблица1[2],$D152)</f>
        <v>0</v>
      </c>
      <c r="AY152" s="263"/>
      <c r="AZ152" s="264"/>
      <c r="BA152" s="296">
        <v>0</v>
      </c>
      <c r="BB152" s="296">
        <f t="shared" si="43"/>
        <v>0</v>
      </c>
      <c r="BC152" s="296">
        <v>0</v>
      </c>
      <c r="BD152" s="296">
        <v>0</v>
      </c>
      <c r="BE152" s="285"/>
      <c r="BF152" s="259">
        <v>1067</v>
      </c>
      <c r="BG152" s="260">
        <v>6296</v>
      </c>
      <c r="BH152" s="62" t="s">
        <v>940</v>
      </c>
      <c r="BI152" s="62" t="s">
        <v>935</v>
      </c>
      <c r="BJ152" s="62"/>
      <c r="BK152" s="267"/>
      <c r="BL152" s="267" t="s">
        <v>1649</v>
      </c>
      <c r="BM152" s="267"/>
      <c r="BN152" s="268"/>
      <c r="BO152" s="62">
        <v>17</v>
      </c>
      <c r="BP152" s="63">
        <v>28786</v>
      </c>
      <c r="BQ152" s="64" t="s">
        <v>1131</v>
      </c>
      <c r="BR152" s="372" t="s">
        <v>2747</v>
      </c>
      <c r="BS152" s="62">
        <v>5</v>
      </c>
      <c r="BT152" s="323">
        <v>50</v>
      </c>
      <c r="BU152" s="62">
        <v>152</v>
      </c>
      <c r="BV152" s="323" t="s">
        <v>2073</v>
      </c>
      <c r="BW152" s="62">
        <v>48</v>
      </c>
      <c r="BX152" s="336"/>
      <c r="BY152" s="336"/>
    </row>
    <row r="153" spans="1:77" ht="13.15" hidden="1" customHeight="1" outlineLevel="1" x14ac:dyDescent="0.2">
      <c r="A153" s="50">
        <f t="shared" si="40"/>
        <v>148</v>
      </c>
      <c r="B153" s="51">
        <v>17</v>
      </c>
      <c r="C153" s="51">
        <v>59</v>
      </c>
      <c r="D153" s="18" t="s">
        <v>671</v>
      </c>
      <c r="E153" s="18">
        <v>16</v>
      </c>
      <c r="F153" s="18">
        <v>4</v>
      </c>
      <c r="G153" s="52">
        <v>1</v>
      </c>
      <c r="H153" s="237">
        <v>1</v>
      </c>
      <c r="I153" s="65">
        <v>1958</v>
      </c>
      <c r="J153" s="349">
        <v>5</v>
      </c>
      <c r="K153" s="346">
        <f t="shared" si="41"/>
        <v>6</v>
      </c>
      <c r="L153" s="346">
        <v>1</v>
      </c>
      <c r="M153" s="349">
        <v>4</v>
      </c>
      <c r="N153" s="255">
        <f t="shared" si="39"/>
        <v>0</v>
      </c>
      <c r="O153" s="310">
        <v>40</v>
      </c>
      <c r="P153" s="66">
        <v>8</v>
      </c>
      <c r="Q153" s="66"/>
      <c r="R153" s="66">
        <v>0</v>
      </c>
      <c r="S153" s="66">
        <v>20</v>
      </c>
      <c r="T153" s="66">
        <v>20</v>
      </c>
      <c r="U153" s="66">
        <v>0</v>
      </c>
      <c r="V153" s="66">
        <v>0</v>
      </c>
      <c r="W153" s="54">
        <v>0</v>
      </c>
      <c r="X153" s="55">
        <f>SUMIFS(Таблица3[Кол-во квартир],Таблица3[Адрес МКД],$D153)</f>
        <v>32</v>
      </c>
      <c r="Y153" s="56">
        <f t="shared" si="42"/>
        <v>4150.9000000000005</v>
      </c>
      <c r="Z153" s="253">
        <f>SUMIFS(Таблица3[Площадь жилая],Таблица3[Адрес МКД],$D153)</f>
        <v>2074</v>
      </c>
      <c r="AA153" s="261">
        <f>SUMIFS(Таблица3[Площадь нежилых помещений],Таблица3[Адрес МКД],$D153)</f>
        <v>669.4</v>
      </c>
      <c r="AB153" s="252">
        <f>SUMIFS(Таблица1[1],Таблица1[2],$D153)</f>
        <v>793.8</v>
      </c>
      <c r="AC153" s="57">
        <f t="shared" si="35"/>
        <v>669.4</v>
      </c>
      <c r="AD153" s="57">
        <f t="shared" si="36"/>
        <v>124.39999999999999</v>
      </c>
      <c r="AE153" s="58">
        <f>SUMIFS(Таблица1[8],Таблица1[2],$D153)+SUMIFS(Таблица1[18],Таблица1[2],$D153)</f>
        <v>515.9</v>
      </c>
      <c r="AF153" s="58">
        <f>SUMIFS(Таблица1[9],Таблица1[2],$D153)+SUMIFS(Таблица1[19],Таблица1[2],$D153)</f>
        <v>0</v>
      </c>
      <c r="AG153" s="59">
        <f t="shared" si="37"/>
        <v>1283.1000000000001</v>
      </c>
      <c r="AH153" s="59">
        <f t="shared" si="38"/>
        <v>1407.5</v>
      </c>
      <c r="AI153" s="60">
        <f>538-AM153</f>
        <v>538</v>
      </c>
      <c r="AJ153" s="60">
        <f t="shared" si="31"/>
        <v>260.10000000000002</v>
      </c>
      <c r="AK153" s="60">
        <f>SUMIFS(Таблица1[10],Таблица1[2],$D153)</f>
        <v>153.5</v>
      </c>
      <c r="AL153" s="60">
        <f>SUMIFS(Таблица1[11],Таблица1[2],$D153)</f>
        <v>124.39999999999999</v>
      </c>
      <c r="AM153" s="251">
        <v>0</v>
      </c>
      <c r="AN153" s="249">
        <f t="shared" si="32"/>
        <v>0</v>
      </c>
      <c r="AO153" s="249">
        <f>SUMIFS(Таблица1[12],Таблица1[2],$D153)</f>
        <v>0</v>
      </c>
      <c r="AP153" s="249">
        <f>SUMIFS(Таблица1[13],Таблица1[2],$D153)</f>
        <v>0</v>
      </c>
      <c r="AQ153" s="61">
        <v>367.3</v>
      </c>
      <c r="AR153" s="61">
        <f t="shared" si="33"/>
        <v>367.3</v>
      </c>
      <c r="AS153" s="60">
        <f>SUMIFS(Таблица1[14],Таблица1[2],$D153)</f>
        <v>0</v>
      </c>
      <c r="AT153" s="60">
        <f>SUMIFS(Таблица1[15],Таблица1[2],$D153)</f>
        <v>0</v>
      </c>
      <c r="AU153" s="61">
        <v>655.7</v>
      </c>
      <c r="AV153" s="61">
        <f t="shared" si="34"/>
        <v>655.7</v>
      </c>
      <c r="AW153" s="60">
        <f>SUMIFS(Таблица1[16],Таблица1[2],$D153)</f>
        <v>0</v>
      </c>
      <c r="AX153" s="60">
        <f>SUMIFS(Таблица1[17],Таблица1[2],$D153)</f>
        <v>0</v>
      </c>
      <c r="AY153" s="263"/>
      <c r="AZ153" s="264"/>
      <c r="BA153" s="296">
        <v>0</v>
      </c>
      <c r="BB153" s="296">
        <f t="shared" si="43"/>
        <v>0</v>
      </c>
      <c r="BC153" s="296">
        <v>0</v>
      </c>
      <c r="BD153" s="296">
        <v>0</v>
      </c>
      <c r="BE153" s="285"/>
      <c r="BF153" s="259">
        <v>2221</v>
      </c>
      <c r="BG153" s="260">
        <v>12063</v>
      </c>
      <c r="BH153" s="62" t="s">
        <v>936</v>
      </c>
      <c r="BI153" s="62" t="s">
        <v>935</v>
      </c>
      <c r="BJ153" s="62"/>
      <c r="BK153" s="267"/>
      <c r="BL153" s="267"/>
      <c r="BM153" s="267" t="s">
        <v>1649</v>
      </c>
      <c r="BN153" s="268"/>
      <c r="BO153" s="62">
        <v>35</v>
      </c>
      <c r="BP153" s="63">
        <v>44243</v>
      </c>
      <c r="BQ153" s="64" t="s">
        <v>1131</v>
      </c>
      <c r="BR153" s="372" t="s">
        <v>2747</v>
      </c>
      <c r="BS153" s="62"/>
      <c r="BT153" s="323"/>
      <c r="BU153" s="62"/>
      <c r="BV153" s="323"/>
      <c r="BW153" s="62"/>
      <c r="BX153" s="336">
        <v>29</v>
      </c>
      <c r="BY153" s="336" t="s">
        <v>1649</v>
      </c>
    </row>
    <row r="154" spans="1:77" ht="13.15" hidden="1" customHeight="1" outlineLevel="1" x14ac:dyDescent="0.2">
      <c r="A154" s="50">
        <f t="shared" si="40"/>
        <v>149</v>
      </c>
      <c r="B154" s="51">
        <v>18</v>
      </c>
      <c r="C154" s="51">
        <v>60</v>
      </c>
      <c r="D154" s="18" t="s">
        <v>672</v>
      </c>
      <c r="E154" s="18">
        <v>16</v>
      </c>
      <c r="F154" s="18">
        <v>4</v>
      </c>
      <c r="G154" s="52">
        <v>1</v>
      </c>
      <c r="H154" s="237">
        <v>1</v>
      </c>
      <c r="I154" s="65">
        <v>1958</v>
      </c>
      <c r="J154" s="349">
        <v>5</v>
      </c>
      <c r="K154" s="346">
        <f t="shared" si="41"/>
        <v>6</v>
      </c>
      <c r="L154" s="346">
        <v>1</v>
      </c>
      <c r="M154" s="349">
        <v>4</v>
      </c>
      <c r="N154" s="255">
        <f t="shared" si="39"/>
        <v>1</v>
      </c>
      <c r="O154" s="310">
        <v>60</v>
      </c>
      <c r="P154" s="66">
        <v>0</v>
      </c>
      <c r="Q154" s="66">
        <v>1</v>
      </c>
      <c r="R154" s="66">
        <v>20</v>
      </c>
      <c r="S154" s="66">
        <v>20</v>
      </c>
      <c r="T154" s="66">
        <v>20</v>
      </c>
      <c r="U154" s="66">
        <v>0</v>
      </c>
      <c r="V154" s="66">
        <v>0</v>
      </c>
      <c r="W154" s="54">
        <v>0</v>
      </c>
      <c r="X154" s="55">
        <f>SUMIFS(Таблица3[Кол-во квартир],Таблица3[Адрес МКД],$D154)</f>
        <v>58</v>
      </c>
      <c r="Y154" s="56">
        <f t="shared" si="42"/>
        <v>5159.3</v>
      </c>
      <c r="Z154" s="253">
        <f>SUMIFS(Таблица3[Площадь жилая],Таблица3[Адрес МКД],$D154)</f>
        <v>3327.5</v>
      </c>
      <c r="AA154" s="261">
        <f>SUMIFS(Таблица3[Площадь нежилых помещений],Таблица3[Адрес МКД],$D154)</f>
        <v>0</v>
      </c>
      <c r="AB154" s="252">
        <f>SUMIFS(Таблица1[1],Таблица1[2],$D154)</f>
        <v>0</v>
      </c>
      <c r="AC154" s="57">
        <f t="shared" si="35"/>
        <v>0</v>
      </c>
      <c r="AD154" s="57">
        <f t="shared" si="36"/>
        <v>0</v>
      </c>
      <c r="AE154" s="58">
        <f>SUMIFS(Таблица1[8],Таблица1[2],$D154)+SUMIFS(Таблица1[18],Таблица1[2],$D154)</f>
        <v>0</v>
      </c>
      <c r="AF154" s="58">
        <f>SUMIFS(Таблица1[9],Таблица1[2],$D154)+SUMIFS(Таблица1[19],Таблица1[2],$D154)</f>
        <v>0</v>
      </c>
      <c r="AG154" s="59">
        <f t="shared" si="37"/>
        <v>1831.8</v>
      </c>
      <c r="AH154" s="59">
        <f t="shared" si="38"/>
        <v>1831.8</v>
      </c>
      <c r="AI154" s="60">
        <f>634-AM154</f>
        <v>634</v>
      </c>
      <c r="AJ154" s="60">
        <f t="shared" si="31"/>
        <v>634</v>
      </c>
      <c r="AK154" s="60">
        <f>SUMIFS(Таблица1[10],Таблица1[2],$D154)</f>
        <v>0</v>
      </c>
      <c r="AL154" s="60">
        <f>SUMIFS(Таблица1[11],Таблица1[2],$D154)</f>
        <v>0</v>
      </c>
      <c r="AM154" s="251">
        <v>0</v>
      </c>
      <c r="AN154" s="249">
        <f t="shared" si="32"/>
        <v>0</v>
      </c>
      <c r="AO154" s="249">
        <f>SUMIFS(Таблица1[12],Таблица1[2],$D154)</f>
        <v>0</v>
      </c>
      <c r="AP154" s="249">
        <f>SUMIFS(Таблица1[13],Таблица1[2],$D154)</f>
        <v>0</v>
      </c>
      <c r="AQ154" s="61">
        <v>372.8</v>
      </c>
      <c r="AR154" s="61">
        <f t="shared" si="33"/>
        <v>372.8</v>
      </c>
      <c r="AS154" s="60">
        <f>SUMIFS(Таблица1[14],Таблица1[2],$D154)</f>
        <v>0</v>
      </c>
      <c r="AT154" s="60">
        <f>SUMIFS(Таблица1[15],Таблица1[2],$D154)</f>
        <v>0</v>
      </c>
      <c r="AU154" s="61">
        <v>825</v>
      </c>
      <c r="AV154" s="61">
        <f t="shared" si="34"/>
        <v>825</v>
      </c>
      <c r="AW154" s="60">
        <f>SUMIFS(Таблица1[16],Таблица1[2],$D154)</f>
        <v>0</v>
      </c>
      <c r="AX154" s="60">
        <f>SUMIFS(Таблица1[17],Таблица1[2],$D154)</f>
        <v>0</v>
      </c>
      <c r="AY154" s="263"/>
      <c r="AZ154" s="264"/>
      <c r="BA154" s="296">
        <v>0</v>
      </c>
      <c r="BB154" s="296">
        <f t="shared" si="43"/>
        <v>0</v>
      </c>
      <c r="BC154" s="296">
        <v>0</v>
      </c>
      <c r="BD154" s="296">
        <v>0</v>
      </c>
      <c r="BE154" s="285"/>
      <c r="BF154" s="259">
        <v>2669</v>
      </c>
      <c r="BG154" s="260">
        <v>15194</v>
      </c>
      <c r="BH154" s="62" t="s">
        <v>936</v>
      </c>
      <c r="BI154" s="62" t="s">
        <v>935</v>
      </c>
      <c r="BJ154" s="62"/>
      <c r="BK154" s="267"/>
      <c r="BL154" s="267"/>
      <c r="BM154" s="267" t="s">
        <v>1649</v>
      </c>
      <c r="BN154" s="268"/>
      <c r="BO154" s="62">
        <v>35</v>
      </c>
      <c r="BP154" s="63">
        <v>44243</v>
      </c>
      <c r="BQ154" s="64" t="s">
        <v>1131</v>
      </c>
      <c r="BR154" s="372" t="s">
        <v>2747</v>
      </c>
      <c r="BS154" s="62"/>
      <c r="BT154" s="323"/>
      <c r="BU154" s="62"/>
      <c r="BV154" s="323"/>
      <c r="BW154" s="62"/>
      <c r="BX154" s="336">
        <v>32</v>
      </c>
      <c r="BY154" s="336" t="s">
        <v>1649</v>
      </c>
    </row>
    <row r="155" spans="1:77" ht="13.15" hidden="1" customHeight="1" outlineLevel="1" x14ac:dyDescent="0.2">
      <c r="A155" s="50">
        <f t="shared" si="40"/>
        <v>150</v>
      </c>
      <c r="B155" s="51">
        <v>19</v>
      </c>
      <c r="C155" s="51">
        <v>61</v>
      </c>
      <c r="D155" s="18" t="s">
        <v>673</v>
      </c>
      <c r="E155" s="18">
        <v>16</v>
      </c>
      <c r="F155" s="18">
        <v>4</v>
      </c>
      <c r="G155" s="52">
        <v>1</v>
      </c>
      <c r="H155" s="237">
        <v>1</v>
      </c>
      <c r="I155" s="65">
        <v>1958</v>
      </c>
      <c r="J155" s="349">
        <v>5</v>
      </c>
      <c r="K155" s="346">
        <f t="shared" si="41"/>
        <v>6</v>
      </c>
      <c r="L155" s="346">
        <v>1</v>
      </c>
      <c r="M155" s="349">
        <v>4</v>
      </c>
      <c r="N155" s="255">
        <f t="shared" si="39"/>
        <v>1</v>
      </c>
      <c r="O155" s="310">
        <v>40</v>
      </c>
      <c r="P155" s="66">
        <v>7</v>
      </c>
      <c r="Q155" s="66"/>
      <c r="R155" s="66">
        <v>0</v>
      </c>
      <c r="S155" s="66">
        <v>20</v>
      </c>
      <c r="T155" s="66">
        <v>20</v>
      </c>
      <c r="U155" s="66">
        <v>0</v>
      </c>
      <c r="V155" s="66">
        <v>0</v>
      </c>
      <c r="W155" s="54">
        <v>0</v>
      </c>
      <c r="X155" s="55">
        <f>SUMIFS(Таблица3[Кол-во квартир],Таблица3[Адрес МКД],$D155)</f>
        <v>32</v>
      </c>
      <c r="Y155" s="56">
        <f t="shared" si="42"/>
        <v>4151.3</v>
      </c>
      <c r="Z155" s="253">
        <f>SUMIFS(Таблица3[Площадь жилая],Таблица3[Адрес МКД],$D155)</f>
        <v>2144</v>
      </c>
      <c r="AA155" s="261">
        <f>SUMIFS(Таблица3[Площадь нежилых помещений],Таблица3[Адрес МКД],$D155)</f>
        <v>434.7</v>
      </c>
      <c r="AB155" s="252">
        <f>SUMIFS(Таблица1[1],Таблица1[2],$D155)</f>
        <v>574.5</v>
      </c>
      <c r="AC155" s="57">
        <f t="shared" si="35"/>
        <v>519.70000000000005</v>
      </c>
      <c r="AD155" s="57">
        <f t="shared" si="36"/>
        <v>54.8</v>
      </c>
      <c r="AE155" s="58">
        <f>SUMIFS(Таблица1[8],Таблица1[2],$D155)+SUMIFS(Таблица1[18],Таблица1[2],$D155)</f>
        <v>434.7</v>
      </c>
      <c r="AF155" s="58">
        <f>SUMIFS(Таблица1[9],Таблица1[2],$D155)+SUMIFS(Таблица1[19],Таблица1[2],$D155)</f>
        <v>0</v>
      </c>
      <c r="AG155" s="59">
        <f t="shared" si="37"/>
        <v>1432.8</v>
      </c>
      <c r="AH155" s="59">
        <f t="shared" si="38"/>
        <v>1487.6</v>
      </c>
      <c r="AI155" s="60">
        <f>549.4-AM155</f>
        <v>549.4</v>
      </c>
      <c r="AJ155" s="60">
        <f t="shared" si="31"/>
        <v>409.59999999999997</v>
      </c>
      <c r="AK155" s="60">
        <f>SUMIFS(Таблица1[10],Таблица1[2],$D155)</f>
        <v>85</v>
      </c>
      <c r="AL155" s="60">
        <f>SUMIFS(Таблица1[11],Таблица1[2],$D155)</f>
        <v>54.8</v>
      </c>
      <c r="AM155" s="251">
        <v>0</v>
      </c>
      <c r="AN155" s="249">
        <f t="shared" si="32"/>
        <v>0</v>
      </c>
      <c r="AO155" s="249">
        <f>SUMIFS(Таблица1[12],Таблица1[2],$D155)</f>
        <v>0</v>
      </c>
      <c r="AP155" s="249">
        <f>SUMIFS(Таблица1[13],Таблица1[2],$D155)</f>
        <v>0</v>
      </c>
      <c r="AQ155" s="61">
        <v>369</v>
      </c>
      <c r="AR155" s="61">
        <f t="shared" si="33"/>
        <v>369</v>
      </c>
      <c r="AS155" s="60">
        <f>SUMIFS(Таблица1[14],Таблица1[2],$D155)</f>
        <v>0</v>
      </c>
      <c r="AT155" s="60">
        <f>SUMIFS(Таблица1[15],Таблица1[2],$D155)</f>
        <v>0</v>
      </c>
      <c r="AU155" s="61">
        <v>654.20000000000005</v>
      </c>
      <c r="AV155" s="61">
        <f t="shared" si="34"/>
        <v>654.20000000000005</v>
      </c>
      <c r="AW155" s="60">
        <f>SUMIFS(Таблица1[16],Таблица1[2],$D155)</f>
        <v>0</v>
      </c>
      <c r="AX155" s="60">
        <f>SUMIFS(Таблица1[17],Таблица1[2],$D155)</f>
        <v>0</v>
      </c>
      <c r="AY155" s="263">
        <f>Нежилые!G867</f>
        <v>85</v>
      </c>
      <c r="AZ155" s="264"/>
      <c r="BA155" s="296">
        <v>0</v>
      </c>
      <c r="BB155" s="296">
        <f t="shared" si="43"/>
        <v>0</v>
      </c>
      <c r="BC155" s="296">
        <v>0</v>
      </c>
      <c r="BD155" s="296">
        <v>0</v>
      </c>
      <c r="BE155" s="285"/>
      <c r="BF155" s="259">
        <v>2251</v>
      </c>
      <c r="BG155" s="260">
        <v>12111</v>
      </c>
      <c r="BH155" s="62" t="s">
        <v>936</v>
      </c>
      <c r="BI155" s="62" t="s">
        <v>935</v>
      </c>
      <c r="BJ155" s="62"/>
      <c r="BK155" s="267"/>
      <c r="BL155" s="267"/>
      <c r="BM155" s="267" t="s">
        <v>1649</v>
      </c>
      <c r="BN155" s="268"/>
      <c r="BO155" s="62">
        <v>35</v>
      </c>
      <c r="BP155" s="63">
        <v>44243</v>
      </c>
      <c r="BQ155" s="64" t="s">
        <v>1131</v>
      </c>
      <c r="BR155" s="372" t="s">
        <v>2747</v>
      </c>
      <c r="BS155" s="62"/>
      <c r="BT155" s="323"/>
      <c r="BU155" s="62"/>
      <c r="BV155" s="323"/>
      <c r="BW155" s="62"/>
      <c r="BX155" s="336">
        <v>29</v>
      </c>
      <c r="BY155" s="336" t="s">
        <v>1649</v>
      </c>
    </row>
    <row r="156" spans="1:77" ht="13.15" hidden="1" customHeight="1" outlineLevel="1" x14ac:dyDescent="0.2">
      <c r="A156" s="50">
        <f t="shared" si="40"/>
        <v>151</v>
      </c>
      <c r="B156" s="51">
        <v>20</v>
      </c>
      <c r="C156" s="51">
        <v>62</v>
      </c>
      <c r="D156" s="18" t="s">
        <v>674</v>
      </c>
      <c r="E156" s="18">
        <v>16</v>
      </c>
      <c r="F156" s="18">
        <v>4</v>
      </c>
      <c r="G156" s="52">
        <v>1</v>
      </c>
      <c r="H156" s="237">
        <v>1</v>
      </c>
      <c r="I156" s="65">
        <v>1958</v>
      </c>
      <c r="J156" s="349">
        <v>5</v>
      </c>
      <c r="K156" s="346">
        <f t="shared" si="41"/>
        <v>6</v>
      </c>
      <c r="L156" s="346">
        <v>1</v>
      </c>
      <c r="M156" s="349">
        <v>4</v>
      </c>
      <c r="N156" s="255">
        <f t="shared" si="39"/>
        <v>0</v>
      </c>
      <c r="O156" s="310">
        <v>60</v>
      </c>
      <c r="P156" s="66">
        <v>0</v>
      </c>
      <c r="Q156" s="66"/>
      <c r="R156" s="66">
        <v>20</v>
      </c>
      <c r="S156" s="66">
        <v>20</v>
      </c>
      <c r="T156" s="66">
        <v>20</v>
      </c>
      <c r="U156" s="66">
        <v>0</v>
      </c>
      <c r="V156" s="66">
        <v>0</v>
      </c>
      <c r="W156" s="54">
        <v>0</v>
      </c>
      <c r="X156" s="55">
        <f>SUMIFS(Таблица3[Кол-во квартир],Таблица3[Адрес МКД],$D156)</f>
        <v>60</v>
      </c>
      <c r="Y156" s="56">
        <f t="shared" si="42"/>
        <v>5174.3</v>
      </c>
      <c r="Z156" s="253">
        <f>SUMIFS(Таблица3[Площадь жилая],Таблица3[Адрес МКД],$D156)</f>
        <v>3337.4</v>
      </c>
      <c r="AA156" s="261">
        <f>SUMIFS(Таблица3[Площадь нежилых помещений],Таблица3[Адрес МКД],$D156)</f>
        <v>0</v>
      </c>
      <c r="AB156" s="252">
        <f>SUMIFS(Таблица1[1],Таблица1[2],$D156)</f>
        <v>0</v>
      </c>
      <c r="AC156" s="57">
        <f t="shared" si="35"/>
        <v>0</v>
      </c>
      <c r="AD156" s="57">
        <f t="shared" si="36"/>
        <v>0</v>
      </c>
      <c r="AE156" s="58">
        <f>SUMIFS(Таблица1[8],Таблица1[2],$D156)+SUMIFS(Таблица1[18],Таблица1[2],$D156)</f>
        <v>0</v>
      </c>
      <c r="AF156" s="58">
        <f>SUMIFS(Таблица1[9],Таблица1[2],$D156)+SUMIFS(Таблица1[19],Таблица1[2],$D156)</f>
        <v>0</v>
      </c>
      <c r="AG156" s="59">
        <f t="shared" si="37"/>
        <v>1836.9</v>
      </c>
      <c r="AH156" s="59">
        <f t="shared" si="38"/>
        <v>1836.9</v>
      </c>
      <c r="AI156" s="60">
        <f>644.5-AM156</f>
        <v>644.5</v>
      </c>
      <c r="AJ156" s="60">
        <f t="shared" si="31"/>
        <v>644.5</v>
      </c>
      <c r="AK156" s="60">
        <f>SUMIFS(Таблица1[10],Таблица1[2],$D156)</f>
        <v>0</v>
      </c>
      <c r="AL156" s="60">
        <f>SUMIFS(Таблица1[11],Таблица1[2],$D156)</f>
        <v>0</v>
      </c>
      <c r="AM156" s="251">
        <v>0</v>
      </c>
      <c r="AN156" s="249">
        <f t="shared" si="32"/>
        <v>0</v>
      </c>
      <c r="AO156" s="249">
        <f>SUMIFS(Таблица1[12],Таблица1[2],$D156)</f>
        <v>0</v>
      </c>
      <c r="AP156" s="249">
        <f>SUMIFS(Таблица1[13],Таблица1[2],$D156)</f>
        <v>0</v>
      </c>
      <c r="AQ156" s="61">
        <v>368.4</v>
      </c>
      <c r="AR156" s="61">
        <f t="shared" si="33"/>
        <v>368.4</v>
      </c>
      <c r="AS156" s="60">
        <f>SUMIFS(Таблица1[14],Таблица1[2],$D156)</f>
        <v>0</v>
      </c>
      <c r="AT156" s="60">
        <f>SUMIFS(Таблица1[15],Таблица1[2],$D156)</f>
        <v>0</v>
      </c>
      <c r="AU156" s="61">
        <v>824</v>
      </c>
      <c r="AV156" s="61">
        <f t="shared" si="34"/>
        <v>824</v>
      </c>
      <c r="AW156" s="60">
        <f>SUMIFS(Таблица1[16],Таблица1[2],$D156)</f>
        <v>0</v>
      </c>
      <c r="AX156" s="60">
        <f>SUMIFS(Таблица1[17],Таблица1[2],$D156)</f>
        <v>0</v>
      </c>
      <c r="AY156" s="263"/>
      <c r="AZ156" s="264"/>
      <c r="BA156" s="296">
        <v>0</v>
      </c>
      <c r="BB156" s="296">
        <f t="shared" si="43"/>
        <v>0</v>
      </c>
      <c r="BC156" s="296">
        <v>0</v>
      </c>
      <c r="BD156" s="296">
        <v>0</v>
      </c>
      <c r="BE156" s="285"/>
      <c r="BF156" s="259">
        <v>2583</v>
      </c>
      <c r="BG156" s="260">
        <v>15178</v>
      </c>
      <c r="BH156" s="62" t="s">
        <v>936</v>
      </c>
      <c r="BI156" s="62" t="s">
        <v>935</v>
      </c>
      <c r="BJ156" s="62"/>
      <c r="BK156" s="267"/>
      <c r="BL156" s="267"/>
      <c r="BM156" s="267" t="s">
        <v>1649</v>
      </c>
      <c r="BN156" s="268"/>
      <c r="BO156" s="62">
        <v>9</v>
      </c>
      <c r="BP156" s="63">
        <v>28566</v>
      </c>
      <c r="BQ156" s="64" t="s">
        <v>1131</v>
      </c>
      <c r="BR156" s="372" t="s">
        <v>2747</v>
      </c>
      <c r="BS156" s="62"/>
      <c r="BT156" s="323"/>
      <c r="BU156" s="62"/>
      <c r="BV156" s="323"/>
      <c r="BW156" s="62"/>
      <c r="BX156" s="336"/>
      <c r="BY156" s="336"/>
    </row>
    <row r="157" spans="1:77" ht="13.15" hidden="1" customHeight="1" outlineLevel="1" x14ac:dyDescent="0.2">
      <c r="A157" s="50">
        <f t="shared" si="40"/>
        <v>152</v>
      </c>
      <c r="B157" s="51">
        <v>21</v>
      </c>
      <c r="C157" s="51">
        <v>7</v>
      </c>
      <c r="D157" s="18" t="s">
        <v>694</v>
      </c>
      <c r="E157" s="18">
        <v>16</v>
      </c>
      <c r="F157" s="18">
        <v>3</v>
      </c>
      <c r="G157" s="52">
        <v>1</v>
      </c>
      <c r="H157" s="237">
        <v>1</v>
      </c>
      <c r="I157" s="65">
        <v>1963</v>
      </c>
      <c r="J157" s="349">
        <v>5</v>
      </c>
      <c r="K157" s="346">
        <f t="shared" si="41"/>
        <v>5</v>
      </c>
      <c r="L157" s="346">
        <v>0</v>
      </c>
      <c r="M157" s="349">
        <v>2</v>
      </c>
      <c r="N157" s="255">
        <f t="shared" si="39"/>
        <v>0</v>
      </c>
      <c r="O157" s="310">
        <v>24</v>
      </c>
      <c r="P157" s="66">
        <v>0</v>
      </c>
      <c r="Q157" s="66"/>
      <c r="R157" s="66">
        <v>12</v>
      </c>
      <c r="S157" s="66">
        <v>6</v>
      </c>
      <c r="T157" s="66">
        <v>6</v>
      </c>
      <c r="U157" s="66">
        <v>0</v>
      </c>
      <c r="V157" s="66">
        <v>0</v>
      </c>
      <c r="W157" s="54">
        <v>0</v>
      </c>
      <c r="X157" s="55">
        <f>SUMIFS(Таблица3[Кол-во квартир],Таблица3[Адрес МКД],$D157)</f>
        <v>24</v>
      </c>
      <c r="Y157" s="56">
        <f t="shared" si="42"/>
        <v>2132.3000000000002</v>
      </c>
      <c r="Z157" s="253">
        <f>SUMIFS(Таблица3[Площадь жилая],Таблица3[Адрес МКД],$D157)</f>
        <v>965.9</v>
      </c>
      <c r="AA157" s="261">
        <f>SUMIFS(Таблица3[Площадь нежилых помещений],Таблица3[Адрес МКД],$D157)</f>
        <v>610.4</v>
      </c>
      <c r="AB157" s="252">
        <f>SUMIFS(Таблица1[1],Таблица1[2],$D157)</f>
        <v>610.4</v>
      </c>
      <c r="AC157" s="57">
        <f t="shared" si="35"/>
        <v>610.4</v>
      </c>
      <c r="AD157" s="57">
        <f t="shared" si="36"/>
        <v>0</v>
      </c>
      <c r="AE157" s="58">
        <f>SUMIFS(Таблица1[8],Таблица1[2],$D157)+SUMIFS(Таблица1[18],Таблица1[2],$D157)</f>
        <v>610.4</v>
      </c>
      <c r="AF157" s="58">
        <f>SUMIFS(Таблица1[9],Таблица1[2],$D157)+SUMIFS(Таблица1[19],Таблица1[2],$D157)</f>
        <v>0</v>
      </c>
      <c r="AG157" s="59">
        <f t="shared" si="37"/>
        <v>556</v>
      </c>
      <c r="AH157" s="59">
        <f t="shared" si="38"/>
        <v>556</v>
      </c>
      <c r="AI157" s="60">
        <f>0-AM157</f>
        <v>0</v>
      </c>
      <c r="AJ157" s="60">
        <f t="shared" si="31"/>
        <v>0</v>
      </c>
      <c r="AK157" s="60">
        <f>SUMIFS(Таблица1[10],Таблица1[2],$D157)</f>
        <v>0</v>
      </c>
      <c r="AL157" s="60">
        <f>SUMIFS(Таблица1[11],Таблица1[2],$D157)</f>
        <v>0</v>
      </c>
      <c r="AM157" s="251">
        <v>0</v>
      </c>
      <c r="AN157" s="249">
        <f t="shared" si="32"/>
        <v>0</v>
      </c>
      <c r="AO157" s="249">
        <f>SUMIFS(Таблица1[12],Таблица1[2],$D157)</f>
        <v>0</v>
      </c>
      <c r="AP157" s="249">
        <f>SUMIFS(Таблица1[13],Таблица1[2],$D157)</f>
        <v>0</v>
      </c>
      <c r="AQ157" s="61">
        <v>171.1</v>
      </c>
      <c r="AR157" s="61">
        <f t="shared" si="33"/>
        <v>171.1</v>
      </c>
      <c r="AS157" s="60">
        <f>SUMIFS(Таблица1[14],Таблица1[2],$D157)</f>
        <v>0</v>
      </c>
      <c r="AT157" s="60">
        <f>SUMIFS(Таблица1[15],Таблица1[2],$D157)</f>
        <v>0</v>
      </c>
      <c r="AU157" s="61">
        <v>384.9</v>
      </c>
      <c r="AV157" s="61">
        <f t="shared" si="34"/>
        <v>384.9</v>
      </c>
      <c r="AW157" s="60">
        <f>SUMIFS(Таблица1[16],Таблица1[2],$D157)</f>
        <v>0</v>
      </c>
      <c r="AX157" s="60">
        <f>SUMIFS(Таблица1[17],Таблица1[2],$D157)</f>
        <v>0</v>
      </c>
      <c r="AY157" s="263"/>
      <c r="AZ157" s="264"/>
      <c r="BA157" s="296">
        <v>0</v>
      </c>
      <c r="BB157" s="296">
        <f t="shared" si="43"/>
        <v>0</v>
      </c>
      <c r="BC157" s="296">
        <v>0</v>
      </c>
      <c r="BD157" s="296">
        <v>0</v>
      </c>
      <c r="BE157" s="285"/>
      <c r="BF157" s="259">
        <v>0</v>
      </c>
      <c r="BG157" s="260">
        <f>3102+3588</f>
        <v>6690</v>
      </c>
      <c r="BH157" s="62" t="s">
        <v>2724</v>
      </c>
      <c r="BI157" s="62" t="s">
        <v>935</v>
      </c>
      <c r="BJ157" s="62"/>
      <c r="BK157" s="267"/>
      <c r="BL157" s="267" t="s">
        <v>1649</v>
      </c>
      <c r="BM157" s="267"/>
      <c r="BN157" s="268"/>
      <c r="BO157" s="62">
        <v>15.9</v>
      </c>
      <c r="BP157" s="63">
        <v>29171</v>
      </c>
      <c r="BQ157" s="64" t="s">
        <v>1131</v>
      </c>
      <c r="BR157" s="372" t="s">
        <v>2747</v>
      </c>
      <c r="BS157" s="62">
        <v>7</v>
      </c>
      <c r="BT157" s="323">
        <v>50</v>
      </c>
      <c r="BU157" s="62">
        <v>108</v>
      </c>
      <c r="BV157" s="323" t="s">
        <v>2078</v>
      </c>
      <c r="BW157" s="62">
        <v>34</v>
      </c>
      <c r="BX157" s="336"/>
      <c r="BY157" s="336"/>
    </row>
    <row r="158" spans="1:77" ht="13.15" hidden="1" customHeight="1" outlineLevel="1" x14ac:dyDescent="0.2">
      <c r="A158" s="50">
        <f t="shared" si="40"/>
        <v>153</v>
      </c>
      <c r="B158" s="51">
        <v>22</v>
      </c>
      <c r="C158" s="51">
        <v>8</v>
      </c>
      <c r="D158" s="18" t="s">
        <v>695</v>
      </c>
      <c r="E158" s="18">
        <v>16</v>
      </c>
      <c r="F158" s="18">
        <v>3</v>
      </c>
      <c r="G158" s="52">
        <v>1</v>
      </c>
      <c r="H158" s="237">
        <v>1</v>
      </c>
      <c r="I158" s="65">
        <v>1960</v>
      </c>
      <c r="J158" s="349">
        <v>5</v>
      </c>
      <c r="K158" s="346">
        <f t="shared" si="41"/>
        <v>6</v>
      </c>
      <c r="L158" s="346">
        <v>1</v>
      </c>
      <c r="M158" s="349">
        <v>2</v>
      </c>
      <c r="N158" s="255">
        <f t="shared" si="39"/>
        <v>0</v>
      </c>
      <c r="O158" s="310">
        <v>40</v>
      </c>
      <c r="P158" s="66">
        <v>0</v>
      </c>
      <c r="Q158" s="66"/>
      <c r="R158" s="66">
        <v>20</v>
      </c>
      <c r="S158" s="66">
        <v>10</v>
      </c>
      <c r="T158" s="66">
        <v>10</v>
      </c>
      <c r="U158" s="66">
        <v>0</v>
      </c>
      <c r="V158" s="66">
        <v>0</v>
      </c>
      <c r="W158" s="54">
        <v>0</v>
      </c>
      <c r="X158" s="55">
        <f>SUMIFS(Таблица3[Кол-во квартир],Таблица3[Адрес МКД],$D158)</f>
        <v>40</v>
      </c>
      <c r="Y158" s="56">
        <f t="shared" si="42"/>
        <v>2454</v>
      </c>
      <c r="Z158" s="253">
        <f>SUMIFS(Таблица3[Площадь жилая],Таблица3[Адрес МКД],$D158)</f>
        <v>1618.4</v>
      </c>
      <c r="AA158" s="261">
        <f>SUMIFS(Таблица3[Площадь нежилых помещений],Таблица3[Адрес МКД],$D158)</f>
        <v>0</v>
      </c>
      <c r="AB158" s="252">
        <f>SUMIFS(Таблица1[1],Таблица1[2],$D158)</f>
        <v>0</v>
      </c>
      <c r="AC158" s="57">
        <f t="shared" si="35"/>
        <v>0</v>
      </c>
      <c r="AD158" s="57">
        <f t="shared" si="36"/>
        <v>0</v>
      </c>
      <c r="AE158" s="58">
        <f>SUMIFS(Таблица1[8],Таблица1[2],$D158)+SUMIFS(Таблица1[18],Таблица1[2],$D158)</f>
        <v>0</v>
      </c>
      <c r="AF158" s="58">
        <f>SUMIFS(Таблица1[9],Таблица1[2],$D158)+SUMIFS(Таблица1[19],Таблица1[2],$D158)</f>
        <v>0</v>
      </c>
      <c r="AG158" s="59">
        <f t="shared" si="37"/>
        <v>835.6</v>
      </c>
      <c r="AH158" s="59">
        <f t="shared" si="38"/>
        <v>835.6</v>
      </c>
      <c r="AI158" s="60">
        <f>328.4-AM158</f>
        <v>328.4</v>
      </c>
      <c r="AJ158" s="60">
        <f t="shared" si="31"/>
        <v>328.4</v>
      </c>
      <c r="AK158" s="60">
        <f>SUMIFS(Таблица1[10],Таблица1[2],$D158)</f>
        <v>0</v>
      </c>
      <c r="AL158" s="60">
        <f>SUMIFS(Таблица1[11],Таблица1[2],$D158)</f>
        <v>0</v>
      </c>
      <c r="AM158" s="251">
        <v>0</v>
      </c>
      <c r="AN158" s="249">
        <f t="shared" si="32"/>
        <v>0</v>
      </c>
      <c r="AO158" s="249">
        <f>SUMIFS(Таблица1[12],Таблица1[2],$D158)</f>
        <v>0</v>
      </c>
      <c r="AP158" s="249">
        <f>SUMIFS(Таблица1[13],Таблица1[2],$D158)</f>
        <v>0</v>
      </c>
      <c r="AQ158" s="61">
        <v>120.6</v>
      </c>
      <c r="AR158" s="61">
        <f t="shared" si="33"/>
        <v>120.6</v>
      </c>
      <c r="AS158" s="60">
        <f>SUMIFS(Таблица1[14],Таблица1[2],$D158)</f>
        <v>0</v>
      </c>
      <c r="AT158" s="60">
        <f>SUMIFS(Таблица1[15],Таблица1[2],$D158)</f>
        <v>0</v>
      </c>
      <c r="AU158" s="61">
        <v>386.6</v>
      </c>
      <c r="AV158" s="61">
        <f t="shared" si="34"/>
        <v>386.6</v>
      </c>
      <c r="AW158" s="60">
        <f>SUMIFS(Таблица1[16],Таблица1[2],$D158)</f>
        <v>0</v>
      </c>
      <c r="AX158" s="60">
        <f>SUMIFS(Таблица1[17],Таблица1[2],$D158)</f>
        <v>0</v>
      </c>
      <c r="AY158" s="263"/>
      <c r="AZ158" s="264"/>
      <c r="BA158" s="296">
        <v>0</v>
      </c>
      <c r="BB158" s="296">
        <f t="shared" si="43"/>
        <v>0</v>
      </c>
      <c r="BC158" s="296">
        <v>0</v>
      </c>
      <c r="BD158" s="296">
        <v>0</v>
      </c>
      <c r="BE158" s="285"/>
      <c r="BF158" s="259">
        <v>1072</v>
      </c>
      <c r="BG158" s="260">
        <v>6290</v>
      </c>
      <c r="BH158" s="62" t="s">
        <v>943</v>
      </c>
      <c r="BI158" s="62" t="s">
        <v>935</v>
      </c>
      <c r="BJ158" s="62"/>
      <c r="BK158" s="267"/>
      <c r="BL158" s="267" t="s">
        <v>1649</v>
      </c>
      <c r="BM158" s="267"/>
      <c r="BN158" s="268"/>
      <c r="BO158" s="62">
        <v>15.8</v>
      </c>
      <c r="BP158" s="63">
        <v>29171</v>
      </c>
      <c r="BQ158" s="64" t="s">
        <v>1131</v>
      </c>
      <c r="BR158" s="372" t="s">
        <v>2747</v>
      </c>
      <c r="BS158" s="62">
        <v>4</v>
      </c>
      <c r="BT158" s="323">
        <v>50</v>
      </c>
      <c r="BU158" s="62">
        <v>148</v>
      </c>
      <c r="BV158" s="323" t="s">
        <v>2073</v>
      </c>
      <c r="BW158" s="62">
        <v>48</v>
      </c>
      <c r="BX158" s="336"/>
      <c r="BY158" s="336"/>
    </row>
    <row r="159" spans="1:77" ht="13.15" hidden="1" customHeight="1" outlineLevel="1" x14ac:dyDescent="0.2">
      <c r="A159" s="50">
        <f t="shared" si="40"/>
        <v>154</v>
      </c>
      <c r="B159" s="51">
        <v>23</v>
      </c>
      <c r="C159" s="51">
        <v>63</v>
      </c>
      <c r="D159" s="18" t="s">
        <v>675</v>
      </c>
      <c r="E159" s="18">
        <v>16</v>
      </c>
      <c r="F159" s="18">
        <v>4</v>
      </c>
      <c r="G159" s="52">
        <v>1</v>
      </c>
      <c r="H159" s="237">
        <v>1</v>
      </c>
      <c r="I159" s="65">
        <v>1962</v>
      </c>
      <c r="J159" s="349">
        <v>4</v>
      </c>
      <c r="K159" s="346">
        <f t="shared" si="41"/>
        <v>5</v>
      </c>
      <c r="L159" s="346">
        <v>1</v>
      </c>
      <c r="M159" s="349">
        <v>3</v>
      </c>
      <c r="N159" s="255">
        <f t="shared" si="39"/>
        <v>0</v>
      </c>
      <c r="O159" s="310">
        <v>36</v>
      </c>
      <c r="P159" s="66">
        <v>0</v>
      </c>
      <c r="Q159" s="66"/>
      <c r="R159" s="66">
        <v>6</v>
      </c>
      <c r="S159" s="66">
        <v>27</v>
      </c>
      <c r="T159" s="66">
        <v>3</v>
      </c>
      <c r="U159" s="66">
        <v>0</v>
      </c>
      <c r="V159" s="66">
        <v>0</v>
      </c>
      <c r="W159" s="54">
        <v>0</v>
      </c>
      <c r="X159" s="55">
        <f>SUMIFS(Таблица3[Кол-во квартир],Таблица3[Адрес МКД],$D159)</f>
        <v>36</v>
      </c>
      <c r="Y159" s="56">
        <f t="shared" si="42"/>
        <v>3338.5999999999995</v>
      </c>
      <c r="Z159" s="253">
        <f>SUMIFS(Таблица3[Площадь жилая],Таблица3[Адрес МКД],$D159)</f>
        <v>1516.5</v>
      </c>
      <c r="AA159" s="261">
        <f>SUMIFS(Таблица3[Площадь нежилых помещений],Таблица3[Адрес МКД],$D159)</f>
        <v>894.7</v>
      </c>
      <c r="AB159" s="252">
        <f>SUMIFS(Таблица1[1],Таблица1[2],$D159)</f>
        <v>894.69999999999993</v>
      </c>
      <c r="AC159" s="57">
        <f t="shared" si="35"/>
        <v>894.7</v>
      </c>
      <c r="AD159" s="57">
        <f t="shared" si="36"/>
        <v>0</v>
      </c>
      <c r="AE159" s="58">
        <f>SUMIFS(Таблица1[8],Таблица1[2],$D159)+SUMIFS(Таблица1[18],Таблица1[2],$D159)</f>
        <v>566.9</v>
      </c>
      <c r="AF159" s="58">
        <f>SUMIFS(Таблица1[9],Таблица1[2],$D159)+SUMIFS(Таблица1[19],Таблица1[2],$D159)</f>
        <v>0</v>
      </c>
      <c r="AG159" s="59">
        <f t="shared" si="37"/>
        <v>927.39999999999986</v>
      </c>
      <c r="AH159" s="59">
        <f t="shared" si="38"/>
        <v>927.39999999999986</v>
      </c>
      <c r="AI159" s="60">
        <f>467.9-AM159</f>
        <v>467.9</v>
      </c>
      <c r="AJ159" s="60">
        <f t="shared" si="31"/>
        <v>140.09999999999997</v>
      </c>
      <c r="AK159" s="60">
        <f>SUMIFS(Таблица1[10],Таблица1[2],$D159)</f>
        <v>327.8</v>
      </c>
      <c r="AL159" s="60">
        <f>SUMIFS(Таблица1[11],Таблица1[2],$D159)</f>
        <v>0</v>
      </c>
      <c r="AM159" s="251">
        <v>0</v>
      </c>
      <c r="AN159" s="249">
        <f t="shared" si="32"/>
        <v>0</v>
      </c>
      <c r="AO159" s="249">
        <f>SUMIFS(Таблица1[12],Таблица1[2],$D159)</f>
        <v>0</v>
      </c>
      <c r="AP159" s="249">
        <f>SUMIFS(Таблица1[13],Таблица1[2],$D159)</f>
        <v>0</v>
      </c>
      <c r="AQ159" s="61">
        <v>183.5</v>
      </c>
      <c r="AR159" s="61">
        <f t="shared" si="33"/>
        <v>183.5</v>
      </c>
      <c r="AS159" s="60">
        <f>SUMIFS(Таблица1[14],Таблица1[2],$D159)</f>
        <v>0</v>
      </c>
      <c r="AT159" s="60">
        <f>SUMIFS(Таблица1[15],Таблица1[2],$D159)</f>
        <v>0</v>
      </c>
      <c r="AU159" s="61">
        <v>603.79999999999995</v>
      </c>
      <c r="AV159" s="61">
        <f t="shared" si="34"/>
        <v>603.79999999999995</v>
      </c>
      <c r="AW159" s="60">
        <f>SUMIFS(Таблица1[16],Таблица1[2],$D159)</f>
        <v>0</v>
      </c>
      <c r="AX159" s="60">
        <f>SUMIFS(Таблица1[17],Таблица1[2],$D159)</f>
        <v>0</v>
      </c>
      <c r="AY159" s="263"/>
      <c r="AZ159" s="264"/>
      <c r="BA159" s="296">
        <v>0</v>
      </c>
      <c r="BB159" s="296">
        <f t="shared" si="43"/>
        <v>0</v>
      </c>
      <c r="BC159" s="296">
        <v>0</v>
      </c>
      <c r="BD159" s="296">
        <v>0</v>
      </c>
      <c r="BE159" s="285"/>
      <c r="BF159" s="259">
        <f>1489+2082</f>
        <v>3571</v>
      </c>
      <c r="BG159" s="260">
        <f>2681+5702</f>
        <v>8383</v>
      </c>
      <c r="BH159" s="62" t="s">
        <v>936</v>
      </c>
      <c r="BI159" s="62" t="s">
        <v>935</v>
      </c>
      <c r="BJ159" s="62"/>
      <c r="BK159" s="267"/>
      <c r="BL159" s="267" t="s">
        <v>1649</v>
      </c>
      <c r="BM159" s="267" t="s">
        <v>58</v>
      </c>
      <c r="BN159" s="268"/>
      <c r="BO159" s="62">
        <v>7</v>
      </c>
      <c r="BP159" s="63">
        <v>28566</v>
      </c>
      <c r="BQ159" s="64" t="s">
        <v>1131</v>
      </c>
      <c r="BR159" s="372" t="s">
        <v>2747</v>
      </c>
      <c r="BS159" s="62"/>
      <c r="BT159" s="323"/>
      <c r="BU159" s="62"/>
      <c r="BV159" s="323"/>
      <c r="BW159" s="62"/>
      <c r="BX159" s="336"/>
      <c r="BY159" s="336"/>
    </row>
    <row r="160" spans="1:77" ht="13.15" hidden="1" customHeight="1" outlineLevel="1" x14ac:dyDescent="0.2">
      <c r="A160" s="50">
        <f t="shared" si="40"/>
        <v>155</v>
      </c>
      <c r="B160" s="51">
        <v>24</v>
      </c>
      <c r="C160" s="51">
        <v>9</v>
      </c>
      <c r="D160" s="18" t="s">
        <v>682</v>
      </c>
      <c r="E160" s="18">
        <v>16</v>
      </c>
      <c r="F160" s="18">
        <v>3</v>
      </c>
      <c r="G160" s="52">
        <v>1</v>
      </c>
      <c r="H160" s="237">
        <v>1</v>
      </c>
      <c r="I160" s="65">
        <v>1960</v>
      </c>
      <c r="J160" s="349">
        <v>5</v>
      </c>
      <c r="K160" s="346">
        <f t="shared" si="41"/>
        <v>6</v>
      </c>
      <c r="L160" s="346">
        <v>1</v>
      </c>
      <c r="M160" s="349">
        <v>6</v>
      </c>
      <c r="N160" s="255">
        <f t="shared" si="39"/>
        <v>0</v>
      </c>
      <c r="O160" s="310">
        <v>89</v>
      </c>
      <c r="P160" s="66">
        <v>18</v>
      </c>
      <c r="Q160" s="66"/>
      <c r="R160" s="66">
        <v>29</v>
      </c>
      <c r="S160" s="66">
        <v>29</v>
      </c>
      <c r="T160" s="66">
        <v>31</v>
      </c>
      <c r="U160" s="66">
        <v>0</v>
      </c>
      <c r="V160" s="66">
        <v>0</v>
      </c>
      <c r="W160" s="54">
        <v>0</v>
      </c>
      <c r="X160" s="55">
        <f>SUMIFS(Таблица3[Кол-во квартир],Таблица3[Адрес МКД],$D160)</f>
        <v>71</v>
      </c>
      <c r="Y160" s="56">
        <f t="shared" si="42"/>
        <v>7530.3</v>
      </c>
      <c r="Z160" s="253">
        <f>SUMIFS(Таблица3[Площадь жилая],Таблица3[Адрес МКД],$D160)</f>
        <v>3954.5</v>
      </c>
      <c r="AA160" s="261">
        <f>SUMIFS(Таблица3[Площадь нежилых помещений],Таблица3[Адрес МКД],$D160)</f>
        <v>1084.3</v>
      </c>
      <c r="AB160" s="252">
        <f>SUMIFS(Таблица1[1],Таблица1[2],$D160)</f>
        <v>1096.5999999999999</v>
      </c>
      <c r="AC160" s="57">
        <f t="shared" si="35"/>
        <v>1084.3</v>
      </c>
      <c r="AD160" s="57">
        <f t="shared" si="36"/>
        <v>12.3</v>
      </c>
      <c r="AE160" s="58">
        <f>SUMIFS(Таблица1[8],Таблица1[2],$D160)+SUMIFS(Таблица1[18],Таблица1[2],$D160)</f>
        <v>994.59999999999991</v>
      </c>
      <c r="AF160" s="58">
        <f>SUMIFS(Таблица1[9],Таблица1[2],$D160)+SUMIFS(Таблица1[19],Таблица1[2],$D160)</f>
        <v>0</v>
      </c>
      <c r="AG160" s="59">
        <f t="shared" si="37"/>
        <v>2479.1999999999998</v>
      </c>
      <c r="AH160" s="59">
        <f t="shared" si="38"/>
        <v>2491.5</v>
      </c>
      <c r="AI160" s="60">
        <f>925-AM160</f>
        <v>925</v>
      </c>
      <c r="AJ160" s="60">
        <f t="shared" si="31"/>
        <v>835.3</v>
      </c>
      <c r="AK160" s="60">
        <f>SUMIFS(Таблица1[10],Таблица1[2],$D160)</f>
        <v>89.7</v>
      </c>
      <c r="AL160" s="60">
        <f>SUMIFS(Таблица1[11],Таблица1[2],$D160)</f>
        <v>0</v>
      </c>
      <c r="AM160" s="251">
        <v>0</v>
      </c>
      <c r="AN160" s="249">
        <f t="shared" si="32"/>
        <v>0</v>
      </c>
      <c r="AO160" s="249">
        <f>SUMIFS(Таблица1[12],Таблица1[2],$D160)</f>
        <v>0</v>
      </c>
      <c r="AP160" s="249">
        <f>SUMIFS(Таблица1[13],Таблица1[2],$D160)</f>
        <v>0</v>
      </c>
      <c r="AQ160" s="61">
        <f>478.7</f>
        <v>478.7</v>
      </c>
      <c r="AR160" s="61">
        <f t="shared" si="33"/>
        <v>466.4</v>
      </c>
      <c r="AS160" s="60">
        <f>SUMIFS(Таблица1[14],Таблица1[2],$D160)</f>
        <v>0</v>
      </c>
      <c r="AT160" s="60">
        <f>SUMIFS(Таблица1[15],Таблица1[2],$D160)</f>
        <v>12.3</v>
      </c>
      <c r="AU160" s="61">
        <v>1177.5</v>
      </c>
      <c r="AV160" s="61">
        <f t="shared" si="34"/>
        <v>1177.5</v>
      </c>
      <c r="AW160" s="60">
        <f>SUMIFS(Таблица1[16],Таблица1[2],$D160)</f>
        <v>0</v>
      </c>
      <c r="AX160" s="60">
        <f>SUMIFS(Таблица1[17],Таблица1[2],$D160)</f>
        <v>0</v>
      </c>
      <c r="AY160" s="263"/>
      <c r="AZ160" s="264"/>
      <c r="BA160" s="296">
        <v>0</v>
      </c>
      <c r="BB160" s="296">
        <f t="shared" si="43"/>
        <v>0</v>
      </c>
      <c r="BC160" s="296">
        <v>0</v>
      </c>
      <c r="BD160" s="296">
        <v>0</v>
      </c>
      <c r="BE160" s="285"/>
      <c r="BF160" s="259">
        <v>3492</v>
      </c>
      <c r="BG160" s="260">
        <v>21219</v>
      </c>
      <c r="BH160" s="62" t="s">
        <v>940</v>
      </c>
      <c r="BI160" s="62" t="s">
        <v>935</v>
      </c>
      <c r="BJ160" s="62"/>
      <c r="BK160" s="267"/>
      <c r="BL160" s="267"/>
      <c r="BM160" s="267" t="s">
        <v>1649</v>
      </c>
      <c r="BN160" s="268"/>
      <c r="BO160" s="62">
        <v>7</v>
      </c>
      <c r="BP160" s="63">
        <v>28645</v>
      </c>
      <c r="BQ160" s="64" t="s">
        <v>1131</v>
      </c>
      <c r="BR160" s="372" t="s">
        <v>2747</v>
      </c>
      <c r="BS160" s="62">
        <v>12</v>
      </c>
      <c r="BT160" s="323">
        <v>40</v>
      </c>
      <c r="BU160" s="62">
        <v>322</v>
      </c>
      <c r="BV160" s="323" t="s">
        <v>2077</v>
      </c>
      <c r="BW160" s="62">
        <v>98</v>
      </c>
      <c r="BX160" s="336"/>
      <c r="BY160" s="336"/>
    </row>
    <row r="161" spans="1:77" ht="13.15" hidden="1" customHeight="1" outlineLevel="1" x14ac:dyDescent="0.2">
      <c r="A161" s="50">
        <f t="shared" si="40"/>
        <v>156</v>
      </c>
      <c r="B161" s="51">
        <v>25</v>
      </c>
      <c r="C161" s="51">
        <v>10</v>
      </c>
      <c r="D161" s="18" t="s">
        <v>683</v>
      </c>
      <c r="E161" s="18">
        <v>16</v>
      </c>
      <c r="F161" s="18">
        <v>3</v>
      </c>
      <c r="G161" s="52">
        <v>1</v>
      </c>
      <c r="H161" s="237"/>
      <c r="I161" s="65">
        <v>1960</v>
      </c>
      <c r="J161" s="349">
        <v>5</v>
      </c>
      <c r="K161" s="346">
        <f t="shared" si="41"/>
        <v>6</v>
      </c>
      <c r="L161" s="346">
        <v>1</v>
      </c>
      <c r="M161" s="349">
        <v>2</v>
      </c>
      <c r="N161" s="255">
        <f t="shared" si="39"/>
        <v>0</v>
      </c>
      <c r="O161" s="310">
        <v>40</v>
      </c>
      <c r="P161" s="66">
        <v>0</v>
      </c>
      <c r="Q161" s="66"/>
      <c r="R161" s="66">
        <v>10</v>
      </c>
      <c r="S161" s="66">
        <v>30</v>
      </c>
      <c r="T161" s="66">
        <v>0</v>
      </c>
      <c r="U161" s="66">
        <v>0</v>
      </c>
      <c r="V161" s="66">
        <v>0</v>
      </c>
      <c r="W161" s="54">
        <v>0</v>
      </c>
      <c r="X161" s="55">
        <f>SUMIFS(Таблица3[Кол-во квартир],Таблица3[Адрес МКД],$D161)</f>
        <v>40</v>
      </c>
      <c r="Y161" s="56">
        <f t="shared" si="42"/>
        <v>2482.8000000000002</v>
      </c>
      <c r="Z161" s="253">
        <f>SUMIFS(Таблица3[Площадь жилая],Таблица3[Адрес МКД],$D161)</f>
        <v>1616.9</v>
      </c>
      <c r="AA161" s="261">
        <f>SUMIFS(Таблица3[Площадь нежилых помещений],Таблица3[Адрес МКД],$D161)</f>
        <v>0</v>
      </c>
      <c r="AB161" s="252">
        <f>SUMIFS(Таблица1[1],Таблица1[2],$D161)</f>
        <v>88.4</v>
      </c>
      <c r="AC161" s="57">
        <f t="shared" si="35"/>
        <v>88.4</v>
      </c>
      <c r="AD161" s="57">
        <f t="shared" si="36"/>
        <v>0</v>
      </c>
      <c r="AE161" s="58">
        <f>SUMIFS(Таблица1[8],Таблица1[2],$D161)+SUMIFS(Таблица1[18],Таблица1[2],$D161)</f>
        <v>0</v>
      </c>
      <c r="AF161" s="58">
        <f>SUMIFS(Таблица1[9],Таблица1[2],$D161)+SUMIFS(Таблица1[19],Таблица1[2],$D161)</f>
        <v>0</v>
      </c>
      <c r="AG161" s="59">
        <f t="shared" si="37"/>
        <v>777.5</v>
      </c>
      <c r="AH161" s="59">
        <f t="shared" si="38"/>
        <v>777.5</v>
      </c>
      <c r="AI161" s="60">
        <f>339-AM161</f>
        <v>339</v>
      </c>
      <c r="AJ161" s="60">
        <f t="shared" si="31"/>
        <v>250.6</v>
      </c>
      <c r="AK161" s="60">
        <f>SUMIFS(Таблица1[10],Таблица1[2],$D161)</f>
        <v>88.4</v>
      </c>
      <c r="AL161" s="60">
        <f>SUMIFS(Таблица1[11],Таблица1[2],$D161)</f>
        <v>0</v>
      </c>
      <c r="AM161" s="251">
        <v>0</v>
      </c>
      <c r="AN161" s="249">
        <f t="shared" si="32"/>
        <v>0</v>
      </c>
      <c r="AO161" s="249">
        <f>SUMIFS(Таблица1[12],Таблица1[2],$D161)</f>
        <v>0</v>
      </c>
      <c r="AP161" s="249">
        <f>SUMIFS(Таблица1[13],Таблица1[2],$D161)</f>
        <v>0</v>
      </c>
      <c r="AQ161" s="61">
        <v>141.19999999999999</v>
      </c>
      <c r="AR161" s="61">
        <f t="shared" si="33"/>
        <v>141.19999999999999</v>
      </c>
      <c r="AS161" s="60">
        <f>SUMIFS(Таблица1[14],Таблица1[2],$D161)</f>
        <v>0</v>
      </c>
      <c r="AT161" s="60">
        <f>SUMIFS(Таблица1[15],Таблица1[2],$D161)</f>
        <v>0</v>
      </c>
      <c r="AU161" s="61">
        <v>385.7</v>
      </c>
      <c r="AV161" s="61">
        <f t="shared" si="34"/>
        <v>385.7</v>
      </c>
      <c r="AW161" s="60">
        <f>SUMIFS(Таблица1[16],Таблица1[2],$D161)</f>
        <v>0</v>
      </c>
      <c r="AX161" s="60">
        <f>SUMIFS(Таблица1[17],Таблица1[2],$D161)</f>
        <v>0</v>
      </c>
      <c r="AY161" s="263">
        <f>Нежилые!G900</f>
        <v>88.4</v>
      </c>
      <c r="AZ161" s="264"/>
      <c r="BA161" s="296">
        <v>0</v>
      </c>
      <c r="BB161" s="296">
        <f t="shared" si="43"/>
        <v>0</v>
      </c>
      <c r="BC161" s="296">
        <v>0</v>
      </c>
      <c r="BD161" s="296">
        <v>0</v>
      </c>
      <c r="BE161" s="285"/>
      <c r="BF161" s="259">
        <v>1263</v>
      </c>
      <c r="BG161" s="260">
        <v>6440</v>
      </c>
      <c r="BH161" s="62" t="s">
        <v>943</v>
      </c>
      <c r="BI161" s="62" t="s">
        <v>935</v>
      </c>
      <c r="BJ161" s="62"/>
      <c r="BK161" s="267"/>
      <c r="BL161" s="267" t="s">
        <v>1649</v>
      </c>
      <c r="BM161" s="267"/>
      <c r="BN161" s="268"/>
      <c r="BO161" s="62">
        <v>19</v>
      </c>
      <c r="BP161" s="63">
        <v>28775</v>
      </c>
      <c r="BQ161" s="64" t="s">
        <v>1131</v>
      </c>
      <c r="BR161" s="372" t="s">
        <v>2747</v>
      </c>
      <c r="BS161" s="62"/>
      <c r="BT161" s="323"/>
      <c r="BU161" s="62"/>
      <c r="BV161" s="323"/>
      <c r="BW161" s="62"/>
      <c r="BX161" s="336"/>
      <c r="BY161" s="336"/>
    </row>
    <row r="162" spans="1:77" ht="13.15" hidden="1" customHeight="1" outlineLevel="1" x14ac:dyDescent="0.2">
      <c r="A162" s="50">
        <f t="shared" si="40"/>
        <v>157</v>
      </c>
      <c r="B162" s="51">
        <v>26</v>
      </c>
      <c r="C162" s="51">
        <v>64</v>
      </c>
      <c r="D162" s="18" t="s">
        <v>676</v>
      </c>
      <c r="E162" s="18">
        <v>16</v>
      </c>
      <c r="F162" s="18">
        <v>4</v>
      </c>
      <c r="G162" s="52">
        <v>1</v>
      </c>
      <c r="H162" s="237">
        <v>1</v>
      </c>
      <c r="I162" s="65">
        <v>1958</v>
      </c>
      <c r="J162" s="349">
        <v>5</v>
      </c>
      <c r="K162" s="346">
        <f t="shared" si="41"/>
        <v>6</v>
      </c>
      <c r="L162" s="346">
        <v>1</v>
      </c>
      <c r="M162" s="349">
        <v>4</v>
      </c>
      <c r="N162" s="255">
        <f t="shared" si="39"/>
        <v>0</v>
      </c>
      <c r="O162" s="310">
        <v>60</v>
      </c>
      <c r="P162" s="66">
        <v>13</v>
      </c>
      <c r="Q162" s="66"/>
      <c r="R162" s="66">
        <v>10</v>
      </c>
      <c r="S162" s="66">
        <v>30</v>
      </c>
      <c r="T162" s="66">
        <v>15</v>
      </c>
      <c r="U162" s="66">
        <v>5</v>
      </c>
      <c r="V162" s="66">
        <v>0</v>
      </c>
      <c r="W162" s="54">
        <v>0</v>
      </c>
      <c r="X162" s="55">
        <f>SUMIFS(Таблица3[Кол-во квартир],Таблица3[Адрес МКД],$D162)</f>
        <v>47</v>
      </c>
      <c r="Y162" s="56">
        <f t="shared" si="42"/>
        <v>5815.8000000000011</v>
      </c>
      <c r="Z162" s="253">
        <f>SUMIFS(Таблица3[Площадь жилая],Таблица3[Адрес МКД],$D162)</f>
        <v>2904.9</v>
      </c>
      <c r="AA162" s="261">
        <f>SUMIFS(Таблица3[Площадь нежилых помещений],Таблица3[Адрес МКД],$D162)</f>
        <v>813</v>
      </c>
      <c r="AB162" s="252">
        <f>SUMIFS(Таблица1[1],Таблица1[2],$D162)</f>
        <v>813.00000000000023</v>
      </c>
      <c r="AC162" s="57">
        <f t="shared" si="35"/>
        <v>813.00000000000023</v>
      </c>
      <c r="AD162" s="57">
        <f t="shared" si="36"/>
        <v>0</v>
      </c>
      <c r="AE162" s="58">
        <f>SUMIFS(Таблица1[8],Таблица1[2],$D162)+SUMIFS(Таблица1[18],Таблица1[2],$D162)</f>
        <v>813.00000000000023</v>
      </c>
      <c r="AF162" s="58">
        <f>SUMIFS(Таблица1[9],Таблица1[2],$D162)+SUMIFS(Таблица1[19],Таблица1[2],$D162)</f>
        <v>0</v>
      </c>
      <c r="AG162" s="59">
        <f t="shared" si="37"/>
        <v>2097.9</v>
      </c>
      <c r="AH162" s="59">
        <f>AJ162+AL162+AR162+AT162+AV162+AX162+AZ162</f>
        <v>2097.9</v>
      </c>
      <c r="AI162" s="60">
        <f>779.6-AM162</f>
        <v>779.6</v>
      </c>
      <c r="AJ162" s="60">
        <f t="shared" si="31"/>
        <v>779.6</v>
      </c>
      <c r="AK162" s="60">
        <f>SUMIFS(Таблица1[10],Таблица1[2],$D162)</f>
        <v>0</v>
      </c>
      <c r="AL162" s="60">
        <f>SUMIFS(Таблица1[11],Таблица1[2],$D162)</f>
        <v>0</v>
      </c>
      <c r="AM162" s="251">
        <v>0</v>
      </c>
      <c r="AN162" s="249">
        <f t="shared" si="32"/>
        <v>0</v>
      </c>
      <c r="AO162" s="249">
        <f>SUMIFS(Таблица1[12],Таблица1[2],$D162)</f>
        <v>0</v>
      </c>
      <c r="AP162" s="249">
        <f>SUMIFS(Таблица1[13],Таблица1[2],$D162)</f>
        <v>0</v>
      </c>
      <c r="AQ162" s="61">
        <v>369.6</v>
      </c>
      <c r="AR162" s="61">
        <f t="shared" si="33"/>
        <v>369.6</v>
      </c>
      <c r="AS162" s="60">
        <f>SUMIFS(Таблица1[14],Таблица1[2],$D162)</f>
        <v>0</v>
      </c>
      <c r="AT162" s="60">
        <f>SUMIFS(Таблица1[15],Таблица1[2],$D162)</f>
        <v>0</v>
      </c>
      <c r="AU162" s="61">
        <v>917.9</v>
      </c>
      <c r="AV162" s="61">
        <f t="shared" si="34"/>
        <v>917.9</v>
      </c>
      <c r="AW162" s="60">
        <f>SUMIFS(Таблица1[16],Таблица1[2],$D162)</f>
        <v>0</v>
      </c>
      <c r="AX162" s="60">
        <f>SUMIFS(Таблица1[17],Таблица1[2],$D162)</f>
        <v>0</v>
      </c>
      <c r="AY162" s="263"/>
      <c r="AZ162" s="264">
        <v>30.8</v>
      </c>
      <c r="BA162" s="296">
        <v>0</v>
      </c>
      <c r="BB162" s="296">
        <f t="shared" si="43"/>
        <v>0</v>
      </c>
      <c r="BC162" s="296">
        <v>0</v>
      </c>
      <c r="BD162" s="296">
        <v>0</v>
      </c>
      <c r="BE162" s="285"/>
      <c r="BF162" s="259">
        <v>2924</v>
      </c>
      <c r="BG162" s="260">
        <v>16879</v>
      </c>
      <c r="BH162" s="62" t="s">
        <v>936</v>
      </c>
      <c r="BI162" s="62" t="s">
        <v>935</v>
      </c>
      <c r="BJ162" s="62"/>
      <c r="BK162" s="267"/>
      <c r="BL162" s="267"/>
      <c r="BM162" s="267" t="s">
        <v>1649</v>
      </c>
      <c r="BN162" s="268"/>
      <c r="BO162" s="62">
        <v>35</v>
      </c>
      <c r="BP162" s="63">
        <v>41359</v>
      </c>
      <c r="BQ162" s="64" t="s">
        <v>1131</v>
      </c>
      <c r="BR162" s="372" t="s">
        <v>2747</v>
      </c>
      <c r="BS162" s="62"/>
      <c r="BT162" s="323"/>
      <c r="BU162" s="62"/>
      <c r="BV162" s="323"/>
      <c r="BW162" s="62"/>
      <c r="BX162" s="336"/>
      <c r="BY162" s="336"/>
    </row>
    <row r="163" spans="1:77" ht="13.15" hidden="1" customHeight="1" outlineLevel="1" x14ac:dyDescent="0.2">
      <c r="A163" s="50">
        <f t="shared" si="40"/>
        <v>158</v>
      </c>
      <c r="B163" s="51">
        <v>28</v>
      </c>
      <c r="C163" s="51">
        <v>11</v>
      </c>
      <c r="D163" s="18" t="s">
        <v>684</v>
      </c>
      <c r="E163" s="18">
        <v>16</v>
      </c>
      <c r="F163" s="18">
        <v>3</v>
      </c>
      <c r="G163" s="52">
        <v>1</v>
      </c>
      <c r="H163" s="237">
        <v>1</v>
      </c>
      <c r="I163" s="65">
        <v>1960</v>
      </c>
      <c r="J163" s="349">
        <v>5</v>
      </c>
      <c r="K163" s="346">
        <f t="shared" si="41"/>
        <v>6</v>
      </c>
      <c r="L163" s="346">
        <v>1</v>
      </c>
      <c r="M163" s="349">
        <v>2</v>
      </c>
      <c r="N163" s="255">
        <f t="shared" si="39"/>
        <v>0</v>
      </c>
      <c r="O163" s="310">
        <v>40</v>
      </c>
      <c r="P163" s="66">
        <v>0</v>
      </c>
      <c r="Q163" s="66"/>
      <c r="R163" s="66">
        <v>20</v>
      </c>
      <c r="S163" s="66">
        <v>10</v>
      </c>
      <c r="T163" s="66">
        <v>10</v>
      </c>
      <c r="U163" s="66">
        <v>0</v>
      </c>
      <c r="V163" s="66">
        <v>0</v>
      </c>
      <c r="W163" s="54">
        <v>0</v>
      </c>
      <c r="X163" s="55">
        <f>SUMIFS(Таблица3[Кол-во квартир],Таблица3[Адрес МКД],$D163)</f>
        <v>40</v>
      </c>
      <c r="Y163" s="56">
        <f t="shared" si="42"/>
        <v>2489.1</v>
      </c>
      <c r="Z163" s="253">
        <f>SUMIFS(Таблица3[Площадь жилая],Таблица3[Адрес МКД],$D163)</f>
        <v>1628.7</v>
      </c>
      <c r="AA163" s="261">
        <f>SUMIFS(Таблица3[Площадь нежилых помещений],Таблица3[Адрес МКД],$D163)</f>
        <v>0</v>
      </c>
      <c r="AB163" s="252">
        <f>SUMIFS(Таблица1[1],Таблица1[2],$D163)</f>
        <v>0</v>
      </c>
      <c r="AC163" s="57">
        <f t="shared" si="35"/>
        <v>0</v>
      </c>
      <c r="AD163" s="57">
        <f t="shared" si="36"/>
        <v>0</v>
      </c>
      <c r="AE163" s="58">
        <f>SUMIFS(Таблица1[8],Таблица1[2],$D163)+SUMIFS(Таблица1[18],Таблица1[2],$D163)</f>
        <v>0</v>
      </c>
      <c r="AF163" s="58">
        <f>SUMIFS(Таблица1[9],Таблица1[2],$D163)+SUMIFS(Таблица1[19],Таблица1[2],$D163)</f>
        <v>0</v>
      </c>
      <c r="AG163" s="59">
        <f t="shared" si="37"/>
        <v>860.4</v>
      </c>
      <c r="AH163" s="59">
        <f t="shared" si="38"/>
        <v>860.4</v>
      </c>
      <c r="AI163" s="60">
        <f>329.3-AM163</f>
        <v>329.3</v>
      </c>
      <c r="AJ163" s="60">
        <f t="shared" si="31"/>
        <v>329.3</v>
      </c>
      <c r="AK163" s="60">
        <f>SUMIFS(Таблица1[10],Таблица1[2],$D163)</f>
        <v>0</v>
      </c>
      <c r="AL163" s="60">
        <f>SUMIFS(Таблица1[11],Таблица1[2],$D163)</f>
        <v>0</v>
      </c>
      <c r="AM163" s="251">
        <v>0</v>
      </c>
      <c r="AN163" s="249">
        <f t="shared" si="32"/>
        <v>0</v>
      </c>
      <c r="AO163" s="249">
        <f>SUMIFS(Таблица1[12],Таблица1[2],$D163)</f>
        <v>0</v>
      </c>
      <c r="AP163" s="249">
        <f>SUMIFS(Таблица1[13],Таблица1[2],$D163)</f>
        <v>0</v>
      </c>
      <c r="AQ163" s="61">
        <v>141.19999999999999</v>
      </c>
      <c r="AR163" s="61">
        <f t="shared" si="33"/>
        <v>141.19999999999999</v>
      </c>
      <c r="AS163" s="60">
        <f>SUMIFS(Таблица1[14],Таблица1[2],$D163)</f>
        <v>0</v>
      </c>
      <c r="AT163" s="60">
        <f>SUMIFS(Таблица1[15],Таблица1[2],$D163)</f>
        <v>0</v>
      </c>
      <c r="AU163" s="61">
        <v>389.9</v>
      </c>
      <c r="AV163" s="61">
        <f t="shared" si="34"/>
        <v>389.9</v>
      </c>
      <c r="AW163" s="60">
        <f>SUMIFS(Таблица1[16],Таблица1[2],$D163)</f>
        <v>0</v>
      </c>
      <c r="AX163" s="60">
        <f>SUMIFS(Таблица1[17],Таблица1[2],$D163)</f>
        <v>0</v>
      </c>
      <c r="AY163" s="263"/>
      <c r="AZ163" s="264"/>
      <c r="BA163" s="296">
        <v>0</v>
      </c>
      <c r="BB163" s="296">
        <f t="shared" si="43"/>
        <v>0</v>
      </c>
      <c r="BC163" s="296">
        <v>0</v>
      </c>
      <c r="BD163" s="296">
        <v>0</v>
      </c>
      <c r="BE163" s="285"/>
      <c r="BF163" s="259">
        <v>1105</v>
      </c>
      <c r="BG163" s="260">
        <v>6383</v>
      </c>
      <c r="BH163" s="62" t="s">
        <v>943</v>
      </c>
      <c r="BI163" s="62" t="s">
        <v>935</v>
      </c>
      <c r="BJ163" s="62"/>
      <c r="BK163" s="267"/>
      <c r="BL163" s="267" t="s">
        <v>1649</v>
      </c>
      <c r="BM163" s="267"/>
      <c r="BN163" s="268"/>
      <c r="BO163" s="62">
        <v>23</v>
      </c>
      <c r="BP163" s="63">
        <v>28775</v>
      </c>
      <c r="BQ163" s="64" t="s">
        <v>1131</v>
      </c>
      <c r="BR163" s="372" t="s">
        <v>2747</v>
      </c>
      <c r="BS163" s="62"/>
      <c r="BT163" s="323"/>
      <c r="BU163" s="62"/>
      <c r="BV163" s="323"/>
      <c r="BW163" s="62"/>
      <c r="BX163" s="336"/>
      <c r="BY163" s="336"/>
    </row>
    <row r="164" spans="1:77" ht="13.15" hidden="1" customHeight="1" outlineLevel="1" x14ac:dyDescent="0.2">
      <c r="A164" s="50">
        <f t="shared" si="40"/>
        <v>159</v>
      </c>
      <c r="B164" s="51">
        <v>29</v>
      </c>
      <c r="C164" s="51">
        <v>12</v>
      </c>
      <c r="D164" s="18" t="s">
        <v>685</v>
      </c>
      <c r="E164" s="18">
        <v>16</v>
      </c>
      <c r="F164" s="18">
        <v>3</v>
      </c>
      <c r="G164" s="52">
        <v>1</v>
      </c>
      <c r="H164" s="237"/>
      <c r="I164" s="65">
        <v>1960</v>
      </c>
      <c r="J164" s="349">
        <v>5</v>
      </c>
      <c r="K164" s="346">
        <f t="shared" si="41"/>
        <v>6</v>
      </c>
      <c r="L164" s="346">
        <v>1</v>
      </c>
      <c r="M164" s="349">
        <v>2</v>
      </c>
      <c r="N164" s="255">
        <f t="shared" si="39"/>
        <v>0</v>
      </c>
      <c r="O164" s="310">
        <v>40</v>
      </c>
      <c r="P164" s="66">
        <v>0</v>
      </c>
      <c r="Q164" s="66"/>
      <c r="R164" s="66">
        <v>20</v>
      </c>
      <c r="S164" s="66">
        <v>10</v>
      </c>
      <c r="T164" s="66">
        <v>10</v>
      </c>
      <c r="U164" s="66">
        <v>0</v>
      </c>
      <c r="V164" s="66">
        <v>0</v>
      </c>
      <c r="W164" s="54">
        <v>0</v>
      </c>
      <c r="X164" s="55">
        <f>SUMIFS(Таблица3[Кол-во квартир],Таблица3[Адрес МКД],$D164)</f>
        <v>40</v>
      </c>
      <c r="Y164" s="56">
        <f t="shared" si="42"/>
        <v>2464.9</v>
      </c>
      <c r="Z164" s="253">
        <f>SUMIFS(Таблица3[Площадь жилая],Таблица3[Адрес МКД],$D164)</f>
        <v>1607.9</v>
      </c>
      <c r="AA164" s="261">
        <f>SUMIFS(Таблица3[Площадь нежилых помещений],Таблица3[Адрес МКД],$D164)</f>
        <v>0</v>
      </c>
      <c r="AB164" s="252">
        <f>SUMIFS(Таблица1[1],Таблица1[2],$D164)</f>
        <v>0</v>
      </c>
      <c r="AC164" s="57">
        <f t="shared" si="35"/>
        <v>0</v>
      </c>
      <c r="AD164" s="57">
        <f t="shared" si="36"/>
        <v>0</v>
      </c>
      <c r="AE164" s="58">
        <f>SUMIFS(Таблица1[8],Таблица1[2],$D164)+SUMIFS(Таблица1[18],Таблица1[2],$D164)</f>
        <v>0</v>
      </c>
      <c r="AF164" s="58">
        <f>SUMIFS(Таблица1[9],Таблица1[2],$D164)+SUMIFS(Таблица1[19],Таблица1[2],$D164)</f>
        <v>0</v>
      </c>
      <c r="AG164" s="59">
        <f t="shared" si="37"/>
        <v>857</v>
      </c>
      <c r="AH164" s="59">
        <f t="shared" si="38"/>
        <v>857</v>
      </c>
      <c r="AI164" s="60">
        <f>327.7-AM164</f>
        <v>327.7</v>
      </c>
      <c r="AJ164" s="60">
        <f t="shared" si="31"/>
        <v>327.7</v>
      </c>
      <c r="AK164" s="60">
        <f>SUMIFS(Таблица1[10],Таблица1[2],$D164)</f>
        <v>0</v>
      </c>
      <c r="AL164" s="60">
        <f>SUMIFS(Таблица1[11],Таблица1[2],$D164)</f>
        <v>0</v>
      </c>
      <c r="AM164" s="251">
        <v>0</v>
      </c>
      <c r="AN164" s="249">
        <f t="shared" si="32"/>
        <v>0</v>
      </c>
      <c r="AO164" s="249">
        <f>SUMIFS(Таблица1[12],Таблица1[2],$D164)</f>
        <v>0</v>
      </c>
      <c r="AP164" s="249">
        <f>SUMIFS(Таблица1[13],Таблица1[2],$D164)</f>
        <v>0</v>
      </c>
      <c r="AQ164" s="61">
        <v>141.6</v>
      </c>
      <c r="AR164" s="61">
        <f t="shared" si="33"/>
        <v>141.6</v>
      </c>
      <c r="AS164" s="60">
        <f>SUMIFS(Таблица1[14],Таблица1[2],$D164)</f>
        <v>0</v>
      </c>
      <c r="AT164" s="60">
        <f>SUMIFS(Таблица1[15],Таблица1[2],$D164)</f>
        <v>0</v>
      </c>
      <c r="AU164" s="61">
        <v>387.7</v>
      </c>
      <c r="AV164" s="61">
        <f t="shared" si="34"/>
        <v>387.7</v>
      </c>
      <c r="AW164" s="60">
        <f>SUMIFS(Таблица1[16],Таблица1[2],$D164)</f>
        <v>0</v>
      </c>
      <c r="AX164" s="60">
        <f>SUMIFS(Таблица1[17],Таблица1[2],$D164)</f>
        <v>0</v>
      </c>
      <c r="AY164" s="263"/>
      <c r="AZ164" s="264"/>
      <c r="BA164" s="296">
        <v>0</v>
      </c>
      <c r="BB164" s="296">
        <f t="shared" si="43"/>
        <v>0</v>
      </c>
      <c r="BC164" s="296">
        <v>0</v>
      </c>
      <c r="BD164" s="296">
        <v>0</v>
      </c>
      <c r="BE164" s="285"/>
      <c r="BF164" s="259">
        <v>1111</v>
      </c>
      <c r="BG164" s="260">
        <v>6263</v>
      </c>
      <c r="BH164" s="62" t="s">
        <v>943</v>
      </c>
      <c r="BI164" s="62" t="s">
        <v>935</v>
      </c>
      <c r="BJ164" s="62"/>
      <c r="BK164" s="267"/>
      <c r="BL164" s="267" t="s">
        <v>1649</v>
      </c>
      <c r="BM164" s="267"/>
      <c r="BN164" s="268"/>
      <c r="BO164" s="62">
        <v>28</v>
      </c>
      <c r="BP164" s="63">
        <v>28781</v>
      </c>
      <c r="BQ164" s="64" t="s">
        <v>1131</v>
      </c>
      <c r="BR164" s="372" t="s">
        <v>2747</v>
      </c>
      <c r="BS164" s="62"/>
      <c r="BT164" s="323"/>
      <c r="BU164" s="62"/>
      <c r="BV164" s="323"/>
      <c r="BW164" s="62"/>
      <c r="BX164" s="336"/>
      <c r="BY164" s="336"/>
    </row>
    <row r="165" spans="1:77" ht="13.15" hidden="1" customHeight="1" outlineLevel="1" x14ac:dyDescent="0.2">
      <c r="A165" s="50">
        <f t="shared" si="40"/>
        <v>160</v>
      </c>
      <c r="B165" s="51">
        <v>30</v>
      </c>
      <c r="C165" s="51">
        <v>13</v>
      </c>
      <c r="D165" s="18" t="s">
        <v>686</v>
      </c>
      <c r="E165" s="18">
        <v>16</v>
      </c>
      <c r="F165" s="18">
        <v>3</v>
      </c>
      <c r="G165" s="52">
        <v>2</v>
      </c>
      <c r="H165" s="237">
        <v>2</v>
      </c>
      <c r="I165" s="65">
        <v>1960</v>
      </c>
      <c r="J165" s="349">
        <v>5</v>
      </c>
      <c r="K165" s="346">
        <f t="shared" si="41"/>
        <v>6</v>
      </c>
      <c r="L165" s="346">
        <v>1</v>
      </c>
      <c r="M165" s="349">
        <v>8</v>
      </c>
      <c r="N165" s="255">
        <f t="shared" si="39"/>
        <v>0</v>
      </c>
      <c r="O165" s="310">
        <v>132</v>
      </c>
      <c r="P165" s="327">
        <v>18</v>
      </c>
      <c r="Q165" s="66"/>
      <c r="R165" s="66">
        <f>46+20</f>
        <v>66</v>
      </c>
      <c r="S165" s="66">
        <f>26+20</f>
        <v>46</v>
      </c>
      <c r="T165" s="66">
        <f>0+20</f>
        <v>20</v>
      </c>
      <c r="U165" s="66">
        <v>0</v>
      </c>
      <c r="V165" s="66">
        <v>0</v>
      </c>
      <c r="W165" s="54">
        <v>0</v>
      </c>
      <c r="X165" s="55">
        <f>SUMIFS(Таблица3[Кол-во квартир],Таблица3[Адрес МКД],$D165)</f>
        <v>114</v>
      </c>
      <c r="Y165" s="56">
        <f>Z165+AB165+AG165+AM165</f>
        <v>12885.8</v>
      </c>
      <c r="Z165" s="253">
        <f>SUMIFS(Таблица3[Площадь жилая],Таблица3[Адрес МКД],$D165)</f>
        <v>6932.2</v>
      </c>
      <c r="AA165" s="261">
        <f>SUMIFS(Таблица3[Площадь нежилых помещений],Таблица3[Адрес МКД],$D165)</f>
        <v>2039.6</v>
      </c>
      <c r="AB165" s="252">
        <f>SUMIFS(Таблица1[1],Таблица1[2],$D165)</f>
        <v>2160.9000000000005</v>
      </c>
      <c r="AC165" s="57">
        <f t="shared" si="35"/>
        <v>2160.8999999999996</v>
      </c>
      <c r="AD165" s="57">
        <f t="shared" si="36"/>
        <v>0</v>
      </c>
      <c r="AE165" s="58">
        <f>SUMIFS(Таблица1[8],Таблица1[2],$D165)+SUMIFS(Таблица1[18],Таблица1[2],$D165)</f>
        <v>1647.8999999999999</v>
      </c>
      <c r="AF165" s="58">
        <f>SUMIFS(Таблица1[9],Таблица1[2],$D165)+SUMIFS(Таблица1[19],Таблица1[2],$D165)</f>
        <v>0</v>
      </c>
      <c r="AG165" s="59">
        <f t="shared" si="37"/>
        <v>3792.7</v>
      </c>
      <c r="AH165" s="59">
        <f t="shared" si="38"/>
        <v>3792.7</v>
      </c>
      <c r="AI165" s="60">
        <f>609.9+834.3-AM165</f>
        <v>1444.1999999999998</v>
      </c>
      <c r="AJ165" s="60">
        <f t="shared" si="31"/>
        <v>931.19999999999982</v>
      </c>
      <c r="AK165" s="60">
        <f>SUMIFS(Таблица1[10],Таблица1[2],$D165)</f>
        <v>513</v>
      </c>
      <c r="AL165" s="60">
        <f>SUMIFS(Таблица1[11],Таблица1[2],$D165)</f>
        <v>0</v>
      </c>
      <c r="AM165" s="251">
        <v>0</v>
      </c>
      <c r="AN165" s="249">
        <f t="shared" si="32"/>
        <v>0</v>
      </c>
      <c r="AO165" s="249">
        <f>SUMIFS(Таблица1[12],Таблица1[2],$D165)</f>
        <v>0</v>
      </c>
      <c r="AP165" s="249">
        <f>SUMIFS(Таблица1[13],Таблица1[2],$D165)</f>
        <v>0</v>
      </c>
      <c r="AQ165" s="61">
        <f>333.6+451.1</f>
        <v>784.7</v>
      </c>
      <c r="AR165" s="61">
        <f t="shared" si="33"/>
        <v>784.7</v>
      </c>
      <c r="AS165" s="60">
        <f>SUMIFS(Таблица1[14],Таблица1[2],$D165)</f>
        <v>0</v>
      </c>
      <c r="AT165" s="60">
        <f>SUMIFS(Таблица1[15],Таблица1[2],$D165)</f>
        <v>0</v>
      </c>
      <c r="AU165" s="61">
        <f>788.1+1288.7</f>
        <v>2076.8000000000002</v>
      </c>
      <c r="AV165" s="61">
        <f t="shared" si="34"/>
        <v>2076.8000000000002</v>
      </c>
      <c r="AW165" s="60">
        <f>SUMIFS(Таблица1[16],Таблица1[2],$D165)</f>
        <v>0</v>
      </c>
      <c r="AX165" s="60">
        <f>SUMIFS(Таблица1[17],Таблица1[2],$D165)</f>
        <v>0</v>
      </c>
      <c r="AY165" s="263">
        <f>Нежилые!G916</f>
        <v>121.3</v>
      </c>
      <c r="AZ165" s="264"/>
      <c r="BA165" s="296">
        <v>0</v>
      </c>
      <c r="BB165" s="296">
        <f t="shared" si="43"/>
        <v>0</v>
      </c>
      <c r="BC165" s="296">
        <v>0</v>
      </c>
      <c r="BD165" s="296">
        <v>0</v>
      </c>
      <c r="BE165" s="285"/>
      <c r="BF165" s="259">
        <f>3951+2521</f>
        <v>6472</v>
      </c>
      <c r="BG165" s="260">
        <f>23084+924+14002</f>
        <v>38010</v>
      </c>
      <c r="BH165" s="67" t="s">
        <v>1007</v>
      </c>
      <c r="BI165" s="62" t="s">
        <v>935</v>
      </c>
      <c r="BJ165" s="62"/>
      <c r="BK165" s="267"/>
      <c r="BL165" s="267"/>
      <c r="BM165" s="267" t="s">
        <v>1649</v>
      </c>
      <c r="BN165" s="268"/>
      <c r="BO165" s="62">
        <v>30</v>
      </c>
      <c r="BP165" s="63">
        <v>41359</v>
      </c>
      <c r="BQ165" s="64" t="s">
        <v>1131</v>
      </c>
      <c r="BR165" s="372" t="s">
        <v>1649</v>
      </c>
      <c r="BS165" s="62">
        <v>175</v>
      </c>
      <c r="BT165" s="323">
        <v>50</v>
      </c>
      <c r="BU165" s="62">
        <v>410</v>
      </c>
      <c r="BV165" s="323" t="s">
        <v>2078</v>
      </c>
      <c r="BW165" s="62">
        <v>203</v>
      </c>
      <c r="BX165" s="336"/>
      <c r="BY165" s="336"/>
    </row>
    <row r="166" spans="1:77" ht="13.15" hidden="1" customHeight="1" outlineLevel="1" x14ac:dyDescent="0.2">
      <c r="A166" s="50">
        <f t="shared" si="40"/>
        <v>161</v>
      </c>
      <c r="B166" s="51">
        <v>31</v>
      </c>
      <c r="C166" s="51">
        <v>14</v>
      </c>
      <c r="D166" s="18" t="s">
        <v>687</v>
      </c>
      <c r="E166" s="18">
        <v>16</v>
      </c>
      <c r="F166" s="18">
        <v>3</v>
      </c>
      <c r="G166" s="52">
        <v>1</v>
      </c>
      <c r="H166" s="237">
        <v>1</v>
      </c>
      <c r="I166" s="65">
        <v>1960</v>
      </c>
      <c r="J166" s="349">
        <v>5</v>
      </c>
      <c r="K166" s="346">
        <f t="shared" si="41"/>
        <v>6</v>
      </c>
      <c r="L166" s="346">
        <v>1</v>
      </c>
      <c r="M166" s="349">
        <v>5</v>
      </c>
      <c r="N166" s="255">
        <f t="shared" si="39"/>
        <v>0</v>
      </c>
      <c r="O166" s="310">
        <v>100</v>
      </c>
      <c r="P166" s="66">
        <v>0</v>
      </c>
      <c r="Q166" s="66"/>
      <c r="R166" s="66">
        <v>75</v>
      </c>
      <c r="S166" s="66">
        <v>25</v>
      </c>
      <c r="T166" s="66">
        <v>0</v>
      </c>
      <c r="U166" s="66">
        <v>0</v>
      </c>
      <c r="V166" s="66">
        <v>0</v>
      </c>
      <c r="W166" s="54">
        <v>0</v>
      </c>
      <c r="X166" s="55">
        <f>SUMIFS(Таблица3[Кол-во квартир],Таблица3[Адрес МКД],$D166)</f>
        <v>100</v>
      </c>
      <c r="Y166" s="56">
        <f t="shared" ref="Y166:Y187" si="44">Z166+AB166+AG166+AN166</f>
        <v>5424.2</v>
      </c>
      <c r="Z166" s="253">
        <f>SUMIFS(Таблица3[Площадь жилая],Таблица3[Адрес МКД],$D166)</f>
        <v>3524.9</v>
      </c>
      <c r="AA166" s="261">
        <f>SUMIFS(Таблица3[Площадь нежилых помещений],Таблица3[Адрес МКД],$D166)</f>
        <v>132.19999999999999</v>
      </c>
      <c r="AB166" s="252">
        <f>SUMIFS(Таблица1[1],Таблица1[2],$D166)</f>
        <v>132.19999999999999</v>
      </c>
      <c r="AC166" s="57">
        <f t="shared" si="35"/>
        <v>132.19999999999999</v>
      </c>
      <c r="AD166" s="57">
        <f t="shared" si="36"/>
        <v>0</v>
      </c>
      <c r="AE166" s="58">
        <f>SUMIFS(Таблица1[8],Таблица1[2],$D166)+SUMIFS(Таблица1[18],Таблица1[2],$D166)</f>
        <v>0</v>
      </c>
      <c r="AF166" s="58">
        <f>SUMIFS(Таблица1[9],Таблица1[2],$D166)+SUMIFS(Таблица1[19],Таблица1[2],$D166)</f>
        <v>0</v>
      </c>
      <c r="AG166" s="59">
        <f t="shared" si="37"/>
        <v>1767.1</v>
      </c>
      <c r="AH166" s="59">
        <f t="shared" si="38"/>
        <v>1767.1</v>
      </c>
      <c r="AI166" s="60">
        <f>690.4-AM166</f>
        <v>690.4</v>
      </c>
      <c r="AJ166" s="60">
        <f t="shared" si="31"/>
        <v>558.20000000000005</v>
      </c>
      <c r="AK166" s="60">
        <f>SUMIFS(Таблица1[10],Таблица1[2],$D166)</f>
        <v>132.19999999999999</v>
      </c>
      <c r="AL166" s="60">
        <f>SUMIFS(Таблица1[11],Таблица1[2],$D166)</f>
        <v>0</v>
      </c>
      <c r="AM166" s="251">
        <v>0</v>
      </c>
      <c r="AN166" s="249">
        <f t="shared" si="32"/>
        <v>0</v>
      </c>
      <c r="AO166" s="249">
        <f>SUMIFS(Таблица1[12],Таблица1[2],$D166)</f>
        <v>0</v>
      </c>
      <c r="AP166" s="249">
        <f>SUMIFS(Таблица1[13],Таблица1[2],$D166)</f>
        <v>0</v>
      </c>
      <c r="AQ166" s="61">
        <v>362.9</v>
      </c>
      <c r="AR166" s="61">
        <f t="shared" si="33"/>
        <v>362.9</v>
      </c>
      <c r="AS166" s="60">
        <f>SUMIFS(Таблица1[14],Таблица1[2],$D166)</f>
        <v>0</v>
      </c>
      <c r="AT166" s="60">
        <f>SUMIFS(Таблица1[15],Таблица1[2],$D166)</f>
        <v>0</v>
      </c>
      <c r="AU166" s="61">
        <v>846</v>
      </c>
      <c r="AV166" s="61">
        <f t="shared" si="34"/>
        <v>846</v>
      </c>
      <c r="AW166" s="60">
        <f>SUMIFS(Таблица1[16],Таблица1[2],$D166)</f>
        <v>0</v>
      </c>
      <c r="AX166" s="60">
        <f>SUMIFS(Таблица1[17],Таблица1[2],$D166)</f>
        <v>0</v>
      </c>
      <c r="AY166" s="263"/>
      <c r="AZ166" s="264"/>
      <c r="BA166" s="296">
        <v>0</v>
      </c>
      <c r="BB166" s="296">
        <f t="shared" si="43"/>
        <v>0</v>
      </c>
      <c r="BC166" s="296">
        <v>0</v>
      </c>
      <c r="BD166" s="296">
        <v>0</v>
      </c>
      <c r="BE166" s="285"/>
      <c r="BF166" s="259">
        <v>2758</v>
      </c>
      <c r="BG166" s="260">
        <f>14998+174</f>
        <v>15172</v>
      </c>
      <c r="BH166" s="62" t="s">
        <v>940</v>
      </c>
      <c r="BI166" s="62" t="s">
        <v>935</v>
      </c>
      <c r="BJ166" s="62"/>
      <c r="BK166" s="267"/>
      <c r="BL166" s="267" t="s">
        <v>1649</v>
      </c>
      <c r="BM166" s="267"/>
      <c r="BN166" s="268"/>
      <c r="BO166" s="62">
        <v>17</v>
      </c>
      <c r="BP166" s="63">
        <v>29108</v>
      </c>
      <c r="BQ166" s="64" t="s">
        <v>1131</v>
      </c>
      <c r="BR166" s="372" t="s">
        <v>2747</v>
      </c>
      <c r="BS166" s="62">
        <v>11</v>
      </c>
      <c r="BT166" s="323">
        <v>50</v>
      </c>
      <c r="BU166" s="62">
        <v>410</v>
      </c>
      <c r="BV166" s="323" t="s">
        <v>2078</v>
      </c>
      <c r="BW166" s="62">
        <v>125</v>
      </c>
      <c r="BX166" s="336"/>
      <c r="BY166" s="336"/>
    </row>
    <row r="167" spans="1:77" ht="13.15" hidden="1" customHeight="1" outlineLevel="1" x14ac:dyDescent="0.2">
      <c r="A167" s="50">
        <f t="shared" si="40"/>
        <v>162</v>
      </c>
      <c r="B167" s="51">
        <v>30</v>
      </c>
      <c r="C167" s="51">
        <v>45</v>
      </c>
      <c r="D167" s="18" t="s">
        <v>524</v>
      </c>
      <c r="E167" s="18">
        <v>11</v>
      </c>
      <c r="F167" s="18">
        <v>2</v>
      </c>
      <c r="G167" s="52">
        <v>1</v>
      </c>
      <c r="H167" s="237">
        <v>1</v>
      </c>
      <c r="I167" s="65">
        <v>1954</v>
      </c>
      <c r="J167" s="349">
        <v>5</v>
      </c>
      <c r="K167" s="346">
        <f t="shared" si="41"/>
        <v>6</v>
      </c>
      <c r="L167" s="346">
        <v>1</v>
      </c>
      <c r="M167" s="349">
        <v>5</v>
      </c>
      <c r="N167" s="255">
        <f t="shared" si="39"/>
        <v>1</v>
      </c>
      <c r="O167" s="310">
        <v>75</v>
      </c>
      <c r="P167" s="327">
        <v>7</v>
      </c>
      <c r="Q167" s="66"/>
      <c r="R167" s="66">
        <v>3</v>
      </c>
      <c r="S167" s="66">
        <v>23</v>
      </c>
      <c r="T167" s="66">
        <v>42</v>
      </c>
      <c r="U167" s="66">
        <v>7</v>
      </c>
      <c r="V167" s="66">
        <v>0</v>
      </c>
      <c r="W167" s="54">
        <v>0</v>
      </c>
      <c r="X167" s="55">
        <f>SUMIFS(Таблица3[Кол-во квартир],Таблица3[Адрес МКД],$D167)</f>
        <v>67</v>
      </c>
      <c r="Y167" s="56">
        <f t="shared" si="44"/>
        <v>8456.2999999999993</v>
      </c>
      <c r="Z167" s="253">
        <f>SUMIFS(Таблица3[Площадь жилая],Таблица3[Адрес МКД],$D167)</f>
        <v>4970.3999999999996</v>
      </c>
      <c r="AA167" s="261">
        <f>SUMIFS(Таблица3[Площадь нежилых помещений],Таблица3[Адрес МКД],$D167)</f>
        <v>984.1</v>
      </c>
      <c r="AB167" s="252">
        <f>SUMIFS(Таблица1[1],Таблица1[2],$D167)</f>
        <v>1013.2</v>
      </c>
      <c r="AC167" s="57">
        <f t="shared" si="35"/>
        <v>984.09999999999991</v>
      </c>
      <c r="AD167" s="57">
        <f t="shared" si="36"/>
        <v>29.1</v>
      </c>
      <c r="AE167" s="58">
        <f>SUMIFS(Таблица1[8],Таблица1[2],$D167)+SUMIFS(Таблица1[18],Таблица1[2],$D167)</f>
        <v>410.5</v>
      </c>
      <c r="AF167" s="58">
        <f>SUMIFS(Таблица1[9],Таблица1[2],$D167)+SUMIFS(Таблица1[19],Таблица1[2],$D167)</f>
        <v>0</v>
      </c>
      <c r="AG167" s="59">
        <f t="shared" si="37"/>
        <v>2472.6999999999998</v>
      </c>
      <c r="AH167" s="59">
        <f t="shared" si="38"/>
        <v>2501.8000000000002</v>
      </c>
      <c r="AI167" s="60">
        <f>923.7-AM167</f>
        <v>659.80000000000007</v>
      </c>
      <c r="AJ167" s="60">
        <f t="shared" si="31"/>
        <v>366.50000000000006</v>
      </c>
      <c r="AK167" s="60">
        <f>SUMIFS(Таблица1[10],Таблица1[2],$D167)</f>
        <v>293.3</v>
      </c>
      <c r="AL167" s="60">
        <f>SUMIFS(Таблица1[11],Таблица1[2],$D167)</f>
        <v>0</v>
      </c>
      <c r="AM167" s="251">
        <f>122.8+141.1</f>
        <v>263.89999999999998</v>
      </c>
      <c r="AN167" s="249">
        <f t="shared" si="32"/>
        <v>0</v>
      </c>
      <c r="AO167" s="249">
        <f>SUMIFS(Таблица1[12],Таблица1[2],$D167)</f>
        <v>263.89999999999998</v>
      </c>
      <c r="AP167" s="249">
        <f>SUMIFS(Таблица1[13],Таблица1[2],$D167)</f>
        <v>0</v>
      </c>
      <c r="AQ167" s="61">
        <f>675.1</f>
        <v>675.1</v>
      </c>
      <c r="AR167" s="61">
        <f t="shared" si="33"/>
        <v>629.6</v>
      </c>
      <c r="AS167" s="60">
        <f>SUMIFS(Таблица1[14],Таблица1[2],$D167)</f>
        <v>16.399999999999999</v>
      </c>
      <c r="AT167" s="60">
        <f>SUMIFS(Таблица1[15],Таблица1[2],$D167)</f>
        <v>29.1</v>
      </c>
      <c r="AU167" s="61">
        <v>1476.6</v>
      </c>
      <c r="AV167" s="61">
        <f t="shared" si="34"/>
        <v>1476.6</v>
      </c>
      <c r="AW167" s="60">
        <f>SUMIFS(Таблица1[16],Таблица1[2],$D167)</f>
        <v>0</v>
      </c>
      <c r="AX167" s="60">
        <f>SUMIFS(Таблица1[17],Таблица1[2],$D167)</f>
        <v>0</v>
      </c>
      <c r="AY167" s="263"/>
      <c r="AZ167" s="264"/>
      <c r="BA167" s="296">
        <v>0</v>
      </c>
      <c r="BB167" s="296">
        <f t="shared" si="43"/>
        <v>0</v>
      </c>
      <c r="BC167" s="296">
        <v>0</v>
      </c>
      <c r="BD167" s="296">
        <v>0</v>
      </c>
      <c r="BE167" s="285"/>
      <c r="BF167" s="259">
        <v>4494</v>
      </c>
      <c r="BG167" s="260">
        <f>14335+9457</f>
        <v>23792</v>
      </c>
      <c r="BH167" s="62" t="s">
        <v>936</v>
      </c>
      <c r="BI167" s="62" t="s">
        <v>935</v>
      </c>
      <c r="BJ167" s="62"/>
      <c r="BK167" s="267"/>
      <c r="BL167" s="267"/>
      <c r="BM167" s="267" t="s">
        <v>1649</v>
      </c>
      <c r="BN167" s="268"/>
      <c r="BO167" s="62">
        <v>31</v>
      </c>
      <c r="BP167" s="63">
        <v>28053</v>
      </c>
      <c r="BQ167" s="64" t="s">
        <v>1131</v>
      </c>
      <c r="BR167" s="372" t="s">
        <v>2747</v>
      </c>
      <c r="BS167" s="62"/>
      <c r="BT167" s="323"/>
      <c r="BU167" s="62"/>
      <c r="BV167" s="323"/>
      <c r="BW167" s="62"/>
      <c r="BX167" s="338"/>
      <c r="BY167" s="336"/>
    </row>
    <row r="168" spans="1:77" ht="13.15" hidden="1" customHeight="1" outlineLevel="1" x14ac:dyDescent="0.2">
      <c r="A168" s="50">
        <f t="shared" si="40"/>
        <v>163</v>
      </c>
      <c r="B168" s="51">
        <v>6</v>
      </c>
      <c r="C168" s="51">
        <v>15</v>
      </c>
      <c r="D168" s="18" t="s">
        <v>653</v>
      </c>
      <c r="E168" s="18">
        <v>14</v>
      </c>
      <c r="F168" s="18">
        <v>3</v>
      </c>
      <c r="G168" s="52">
        <v>1</v>
      </c>
      <c r="H168" s="237">
        <v>1</v>
      </c>
      <c r="I168" s="65">
        <v>1959</v>
      </c>
      <c r="J168" s="349">
        <v>5</v>
      </c>
      <c r="K168" s="346">
        <f t="shared" si="41"/>
        <v>6</v>
      </c>
      <c r="L168" s="346">
        <v>1</v>
      </c>
      <c r="M168" s="349">
        <v>4</v>
      </c>
      <c r="N168" s="255">
        <f t="shared" si="39"/>
        <v>0</v>
      </c>
      <c r="O168" s="310">
        <v>60</v>
      </c>
      <c r="P168" s="66">
        <v>5</v>
      </c>
      <c r="Q168" s="66"/>
      <c r="R168" s="66">
        <v>20</v>
      </c>
      <c r="S168" s="66">
        <v>20</v>
      </c>
      <c r="T168" s="66">
        <v>20</v>
      </c>
      <c r="U168" s="66">
        <v>0</v>
      </c>
      <c r="V168" s="66">
        <v>0</v>
      </c>
      <c r="W168" s="54">
        <v>0</v>
      </c>
      <c r="X168" s="55">
        <f>SUMIFS(Таблица3[Кол-во квартир],Таблица3[Адрес МКД],$D168)</f>
        <v>55</v>
      </c>
      <c r="Y168" s="56">
        <f t="shared" si="44"/>
        <v>5138.1000000000004</v>
      </c>
      <c r="Z168" s="253">
        <f>SUMIFS(Таблица3[Площадь жилая],Таблица3[Адрес МКД],$D168)</f>
        <v>3020.8</v>
      </c>
      <c r="AA168" s="261">
        <f>SUMIFS(Таблица3[Площадь нежилых помещений],Таблица3[Адрес МКД],$D168)</f>
        <v>257.3</v>
      </c>
      <c r="AB168" s="252">
        <f>SUMIFS(Таблица1[1],Таблица1[2],$D168)</f>
        <v>257.3</v>
      </c>
      <c r="AC168" s="57">
        <f t="shared" si="35"/>
        <v>257.3</v>
      </c>
      <c r="AD168" s="57">
        <f t="shared" si="36"/>
        <v>0</v>
      </c>
      <c r="AE168" s="58">
        <f>SUMIFS(Таблица1[8],Таблица1[2],$D168)+SUMIFS(Таблица1[18],Таблица1[2],$D168)</f>
        <v>257.3</v>
      </c>
      <c r="AF168" s="58">
        <f>SUMIFS(Таблица1[9],Таблица1[2],$D168)+SUMIFS(Таблица1[19],Таблица1[2],$D168)</f>
        <v>0</v>
      </c>
      <c r="AG168" s="59">
        <f t="shared" si="37"/>
        <v>1860</v>
      </c>
      <c r="AH168" s="59">
        <f t="shared" si="38"/>
        <v>1860</v>
      </c>
      <c r="AI168" s="60">
        <f>690.7-AM168</f>
        <v>690.7</v>
      </c>
      <c r="AJ168" s="60">
        <f t="shared" si="31"/>
        <v>690.7</v>
      </c>
      <c r="AK168" s="60">
        <f>SUMIFS(Таблица1[10],Таблица1[2],$D168)</f>
        <v>0</v>
      </c>
      <c r="AL168" s="60">
        <f>SUMIFS(Таблица1[11],Таблица1[2],$D168)</f>
        <v>0</v>
      </c>
      <c r="AM168" s="251">
        <v>0</v>
      </c>
      <c r="AN168" s="249">
        <f t="shared" si="32"/>
        <v>0</v>
      </c>
      <c r="AO168" s="249">
        <f>SUMIFS(Таблица1[12],Таблица1[2],$D168)</f>
        <v>0</v>
      </c>
      <c r="AP168" s="249">
        <f>SUMIFS(Таблица1[13],Таблица1[2],$D168)</f>
        <v>0</v>
      </c>
      <c r="AQ168" s="61">
        <f>351.9</f>
        <v>351.9</v>
      </c>
      <c r="AR168" s="61">
        <f t="shared" si="33"/>
        <v>351.9</v>
      </c>
      <c r="AS168" s="60">
        <f>SUMIFS(Таблица1[14],Таблица1[2],$D168)</f>
        <v>0</v>
      </c>
      <c r="AT168" s="60">
        <f>SUMIFS(Таблица1[15],Таблица1[2],$D168)</f>
        <v>0</v>
      </c>
      <c r="AU168" s="61">
        <v>817.4</v>
      </c>
      <c r="AV168" s="61">
        <f t="shared" si="34"/>
        <v>817.4</v>
      </c>
      <c r="AW168" s="60">
        <f>SUMIFS(Таблица1[16],Таблица1[2],$D168)</f>
        <v>0</v>
      </c>
      <c r="AX168" s="60">
        <f>SUMIFS(Таблица1[17],Таблица1[2],$D168)</f>
        <v>0</v>
      </c>
      <c r="AY168" s="263"/>
      <c r="AZ168" s="264"/>
      <c r="BA168" s="296">
        <v>0</v>
      </c>
      <c r="BB168" s="296">
        <f t="shared" si="43"/>
        <v>0</v>
      </c>
      <c r="BC168" s="296">
        <v>0</v>
      </c>
      <c r="BD168" s="296">
        <v>0</v>
      </c>
      <c r="BE168" s="285"/>
      <c r="BF168" s="259">
        <v>2460</v>
      </c>
      <c r="BG168" s="260">
        <v>14812</v>
      </c>
      <c r="BH168" s="62" t="s">
        <v>943</v>
      </c>
      <c r="BI168" s="62" t="s">
        <v>935</v>
      </c>
      <c r="BJ168" s="62"/>
      <c r="BK168" s="267"/>
      <c r="BL168" s="267"/>
      <c r="BM168" s="267" t="s">
        <v>1649</v>
      </c>
      <c r="BN168" s="268"/>
      <c r="BO168" s="62">
        <v>17</v>
      </c>
      <c r="BP168" s="63">
        <v>28906</v>
      </c>
      <c r="BQ168" s="64" t="s">
        <v>1131</v>
      </c>
      <c r="BR168" s="372" t="s">
        <v>2747</v>
      </c>
      <c r="BS168" s="62"/>
      <c r="BT168" s="323"/>
      <c r="BU168" s="62"/>
      <c r="BV168" s="323"/>
      <c r="BW168" s="62"/>
      <c r="BX168" s="336"/>
      <c r="BY168" s="336"/>
    </row>
    <row r="169" spans="1:77" ht="13.15" hidden="1" customHeight="1" outlineLevel="1" x14ac:dyDescent="0.2">
      <c r="A169" s="50">
        <f t="shared" si="40"/>
        <v>164</v>
      </c>
      <c r="B169" s="51">
        <v>31</v>
      </c>
      <c r="C169" s="51">
        <v>46</v>
      </c>
      <c r="D169" s="18" t="s">
        <v>525</v>
      </c>
      <c r="E169" s="18">
        <v>11</v>
      </c>
      <c r="F169" s="18">
        <v>2</v>
      </c>
      <c r="G169" s="52">
        <v>1</v>
      </c>
      <c r="H169" s="237">
        <v>1</v>
      </c>
      <c r="I169" s="65">
        <v>1954</v>
      </c>
      <c r="J169" s="349">
        <v>5</v>
      </c>
      <c r="K169" s="346">
        <f t="shared" si="41"/>
        <v>6</v>
      </c>
      <c r="L169" s="346">
        <v>1</v>
      </c>
      <c r="M169" s="349">
        <v>5</v>
      </c>
      <c r="N169" s="255">
        <f t="shared" si="39"/>
        <v>2</v>
      </c>
      <c r="O169" s="310">
        <v>75</v>
      </c>
      <c r="P169" s="66">
        <v>7</v>
      </c>
      <c r="Q169" s="66"/>
      <c r="R169" s="66">
        <v>3</v>
      </c>
      <c r="S169" s="66">
        <v>23</v>
      </c>
      <c r="T169" s="66">
        <v>42</v>
      </c>
      <c r="U169" s="66">
        <v>7</v>
      </c>
      <c r="V169" s="66">
        <v>0</v>
      </c>
      <c r="W169" s="54">
        <v>0</v>
      </c>
      <c r="X169" s="55">
        <f>SUMIFS(Таблица3[Кол-во квартир],Таблица3[Адрес МКД],$D169)</f>
        <v>66</v>
      </c>
      <c r="Y169" s="56">
        <f t="shared" si="44"/>
        <v>8498.85</v>
      </c>
      <c r="Z169" s="253">
        <f>SUMIFS(Таблица3[Площадь жилая],Таблица3[Адрес МКД],$D169)</f>
        <v>4846</v>
      </c>
      <c r="AA169" s="261">
        <f>SUMIFS(Таблица3[Площадь нежилых помещений],Таблица3[Адрес МКД],$D169)</f>
        <v>1087.9000000000001</v>
      </c>
      <c r="AB169" s="252">
        <f>SUMIFS(Таблица1[1],Таблица1[2],$D169)</f>
        <v>1135.8000000000002</v>
      </c>
      <c r="AC169" s="57">
        <f t="shared" si="35"/>
        <v>1087.9000000000001</v>
      </c>
      <c r="AD169" s="57">
        <f t="shared" si="36"/>
        <v>47.900000000000006</v>
      </c>
      <c r="AE169" s="58">
        <f>SUMIFS(Таблица1[8],Таблица1[2],$D169)+SUMIFS(Таблица1[18],Таблица1[2],$D169)</f>
        <v>467.79999999999995</v>
      </c>
      <c r="AF169" s="58">
        <f>SUMIFS(Таблица1[9],Таблица1[2],$D169)+SUMIFS(Таблица1[19],Таблица1[2],$D169)</f>
        <v>0</v>
      </c>
      <c r="AG169" s="59">
        <f t="shared" si="37"/>
        <v>2517.0500000000002</v>
      </c>
      <c r="AH169" s="59">
        <f t="shared" si="38"/>
        <v>2564.9500000000003</v>
      </c>
      <c r="AI169" s="60">
        <f>691.7+416.1-AM169</f>
        <v>782.4000000000002</v>
      </c>
      <c r="AJ169" s="60">
        <f t="shared" si="31"/>
        <v>516.70000000000027</v>
      </c>
      <c r="AK169" s="60">
        <f>SUMIFS(Таблица1[10],Таблица1[2],$D169)</f>
        <v>265.7</v>
      </c>
      <c r="AL169" s="60">
        <f>SUMIFS(Таблица1[11],Таблица1[2],$D169)</f>
        <v>0</v>
      </c>
      <c r="AM169" s="251">
        <f>148.7+176.7</f>
        <v>325.39999999999998</v>
      </c>
      <c r="AN169" s="249">
        <f t="shared" si="32"/>
        <v>0</v>
      </c>
      <c r="AO169" s="249">
        <f>SUMIFS(Таблица1[12],Таблица1[2],$D169)</f>
        <v>325.39999999999998</v>
      </c>
      <c r="AP169" s="249">
        <f>SUMIFS(Таблица1[13],Таблица1[2],$D169)</f>
        <v>0</v>
      </c>
      <c r="AQ169" s="61">
        <f>702.4</f>
        <v>702.4</v>
      </c>
      <c r="AR169" s="61">
        <f t="shared" si="33"/>
        <v>625.5</v>
      </c>
      <c r="AS169" s="60">
        <f>SUMIFS(Таблица1[14],Таблица1[2],$D169)</f>
        <v>29</v>
      </c>
      <c r="AT169" s="60">
        <f>SUMIFS(Таблица1[15],Таблица1[2],$D169)</f>
        <v>47.900000000000006</v>
      </c>
      <c r="AU169" s="61">
        <v>1374.85</v>
      </c>
      <c r="AV169" s="61">
        <f t="shared" si="34"/>
        <v>1374.85</v>
      </c>
      <c r="AW169" s="60">
        <f>SUMIFS(Таблица1[16],Таблица1[2],$D169)</f>
        <v>0</v>
      </c>
      <c r="AX169" s="60">
        <f>SUMIFS(Таблица1[17],Таблица1[2],$D169)</f>
        <v>0</v>
      </c>
      <c r="AY169" s="263"/>
      <c r="AZ169" s="264"/>
      <c r="BA169" s="296">
        <v>0</v>
      </c>
      <c r="BB169" s="296">
        <f t="shared" si="43"/>
        <v>0</v>
      </c>
      <c r="BC169" s="296">
        <v>0</v>
      </c>
      <c r="BD169" s="296">
        <v>0</v>
      </c>
      <c r="BE169" s="285"/>
      <c r="BF169" s="259">
        <v>3712</v>
      </c>
      <c r="BG169" s="260">
        <f>12857+4222+2106</f>
        <v>19185</v>
      </c>
      <c r="BH169" s="62" t="s">
        <v>939</v>
      </c>
      <c r="BI169" s="62" t="s">
        <v>935</v>
      </c>
      <c r="BJ169" s="62" t="s">
        <v>944</v>
      </c>
      <c r="BK169" s="267"/>
      <c r="BL169" s="267"/>
      <c r="BM169" s="267" t="s">
        <v>1649</v>
      </c>
      <c r="BN169" s="268"/>
      <c r="BO169" s="62">
        <v>43</v>
      </c>
      <c r="BP169" s="63">
        <v>44243</v>
      </c>
      <c r="BQ169" s="64" t="s">
        <v>1131</v>
      </c>
      <c r="BR169" s="372" t="s">
        <v>2747</v>
      </c>
      <c r="BS169" s="62"/>
      <c r="BT169" s="323"/>
      <c r="BU169" s="62"/>
      <c r="BV169" s="323"/>
      <c r="BW169" s="62"/>
      <c r="BX169" s="336">
        <v>41</v>
      </c>
      <c r="BY169" s="336" t="s">
        <v>1649</v>
      </c>
    </row>
    <row r="170" spans="1:77" ht="13.15" hidden="1" customHeight="1" outlineLevel="1" x14ac:dyDescent="0.2">
      <c r="A170" s="50">
        <f t="shared" si="40"/>
        <v>165</v>
      </c>
      <c r="B170" s="51">
        <v>32</v>
      </c>
      <c r="C170" s="51">
        <v>16</v>
      </c>
      <c r="D170" s="18" t="s">
        <v>696</v>
      </c>
      <c r="E170" s="18">
        <v>16</v>
      </c>
      <c r="F170" s="18">
        <v>3</v>
      </c>
      <c r="G170" s="52">
        <v>1</v>
      </c>
      <c r="H170" s="237">
        <v>1</v>
      </c>
      <c r="I170" s="65">
        <v>1959</v>
      </c>
      <c r="J170" s="349">
        <v>5</v>
      </c>
      <c r="K170" s="346">
        <f t="shared" si="41"/>
        <v>6</v>
      </c>
      <c r="L170" s="346">
        <v>1</v>
      </c>
      <c r="M170" s="349">
        <v>5</v>
      </c>
      <c r="N170" s="255">
        <f t="shared" si="39"/>
        <v>0</v>
      </c>
      <c r="O170" s="310">
        <v>100</v>
      </c>
      <c r="P170" s="66">
        <v>0</v>
      </c>
      <c r="Q170" s="66"/>
      <c r="R170" s="66">
        <v>75</v>
      </c>
      <c r="S170" s="66">
        <v>25</v>
      </c>
      <c r="T170" s="66">
        <v>0</v>
      </c>
      <c r="U170" s="66">
        <v>0</v>
      </c>
      <c r="V170" s="66">
        <v>0</v>
      </c>
      <c r="W170" s="54">
        <v>0</v>
      </c>
      <c r="X170" s="55">
        <f>SUMIFS(Таблица3[Кол-во квартир],Таблица3[Адрес МКД],$D170)</f>
        <v>100</v>
      </c>
      <c r="Y170" s="56">
        <f t="shared" si="44"/>
        <v>5076.7</v>
      </c>
      <c r="Z170" s="253">
        <f>SUMIFS(Таблица3[Площадь жилая],Таблица3[Адрес МКД],$D170)</f>
        <v>3500.3999999999996</v>
      </c>
      <c r="AA170" s="261">
        <f>SUMIFS(Таблица3[Площадь нежилых помещений],Таблица3[Адрес МКД],$D170)</f>
        <v>0</v>
      </c>
      <c r="AB170" s="252">
        <f>SUMIFS(Таблица1[1],Таблица1[2],$D170)</f>
        <v>0</v>
      </c>
      <c r="AC170" s="57">
        <f t="shared" si="35"/>
        <v>0</v>
      </c>
      <c r="AD170" s="57">
        <f t="shared" si="36"/>
        <v>0</v>
      </c>
      <c r="AE170" s="58">
        <f>SUMIFS(Таблица1[8],Таблица1[2],$D170)+SUMIFS(Таблица1[18],Таблица1[2],$D170)</f>
        <v>0</v>
      </c>
      <c r="AF170" s="58">
        <f>SUMIFS(Таблица1[9],Таблица1[2],$D170)+SUMIFS(Таблица1[19],Таблица1[2],$D170)</f>
        <v>0</v>
      </c>
      <c r="AG170" s="59">
        <f t="shared" si="37"/>
        <v>1576.3</v>
      </c>
      <c r="AH170" s="59">
        <f t="shared" si="38"/>
        <v>1576.3</v>
      </c>
      <c r="AI170" s="60">
        <f>331.7-AM170</f>
        <v>331.7</v>
      </c>
      <c r="AJ170" s="60">
        <f t="shared" si="31"/>
        <v>331.7</v>
      </c>
      <c r="AK170" s="60">
        <f>SUMIFS(Таблица1[10],Таблица1[2],$D170)</f>
        <v>0</v>
      </c>
      <c r="AL170" s="60">
        <f>SUMIFS(Таблица1[11],Таблица1[2],$D170)</f>
        <v>0</v>
      </c>
      <c r="AM170" s="251">
        <v>0</v>
      </c>
      <c r="AN170" s="249">
        <f t="shared" si="32"/>
        <v>0</v>
      </c>
      <c r="AO170" s="249">
        <f>SUMIFS(Таблица1[12],Таблица1[2],$D170)</f>
        <v>0</v>
      </c>
      <c r="AP170" s="249">
        <f>SUMIFS(Таблица1[13],Таблица1[2],$D170)</f>
        <v>0</v>
      </c>
      <c r="AQ170" s="61">
        <v>400.1</v>
      </c>
      <c r="AR170" s="61">
        <f t="shared" si="33"/>
        <v>400.1</v>
      </c>
      <c r="AS170" s="60">
        <f>SUMIFS(Таблица1[14],Таблица1[2],$D170)</f>
        <v>0</v>
      </c>
      <c r="AT170" s="60">
        <f>SUMIFS(Таблица1[15],Таблица1[2],$D170)</f>
        <v>0</v>
      </c>
      <c r="AU170" s="61">
        <v>844.5</v>
      </c>
      <c r="AV170" s="61">
        <f t="shared" si="34"/>
        <v>844.5</v>
      </c>
      <c r="AW170" s="60">
        <f>SUMIFS(Таблица1[16],Таблица1[2],$D170)</f>
        <v>0</v>
      </c>
      <c r="AX170" s="60">
        <f>SUMIFS(Таблица1[17],Таблица1[2],$D170)</f>
        <v>0</v>
      </c>
      <c r="AY170" s="263"/>
      <c r="AZ170" s="264"/>
      <c r="BA170" s="296">
        <v>0</v>
      </c>
      <c r="BB170" s="296">
        <f t="shared" si="43"/>
        <v>0</v>
      </c>
      <c r="BC170" s="296">
        <v>0</v>
      </c>
      <c r="BD170" s="296">
        <v>0</v>
      </c>
      <c r="BE170" s="285"/>
      <c r="BF170" s="259">
        <f>1374+28</f>
        <v>1402</v>
      </c>
      <c r="BG170" s="260">
        <f>15247</f>
        <v>15247</v>
      </c>
      <c r="BH170" s="62" t="s">
        <v>940</v>
      </c>
      <c r="BI170" s="62" t="s">
        <v>935</v>
      </c>
      <c r="BJ170" s="62"/>
      <c r="BK170" s="267"/>
      <c r="BL170" s="267" t="s">
        <v>1649</v>
      </c>
      <c r="BM170" s="267"/>
      <c r="BN170" s="268"/>
      <c r="BO170" s="62">
        <v>17</v>
      </c>
      <c r="BP170" s="63">
        <v>28906</v>
      </c>
      <c r="BQ170" s="64" t="s">
        <v>1131</v>
      </c>
      <c r="BR170" s="372" t="s">
        <v>2747</v>
      </c>
      <c r="BS170" s="62">
        <v>12</v>
      </c>
      <c r="BT170" s="323">
        <v>50</v>
      </c>
      <c r="BU170" s="62">
        <v>418</v>
      </c>
      <c r="BV170" s="323" t="s">
        <v>2078</v>
      </c>
      <c r="BW170" s="62">
        <v>123</v>
      </c>
      <c r="BX170" s="336"/>
      <c r="BY170" s="336"/>
    </row>
    <row r="171" spans="1:77" ht="13.15" hidden="1" customHeight="1" outlineLevel="1" x14ac:dyDescent="0.2">
      <c r="A171" s="50">
        <f t="shared" si="40"/>
        <v>166</v>
      </c>
      <c r="B171" s="51">
        <v>7</v>
      </c>
      <c r="C171" s="51">
        <v>17</v>
      </c>
      <c r="D171" s="18" t="s">
        <v>654</v>
      </c>
      <c r="E171" s="18">
        <v>14</v>
      </c>
      <c r="F171" s="18">
        <v>3</v>
      </c>
      <c r="G171" s="52">
        <v>1</v>
      </c>
      <c r="H171" s="237">
        <v>1</v>
      </c>
      <c r="I171" s="65">
        <v>1977</v>
      </c>
      <c r="J171" s="349">
        <v>9</v>
      </c>
      <c r="K171" s="346">
        <f t="shared" si="41"/>
        <v>10</v>
      </c>
      <c r="L171" s="346">
        <v>1</v>
      </c>
      <c r="M171" s="349">
        <v>1</v>
      </c>
      <c r="N171" s="255">
        <f t="shared" si="39"/>
        <v>-1</v>
      </c>
      <c r="O171" s="310">
        <v>48</v>
      </c>
      <c r="P171" s="66">
        <v>0</v>
      </c>
      <c r="Q171" s="66"/>
      <c r="R171" s="66">
        <v>24</v>
      </c>
      <c r="S171" s="66">
        <v>8</v>
      </c>
      <c r="T171" s="66">
        <v>16</v>
      </c>
      <c r="U171" s="66">
        <v>0</v>
      </c>
      <c r="V171" s="66">
        <v>0</v>
      </c>
      <c r="W171" s="54">
        <v>0</v>
      </c>
      <c r="X171" s="55">
        <f>SUMIFS(Таблица3[Кол-во квартир],Таблица3[Адрес МКД],$D171)</f>
        <v>49</v>
      </c>
      <c r="Y171" s="56">
        <f t="shared" si="44"/>
        <v>3713</v>
      </c>
      <c r="Z171" s="253">
        <f>SUMIFS(Таблица3[Площадь жилая],Таблица3[Адрес МКД],$D171)</f>
        <v>2105.6999999999998</v>
      </c>
      <c r="AA171" s="261">
        <f>SUMIFS(Таблица3[Площадь нежилых помещений],Таблица3[Адрес МКД],$D171)</f>
        <v>932.8</v>
      </c>
      <c r="AB171" s="252">
        <f>SUMIFS(Таблица1[1],Таблица1[2],$D171)</f>
        <v>932.80000000000007</v>
      </c>
      <c r="AC171" s="57">
        <f t="shared" si="35"/>
        <v>932.8</v>
      </c>
      <c r="AD171" s="57">
        <f t="shared" si="36"/>
        <v>0</v>
      </c>
      <c r="AE171" s="58">
        <f>SUMIFS(Таблица1[8],Таблица1[2],$D171)+SUMIFS(Таблица1[18],Таблица1[2],$D171)</f>
        <v>717</v>
      </c>
      <c r="AF171" s="58">
        <f>SUMIFS(Таблица1[9],Таблица1[2],$D171)+SUMIFS(Таблица1[19],Таблица1[2],$D171)</f>
        <v>0</v>
      </c>
      <c r="AG171" s="59">
        <f t="shared" si="37"/>
        <v>674.5</v>
      </c>
      <c r="AH171" s="59">
        <f>AJ171+AL171+AR171+AT171+AV171+AX171+AZ171</f>
        <v>674.5</v>
      </c>
      <c r="AI171" s="60">
        <f>261.1-AM171</f>
        <v>261.10000000000002</v>
      </c>
      <c r="AJ171" s="60">
        <f t="shared" si="31"/>
        <v>45.300000000000011</v>
      </c>
      <c r="AK171" s="60">
        <f>SUMIFS(Таблица1[10],Таблица1[2],$D171)</f>
        <v>215.8</v>
      </c>
      <c r="AL171" s="60">
        <f>SUMIFS(Таблица1[11],Таблица1[2],$D171)</f>
        <v>0</v>
      </c>
      <c r="AM171" s="251">
        <v>0</v>
      </c>
      <c r="AN171" s="249">
        <f t="shared" si="32"/>
        <v>0</v>
      </c>
      <c r="AO171" s="249">
        <f>SUMIFS(Таблица1[12],Таблица1[2],$D171)</f>
        <v>0</v>
      </c>
      <c r="AP171" s="249">
        <f>SUMIFS(Таблица1[13],Таблица1[2],$D171)</f>
        <v>0</v>
      </c>
      <c r="AQ171" s="61">
        <v>167.5</v>
      </c>
      <c r="AR171" s="61">
        <f t="shared" si="33"/>
        <v>167.5</v>
      </c>
      <c r="AS171" s="60">
        <f>SUMIFS(Таблица1[14],Таблица1[2],$D171)</f>
        <v>0</v>
      </c>
      <c r="AT171" s="60">
        <f>SUMIFS(Таблица1[15],Таблица1[2],$D171)</f>
        <v>0</v>
      </c>
      <c r="AU171" s="61">
        <v>336</v>
      </c>
      <c r="AV171" s="61">
        <f t="shared" si="34"/>
        <v>336</v>
      </c>
      <c r="AW171" s="60">
        <f>SUMIFS(Таблица1[16],Таблица1[2],$D171)</f>
        <v>0</v>
      </c>
      <c r="AX171" s="60">
        <f>SUMIFS(Таблица1[17],Таблица1[2],$D171)</f>
        <v>0</v>
      </c>
      <c r="AY171" s="263"/>
      <c r="AZ171" s="264">
        <v>125.7</v>
      </c>
      <c r="BA171" s="296">
        <v>0</v>
      </c>
      <c r="BB171" s="296">
        <f t="shared" si="43"/>
        <v>0</v>
      </c>
      <c r="BC171" s="296">
        <v>0</v>
      </c>
      <c r="BD171" s="296">
        <v>0</v>
      </c>
      <c r="BE171" s="285"/>
      <c r="BF171" s="259">
        <v>1111</v>
      </c>
      <c r="BG171" s="260">
        <f>1107+2035+8802</f>
        <v>11944</v>
      </c>
      <c r="BH171" s="62" t="s">
        <v>939</v>
      </c>
      <c r="BI171" s="62" t="s">
        <v>941</v>
      </c>
      <c r="BJ171" s="62"/>
      <c r="BK171" s="267"/>
      <c r="BL171" s="267" t="s">
        <v>1649</v>
      </c>
      <c r="BM171" s="267"/>
      <c r="BN171" s="268">
        <v>1</v>
      </c>
      <c r="BO171" s="62">
        <v>17</v>
      </c>
      <c r="BP171" s="63">
        <v>35152</v>
      </c>
      <c r="BQ171" s="64" t="s">
        <v>1939</v>
      </c>
      <c r="BR171" s="372" t="s">
        <v>2747</v>
      </c>
      <c r="BS171" s="62"/>
      <c r="BT171" s="323"/>
      <c r="BU171" s="62"/>
      <c r="BV171" s="323"/>
      <c r="BW171" s="62"/>
      <c r="BX171" s="336"/>
      <c r="BY171" s="336"/>
    </row>
    <row r="172" spans="1:77" ht="13.15" hidden="1" customHeight="1" outlineLevel="1" x14ac:dyDescent="0.2">
      <c r="A172" s="50">
        <f t="shared" si="40"/>
        <v>167</v>
      </c>
      <c r="B172" s="51">
        <v>33</v>
      </c>
      <c r="C172" s="51">
        <v>18</v>
      </c>
      <c r="D172" s="18" t="s">
        <v>697</v>
      </c>
      <c r="E172" s="18">
        <v>16</v>
      </c>
      <c r="F172" s="18">
        <v>3</v>
      </c>
      <c r="G172" s="52">
        <v>2</v>
      </c>
      <c r="H172" s="237">
        <v>1</v>
      </c>
      <c r="I172" s="65">
        <v>1959</v>
      </c>
      <c r="J172" s="349">
        <v>5</v>
      </c>
      <c r="K172" s="346">
        <f t="shared" si="41"/>
        <v>6</v>
      </c>
      <c r="L172" s="346">
        <v>1</v>
      </c>
      <c r="M172" s="349">
        <v>6</v>
      </c>
      <c r="N172" s="255">
        <f t="shared" si="39"/>
        <v>0</v>
      </c>
      <c r="O172" s="310">
        <v>90</v>
      </c>
      <c r="P172" s="66">
        <v>14</v>
      </c>
      <c r="Q172" s="66"/>
      <c r="R172" s="66">
        <v>30</v>
      </c>
      <c r="S172" s="66">
        <v>30</v>
      </c>
      <c r="T172" s="66">
        <v>30</v>
      </c>
      <c r="U172" s="66">
        <v>0</v>
      </c>
      <c r="V172" s="66">
        <v>0</v>
      </c>
      <c r="W172" s="54">
        <v>0</v>
      </c>
      <c r="X172" s="55">
        <f>SUMIFS(Таблица3[Кол-во квартир],Таблица3[Адрес МКД],$D172)</f>
        <v>76</v>
      </c>
      <c r="Y172" s="56">
        <f t="shared" si="44"/>
        <v>7771.4</v>
      </c>
      <c r="Z172" s="253">
        <f>SUMIFS(Таблица3[Площадь жилая],Таблица3[Адрес МКД],$D172)</f>
        <v>4097.7</v>
      </c>
      <c r="AA172" s="261">
        <f>SUMIFS(Таблица3[Площадь нежилых помещений],Таблица3[Адрес МКД],$D172)</f>
        <v>814.1</v>
      </c>
      <c r="AB172" s="252">
        <f>SUMIFS(Таблица1[1],Таблица1[2],$D172)</f>
        <v>814.10000000000014</v>
      </c>
      <c r="AC172" s="57">
        <f t="shared" si="35"/>
        <v>814.10000000000014</v>
      </c>
      <c r="AD172" s="57">
        <f t="shared" si="36"/>
        <v>0</v>
      </c>
      <c r="AE172" s="58">
        <f>SUMIFS(Таблица1[8],Таблица1[2],$D172)+SUMIFS(Таблица1[18],Таблица1[2],$D172)</f>
        <v>814.10000000000014</v>
      </c>
      <c r="AF172" s="58">
        <f>SUMIFS(Таблица1[9],Таблица1[2],$D172)+SUMIFS(Таблица1[19],Таблица1[2],$D172)</f>
        <v>0</v>
      </c>
      <c r="AG172" s="59">
        <f t="shared" si="37"/>
        <v>2859.6</v>
      </c>
      <c r="AH172" s="59">
        <f t="shared" si="38"/>
        <v>2859.6</v>
      </c>
      <c r="AI172" s="60">
        <f>1017.7-AM172</f>
        <v>1017.7</v>
      </c>
      <c r="AJ172" s="60">
        <f t="shared" si="31"/>
        <v>1017.7</v>
      </c>
      <c r="AK172" s="60">
        <f>SUMIFS(Таблица1[10],Таблица1[2],$D172)</f>
        <v>0</v>
      </c>
      <c r="AL172" s="60">
        <f>SUMIFS(Таблица1[11],Таблица1[2],$D172)</f>
        <v>0</v>
      </c>
      <c r="AM172" s="251">
        <v>0</v>
      </c>
      <c r="AN172" s="249">
        <f t="shared" si="32"/>
        <v>0</v>
      </c>
      <c r="AO172" s="249">
        <f>SUMIFS(Таблица1[12],Таблица1[2],$D172)</f>
        <v>0</v>
      </c>
      <c r="AP172" s="249">
        <f>SUMIFS(Таблица1[13],Таблица1[2],$D172)</f>
        <v>0</v>
      </c>
      <c r="AQ172" s="61">
        <f>588.9</f>
        <v>588.9</v>
      </c>
      <c r="AR172" s="61">
        <f t="shared" si="33"/>
        <v>588.9</v>
      </c>
      <c r="AS172" s="60">
        <f>SUMIFS(Таблица1[14],Таблица1[2],$D172)</f>
        <v>0</v>
      </c>
      <c r="AT172" s="60">
        <f>SUMIFS(Таблица1[15],Таблица1[2],$D172)</f>
        <v>0</v>
      </c>
      <c r="AU172" s="61">
        <v>1253</v>
      </c>
      <c r="AV172" s="61">
        <f t="shared" si="34"/>
        <v>1253</v>
      </c>
      <c r="AW172" s="60">
        <f>SUMIFS(Таблица1[16],Таблица1[2],$D172)</f>
        <v>0</v>
      </c>
      <c r="AX172" s="60">
        <f>SUMIFS(Таблица1[17],Таблица1[2],$D172)</f>
        <v>0</v>
      </c>
      <c r="AY172" s="263"/>
      <c r="AZ172" s="264"/>
      <c r="BA172" s="296">
        <v>0</v>
      </c>
      <c r="BB172" s="296">
        <f t="shared" si="43"/>
        <v>0</v>
      </c>
      <c r="BC172" s="296">
        <v>0</v>
      </c>
      <c r="BD172" s="296">
        <v>0</v>
      </c>
      <c r="BE172" s="285"/>
      <c r="BF172" s="259">
        <v>3221</v>
      </c>
      <c r="BG172" s="260">
        <v>22411</v>
      </c>
      <c r="BH172" s="62" t="s">
        <v>943</v>
      </c>
      <c r="BI172" s="62" t="s">
        <v>935</v>
      </c>
      <c r="BJ172" s="62"/>
      <c r="BK172" s="267"/>
      <c r="BL172" s="267"/>
      <c r="BM172" s="267" t="s">
        <v>1649</v>
      </c>
      <c r="BN172" s="268"/>
      <c r="BO172" s="62">
        <v>17</v>
      </c>
      <c r="BP172" s="63">
        <v>28906</v>
      </c>
      <c r="BQ172" s="64" t="s">
        <v>1131</v>
      </c>
      <c r="BR172" s="372" t="s">
        <v>2747</v>
      </c>
      <c r="BS172" s="62">
        <v>18</v>
      </c>
      <c r="BT172" s="323">
        <v>40</v>
      </c>
      <c r="BU172" s="62">
        <v>328</v>
      </c>
      <c r="BV172" s="323" t="s">
        <v>2077</v>
      </c>
      <c r="BW172" s="62">
        <v>100</v>
      </c>
      <c r="BX172" s="336"/>
      <c r="BY172" s="336"/>
    </row>
    <row r="173" spans="1:77" ht="13.15" hidden="1" customHeight="1" outlineLevel="1" x14ac:dyDescent="0.2">
      <c r="A173" s="50">
        <f t="shared" si="40"/>
        <v>168</v>
      </c>
      <c r="B173" s="51">
        <v>34</v>
      </c>
      <c r="C173" s="51">
        <v>19</v>
      </c>
      <c r="D173" s="18" t="s">
        <v>698</v>
      </c>
      <c r="E173" s="18">
        <v>16</v>
      </c>
      <c r="F173" s="18">
        <v>3</v>
      </c>
      <c r="G173" s="52">
        <v>1</v>
      </c>
      <c r="H173" s="237"/>
      <c r="I173" s="65">
        <v>1965</v>
      </c>
      <c r="J173" s="349">
        <v>5</v>
      </c>
      <c r="K173" s="346">
        <f t="shared" si="41"/>
        <v>6</v>
      </c>
      <c r="L173" s="346">
        <v>1</v>
      </c>
      <c r="M173" s="349">
        <v>2</v>
      </c>
      <c r="N173" s="255">
        <f t="shared" si="39"/>
        <v>0</v>
      </c>
      <c r="O173" s="310">
        <v>40</v>
      </c>
      <c r="P173" s="66">
        <v>0</v>
      </c>
      <c r="Q173" s="66"/>
      <c r="R173" s="66">
        <v>20</v>
      </c>
      <c r="S173" s="66">
        <v>10</v>
      </c>
      <c r="T173" s="66">
        <v>10</v>
      </c>
      <c r="U173" s="66">
        <v>0</v>
      </c>
      <c r="V173" s="66">
        <v>0</v>
      </c>
      <c r="W173" s="54">
        <v>0</v>
      </c>
      <c r="X173" s="55">
        <f>SUMIFS(Таблица3[Кол-во квартир],Таблица3[Адрес МКД],$D173)</f>
        <v>40</v>
      </c>
      <c r="Y173" s="56">
        <f t="shared" si="44"/>
        <v>2368.8000000000002</v>
      </c>
      <c r="Z173" s="253">
        <f>SUMIFS(Таблица3[Площадь жилая],Таблица3[Адрес МКД],$D173)</f>
        <v>1555.9</v>
      </c>
      <c r="AA173" s="261">
        <f>SUMIFS(Таблица3[Площадь нежилых помещений],Таблица3[Адрес МКД],$D173)</f>
        <v>0</v>
      </c>
      <c r="AB173" s="252">
        <f>SUMIFS(Таблица1[1],Таблица1[2],$D173)</f>
        <v>0</v>
      </c>
      <c r="AC173" s="57">
        <f t="shared" si="35"/>
        <v>0</v>
      </c>
      <c r="AD173" s="57">
        <f t="shared" si="36"/>
        <v>0</v>
      </c>
      <c r="AE173" s="58">
        <f>SUMIFS(Таблица1[8],Таблица1[2],$D173)+SUMIFS(Таблица1[18],Таблица1[2],$D173)</f>
        <v>0</v>
      </c>
      <c r="AF173" s="58">
        <f>SUMIFS(Таблица1[9],Таблица1[2],$D173)+SUMIFS(Таблица1[19],Таблица1[2],$D173)</f>
        <v>0</v>
      </c>
      <c r="AG173" s="59">
        <f t="shared" si="37"/>
        <v>812.90000000000009</v>
      </c>
      <c r="AH173" s="59">
        <f t="shared" si="38"/>
        <v>812.90000000000009</v>
      </c>
      <c r="AI173" s="60">
        <f>301.5-AM173</f>
        <v>301.5</v>
      </c>
      <c r="AJ173" s="60">
        <f t="shared" si="31"/>
        <v>301.5</v>
      </c>
      <c r="AK173" s="60">
        <f>SUMIFS(Таблица1[10],Таблица1[2],$D173)</f>
        <v>0</v>
      </c>
      <c r="AL173" s="60">
        <f>SUMIFS(Таблица1[11],Таблица1[2],$D173)</f>
        <v>0</v>
      </c>
      <c r="AM173" s="251">
        <v>0</v>
      </c>
      <c r="AN173" s="249">
        <f t="shared" si="32"/>
        <v>0</v>
      </c>
      <c r="AO173" s="249">
        <f>SUMIFS(Таблица1[12],Таблица1[2],$D173)</f>
        <v>0</v>
      </c>
      <c r="AP173" s="249">
        <f>SUMIFS(Таблица1[13],Таблица1[2],$D173)</f>
        <v>0</v>
      </c>
      <c r="AQ173" s="61">
        <v>122.6</v>
      </c>
      <c r="AR173" s="61">
        <f t="shared" si="33"/>
        <v>122.6</v>
      </c>
      <c r="AS173" s="60">
        <f>SUMIFS(Таблица1[14],Таблица1[2],$D173)</f>
        <v>0</v>
      </c>
      <c r="AT173" s="60">
        <f>SUMIFS(Таблица1[15],Таблица1[2],$D173)</f>
        <v>0</v>
      </c>
      <c r="AU173" s="61">
        <v>388.8</v>
      </c>
      <c r="AV173" s="61">
        <f t="shared" si="34"/>
        <v>388.8</v>
      </c>
      <c r="AW173" s="60">
        <f>SUMIFS(Таблица1[16],Таблица1[2],$D173)</f>
        <v>0</v>
      </c>
      <c r="AX173" s="60">
        <f>SUMIFS(Таблица1[17],Таблица1[2],$D173)</f>
        <v>0</v>
      </c>
      <c r="AY173" s="263"/>
      <c r="AZ173" s="264"/>
      <c r="BA173" s="296">
        <v>0</v>
      </c>
      <c r="BB173" s="296">
        <f t="shared" si="43"/>
        <v>0</v>
      </c>
      <c r="BC173" s="296">
        <v>0</v>
      </c>
      <c r="BD173" s="296">
        <v>0</v>
      </c>
      <c r="BE173" s="285"/>
      <c r="BF173" s="259">
        <v>1068</v>
      </c>
      <c r="BG173" s="260">
        <v>6322</v>
      </c>
      <c r="BH173" s="62" t="s">
        <v>939</v>
      </c>
      <c r="BI173" s="62" t="s">
        <v>935</v>
      </c>
      <c r="BJ173" s="62"/>
      <c r="BK173" s="267"/>
      <c r="BL173" s="267" t="s">
        <v>1649</v>
      </c>
      <c r="BM173" s="267"/>
      <c r="BN173" s="268"/>
      <c r="BO173" s="62">
        <v>17</v>
      </c>
      <c r="BP173" s="63">
        <v>30649</v>
      </c>
      <c r="BQ173" s="64" t="s">
        <v>1131</v>
      </c>
      <c r="BR173" s="372" t="s">
        <v>2747</v>
      </c>
      <c r="BS173" s="62">
        <v>46</v>
      </c>
      <c r="BT173" s="323">
        <v>50.32</v>
      </c>
      <c r="BU173" s="62">
        <v>146</v>
      </c>
      <c r="BV173" s="323" t="s">
        <v>2073</v>
      </c>
      <c r="BW173" s="62">
        <v>50</v>
      </c>
      <c r="BX173" s="336"/>
      <c r="BY173" s="336"/>
    </row>
    <row r="174" spans="1:77" ht="13.15" hidden="1" customHeight="1" outlineLevel="1" x14ac:dyDescent="0.2">
      <c r="A174" s="50">
        <f t="shared" si="40"/>
        <v>169</v>
      </c>
      <c r="B174" s="51">
        <v>39</v>
      </c>
      <c r="C174" s="51">
        <v>47</v>
      </c>
      <c r="D174" s="18" t="s">
        <v>464</v>
      </c>
      <c r="E174" s="18">
        <v>10</v>
      </c>
      <c r="F174" s="18">
        <v>2</v>
      </c>
      <c r="G174" s="52">
        <v>1</v>
      </c>
      <c r="H174" s="237">
        <v>1</v>
      </c>
      <c r="I174" s="65">
        <v>1954</v>
      </c>
      <c r="J174" s="349">
        <v>5</v>
      </c>
      <c r="K174" s="346">
        <f t="shared" si="41"/>
        <v>6</v>
      </c>
      <c r="L174" s="346">
        <v>1</v>
      </c>
      <c r="M174" s="349">
        <v>4</v>
      </c>
      <c r="N174" s="255">
        <f t="shared" si="39"/>
        <v>1</v>
      </c>
      <c r="O174" s="310">
        <v>60</v>
      </c>
      <c r="P174" s="66">
        <v>12</v>
      </c>
      <c r="Q174" s="66"/>
      <c r="R174" s="66">
        <v>7</v>
      </c>
      <c r="S174" s="66">
        <v>4</v>
      </c>
      <c r="T174" s="66">
        <v>37</v>
      </c>
      <c r="U174" s="66">
        <v>8</v>
      </c>
      <c r="V174" s="66">
        <v>4</v>
      </c>
      <c r="W174" s="54">
        <v>0</v>
      </c>
      <c r="X174" s="55">
        <f>SUMIFS(Таблица3[Кол-во квартир],Таблица3[Адрес МКД],$D174)</f>
        <v>47</v>
      </c>
      <c r="Y174" s="56">
        <f t="shared" si="44"/>
        <v>6995.3</v>
      </c>
      <c r="Z174" s="253">
        <f>SUMIFS(Таблица3[Площадь жилая],Таблица3[Адрес МКД],$D174)</f>
        <v>3851.5</v>
      </c>
      <c r="AA174" s="261">
        <f>SUMIFS(Таблица3[Площадь нежилых помещений],Таблица3[Адрес МКД],$D174)</f>
        <v>1341.7</v>
      </c>
      <c r="AB174" s="252">
        <f>SUMIFS(Таблица1[1],Таблица1[2],$D174)</f>
        <v>1248.4000000000001</v>
      </c>
      <c r="AC174" s="57">
        <f t="shared" si="35"/>
        <v>1205.8000000000002</v>
      </c>
      <c r="AD174" s="57">
        <f t="shared" si="36"/>
        <v>42.6</v>
      </c>
      <c r="AE174" s="58">
        <f>SUMIFS(Таблица1[8],Таблица1[2],$D174)+SUMIFS(Таблица1[18],Таблица1[2],$D174)</f>
        <v>905.80000000000007</v>
      </c>
      <c r="AF174" s="58">
        <f>SUMIFS(Таблица1[9],Таблица1[2],$D174)+SUMIFS(Таблица1[19],Таблица1[2],$D174)</f>
        <v>0</v>
      </c>
      <c r="AG174" s="59">
        <f t="shared" si="37"/>
        <v>1886.1000000000001</v>
      </c>
      <c r="AH174" s="59">
        <f t="shared" si="38"/>
        <v>1928.7000000000003</v>
      </c>
      <c r="AI174" s="60">
        <f>512-AM174</f>
        <v>202.7</v>
      </c>
      <c r="AJ174" s="60">
        <f t="shared" si="31"/>
        <v>202.7</v>
      </c>
      <c r="AK174" s="60">
        <f>SUMIFS(Таблица1[10],Таблица1[2],$D174)</f>
        <v>0</v>
      </c>
      <c r="AL174" s="60">
        <f>SUMIFS(Таблица1[11],Таблица1[2],$D174)</f>
        <v>0</v>
      </c>
      <c r="AM174" s="251">
        <f>435.9-107.7-18.9</f>
        <v>309.3</v>
      </c>
      <c r="AN174" s="249">
        <f t="shared" si="32"/>
        <v>9.3000000000000114</v>
      </c>
      <c r="AO174" s="249">
        <f>SUMIFS(Таблица1[12],Таблица1[2],$D174)</f>
        <v>300</v>
      </c>
      <c r="AP174" s="249">
        <f>SUMIFS(Таблица1[13],Таблица1[2],$D174)</f>
        <v>0</v>
      </c>
      <c r="AQ174" s="61">
        <f>475.6</f>
        <v>475.6</v>
      </c>
      <c r="AR174" s="61">
        <f t="shared" si="33"/>
        <v>433</v>
      </c>
      <c r="AS174" s="60">
        <f>SUMIFS(Таблица1[14],Таблица1[2],$D174)</f>
        <v>0</v>
      </c>
      <c r="AT174" s="60">
        <f>SUMIFS(Таблица1[15],Таблица1[2],$D174)</f>
        <v>42.6</v>
      </c>
      <c r="AU174" s="61">
        <v>1250.4000000000001</v>
      </c>
      <c r="AV174" s="61">
        <f t="shared" si="34"/>
        <v>1250.4000000000001</v>
      </c>
      <c r="AW174" s="60">
        <f>SUMIFS(Таблица1[16],Таблица1[2],$D174)</f>
        <v>0</v>
      </c>
      <c r="AX174" s="60">
        <f>SUMIFS(Таблица1[17],Таблица1[2],$D174)</f>
        <v>0</v>
      </c>
      <c r="AY174" s="263"/>
      <c r="AZ174" s="264"/>
      <c r="BA174" s="296">
        <v>0</v>
      </c>
      <c r="BB174" s="296">
        <f t="shared" si="43"/>
        <v>0</v>
      </c>
      <c r="BC174" s="296">
        <v>0</v>
      </c>
      <c r="BD174" s="296">
        <v>0</v>
      </c>
      <c r="BE174" s="285"/>
      <c r="BF174" s="259">
        <v>4394</v>
      </c>
      <c r="BG174" s="260">
        <f>4285+8570+7970</f>
        <v>20825</v>
      </c>
      <c r="BH174" s="62" t="s">
        <v>936</v>
      </c>
      <c r="BI174" s="62" t="s">
        <v>935</v>
      </c>
      <c r="BJ174" s="62"/>
      <c r="BK174" s="267"/>
      <c r="BL174" s="267"/>
      <c r="BM174" s="267" t="s">
        <v>1649</v>
      </c>
      <c r="BN174" s="268"/>
      <c r="BO174" s="62">
        <v>44</v>
      </c>
      <c r="BP174" s="63">
        <v>41218</v>
      </c>
      <c r="BQ174" s="64" t="s">
        <v>1131</v>
      </c>
      <c r="BR174" s="372" t="s">
        <v>2747</v>
      </c>
      <c r="BS174" s="62"/>
      <c r="BT174" s="323"/>
      <c r="BU174" s="62"/>
      <c r="BV174" s="323"/>
      <c r="BW174" s="62"/>
      <c r="BX174" s="336"/>
      <c r="BY174" s="336"/>
    </row>
    <row r="175" spans="1:77" ht="13.15" hidden="1" customHeight="1" outlineLevel="1" x14ac:dyDescent="0.2">
      <c r="A175" s="50">
        <f t="shared" si="40"/>
        <v>170</v>
      </c>
      <c r="B175" s="51">
        <v>40</v>
      </c>
      <c r="C175" s="51">
        <v>48</v>
      </c>
      <c r="D175" s="18" t="s">
        <v>465</v>
      </c>
      <c r="E175" s="18">
        <v>10</v>
      </c>
      <c r="F175" s="18">
        <v>2</v>
      </c>
      <c r="G175" s="52">
        <v>1</v>
      </c>
      <c r="H175" s="237">
        <v>1</v>
      </c>
      <c r="I175" s="65">
        <v>1954</v>
      </c>
      <c r="J175" s="349">
        <v>4</v>
      </c>
      <c r="K175" s="346">
        <f t="shared" si="41"/>
        <v>5</v>
      </c>
      <c r="L175" s="346">
        <v>1</v>
      </c>
      <c r="M175" s="349">
        <v>2</v>
      </c>
      <c r="N175" s="255">
        <f t="shared" si="39"/>
        <v>0</v>
      </c>
      <c r="O175" s="310">
        <v>24</v>
      </c>
      <c r="P175" s="66">
        <v>0</v>
      </c>
      <c r="Q175" s="66"/>
      <c r="R175" s="66">
        <v>0</v>
      </c>
      <c r="S175" s="66">
        <v>18</v>
      </c>
      <c r="T175" s="66">
        <v>6</v>
      </c>
      <c r="U175" s="66">
        <v>0</v>
      </c>
      <c r="V175" s="66">
        <v>0</v>
      </c>
      <c r="W175" s="54">
        <v>0</v>
      </c>
      <c r="X175" s="55">
        <f>SUMIFS(Таблица3[Кол-во квартир],Таблица3[Адрес МКД],$D175)</f>
        <v>24</v>
      </c>
      <c r="Y175" s="56">
        <f t="shared" si="44"/>
        <v>3056.8999999999996</v>
      </c>
      <c r="Z175" s="253">
        <f>SUMIFS(Таблица3[Площадь жилая],Таблица3[Адрес МКД],$D175)</f>
        <v>1433.7</v>
      </c>
      <c r="AA175" s="261">
        <f>SUMIFS(Таблица3[Площадь нежилых помещений],Таблица3[Адрес МКД],$D175)</f>
        <v>690.5</v>
      </c>
      <c r="AB175" s="252">
        <f>SUMIFS(Таблица1[1],Таблица1[2],$D175)</f>
        <v>653.5</v>
      </c>
      <c r="AC175" s="57">
        <f t="shared" si="35"/>
        <v>653.5</v>
      </c>
      <c r="AD175" s="57">
        <f t="shared" si="36"/>
        <v>0</v>
      </c>
      <c r="AE175" s="58">
        <f>SUMIFS(Таблица1[8],Таблица1[2],$D175)+SUMIFS(Таблица1[18],Таблица1[2],$D175)</f>
        <v>495.5</v>
      </c>
      <c r="AF175" s="58">
        <f>SUMIFS(Таблица1[9],Таблица1[2],$D175)+SUMIFS(Таблица1[19],Таблица1[2],$D175)</f>
        <v>0</v>
      </c>
      <c r="AG175" s="59">
        <f t="shared" si="37"/>
        <v>967.69999999999993</v>
      </c>
      <c r="AH175" s="59">
        <f t="shared" si="38"/>
        <v>967.69999999999993</v>
      </c>
      <c r="AI175" s="60">
        <f>346.9-AM175</f>
        <v>186.89999999999998</v>
      </c>
      <c r="AJ175" s="60">
        <f t="shared" si="31"/>
        <v>186.89999999999998</v>
      </c>
      <c r="AK175" s="60">
        <f>SUMIFS(Таблица1[10],Таблица1[2],$D175)</f>
        <v>0</v>
      </c>
      <c r="AL175" s="60">
        <f>SUMIFS(Таблица1[11],Таблица1[2],$D175)</f>
        <v>0</v>
      </c>
      <c r="AM175" s="251">
        <f>195-35</f>
        <v>160</v>
      </c>
      <c r="AN175" s="249">
        <f t="shared" si="32"/>
        <v>2</v>
      </c>
      <c r="AO175" s="249">
        <f>SUMIFS(Таблица1[12],Таблица1[2],$D175)</f>
        <v>158</v>
      </c>
      <c r="AP175" s="249">
        <f>SUMIFS(Таблица1[13],Таблица1[2],$D175)</f>
        <v>0</v>
      </c>
      <c r="AQ175" s="61">
        <v>204</v>
      </c>
      <c r="AR175" s="61">
        <f t="shared" si="33"/>
        <v>204</v>
      </c>
      <c r="AS175" s="60">
        <f>SUMIFS(Таблица1[14],Таблица1[2],$D175)</f>
        <v>0</v>
      </c>
      <c r="AT175" s="60">
        <f>SUMIFS(Таблица1[15],Таблица1[2],$D175)</f>
        <v>0</v>
      </c>
      <c r="AU175" s="61">
        <v>576.79999999999995</v>
      </c>
      <c r="AV175" s="61">
        <f t="shared" si="34"/>
        <v>576.79999999999995</v>
      </c>
      <c r="AW175" s="60">
        <f>SUMIFS(Таблица1[16],Таблица1[2],$D175)</f>
        <v>0</v>
      </c>
      <c r="AX175" s="60">
        <f>SUMIFS(Таблица1[17],Таблица1[2],$D175)</f>
        <v>0</v>
      </c>
      <c r="AY175" s="263"/>
      <c r="AZ175" s="264"/>
      <c r="BA175" s="296">
        <v>0</v>
      </c>
      <c r="BB175" s="296">
        <f t="shared" si="43"/>
        <v>0</v>
      </c>
      <c r="BC175" s="296">
        <v>0</v>
      </c>
      <c r="BD175" s="296">
        <v>0</v>
      </c>
      <c r="BE175" s="285"/>
      <c r="BF175" s="259">
        <v>1830</v>
      </c>
      <c r="BG175" s="260">
        <v>8783</v>
      </c>
      <c r="BH175" s="62" t="s">
        <v>936</v>
      </c>
      <c r="BI175" s="62" t="s">
        <v>935</v>
      </c>
      <c r="BJ175" s="62"/>
      <c r="BK175" s="267"/>
      <c r="BL175" s="267"/>
      <c r="BM175" s="267" t="s">
        <v>1649</v>
      </c>
      <c r="BN175" s="268"/>
      <c r="BO175" s="62">
        <v>27</v>
      </c>
      <c r="BP175" s="63">
        <v>28776</v>
      </c>
      <c r="BQ175" s="64" t="s">
        <v>1131</v>
      </c>
      <c r="BR175" s="372" t="s">
        <v>2747</v>
      </c>
      <c r="BS175" s="62"/>
      <c r="BT175" s="323"/>
      <c r="BU175" s="62"/>
      <c r="BV175" s="323"/>
      <c r="BW175" s="62"/>
      <c r="BX175" s="336"/>
      <c r="BY175" s="336"/>
    </row>
    <row r="176" spans="1:77" ht="13.15" hidden="1" customHeight="1" outlineLevel="1" x14ac:dyDescent="0.2">
      <c r="A176" s="50">
        <f t="shared" si="40"/>
        <v>171</v>
      </c>
      <c r="B176" s="51">
        <v>35</v>
      </c>
      <c r="C176" s="51">
        <v>20</v>
      </c>
      <c r="D176" s="18" t="s">
        <v>699</v>
      </c>
      <c r="E176" s="18">
        <v>16</v>
      </c>
      <c r="F176" s="18">
        <v>3</v>
      </c>
      <c r="G176" s="52">
        <v>1</v>
      </c>
      <c r="H176" s="237">
        <v>1</v>
      </c>
      <c r="I176" s="65">
        <v>1965</v>
      </c>
      <c r="J176" s="349">
        <v>5</v>
      </c>
      <c r="K176" s="346">
        <f t="shared" si="41"/>
        <v>6</v>
      </c>
      <c r="L176" s="346">
        <v>1</v>
      </c>
      <c r="M176" s="349">
        <v>2</v>
      </c>
      <c r="N176" s="255">
        <f t="shared" si="39"/>
        <v>0</v>
      </c>
      <c r="O176" s="310">
        <v>40</v>
      </c>
      <c r="P176" s="66">
        <v>0</v>
      </c>
      <c r="Q176" s="66"/>
      <c r="R176" s="66">
        <v>20</v>
      </c>
      <c r="S176" s="66">
        <v>10</v>
      </c>
      <c r="T176" s="66">
        <v>10</v>
      </c>
      <c r="U176" s="66">
        <v>0</v>
      </c>
      <c r="V176" s="66">
        <v>0</v>
      </c>
      <c r="W176" s="54">
        <v>0</v>
      </c>
      <c r="X176" s="55">
        <f>SUMIFS(Таблица3[Кол-во квартир],Таблица3[Адрес МКД],$D176)</f>
        <v>40</v>
      </c>
      <c r="Y176" s="56">
        <f t="shared" si="44"/>
        <v>2394</v>
      </c>
      <c r="Z176" s="253">
        <f>SUMIFS(Таблица3[Площадь жилая],Таблица3[Адрес МКД],$D176)</f>
        <v>1569</v>
      </c>
      <c r="AA176" s="261">
        <f>SUMIFS(Таблица3[Площадь нежилых помещений],Таблица3[Адрес МКД],$D176)</f>
        <v>0</v>
      </c>
      <c r="AB176" s="252">
        <f>SUMIFS(Таблица1[1],Таблица1[2],$D176)</f>
        <v>0</v>
      </c>
      <c r="AC176" s="57">
        <f t="shared" si="35"/>
        <v>0</v>
      </c>
      <c r="AD176" s="57">
        <f t="shared" si="36"/>
        <v>0</v>
      </c>
      <c r="AE176" s="58">
        <f>SUMIFS(Таблица1[8],Таблица1[2],$D176)+SUMIFS(Таблица1[18],Таблица1[2],$D176)</f>
        <v>0</v>
      </c>
      <c r="AF176" s="58">
        <f>SUMIFS(Таблица1[9],Таблица1[2],$D176)+SUMIFS(Таблица1[19],Таблица1[2],$D176)</f>
        <v>0</v>
      </c>
      <c r="AG176" s="59">
        <f t="shared" si="37"/>
        <v>825</v>
      </c>
      <c r="AH176" s="59">
        <f t="shared" si="38"/>
        <v>825</v>
      </c>
      <c r="AI176" s="60">
        <f>305.1-AM176</f>
        <v>305.10000000000002</v>
      </c>
      <c r="AJ176" s="60">
        <f t="shared" si="31"/>
        <v>305.10000000000002</v>
      </c>
      <c r="AK176" s="60">
        <f>SUMIFS(Таблица1[10],Таблица1[2],$D176)</f>
        <v>0</v>
      </c>
      <c r="AL176" s="60">
        <f>SUMIFS(Таблица1[11],Таблица1[2],$D176)</f>
        <v>0</v>
      </c>
      <c r="AM176" s="251">
        <v>0</v>
      </c>
      <c r="AN176" s="249">
        <f t="shared" si="32"/>
        <v>0</v>
      </c>
      <c r="AO176" s="249">
        <f>SUMIFS(Таблица1[12],Таблица1[2],$D176)</f>
        <v>0</v>
      </c>
      <c r="AP176" s="249">
        <f>SUMIFS(Таблица1[13],Таблица1[2],$D176)</f>
        <v>0</v>
      </c>
      <c r="AQ176" s="61">
        <v>140.69999999999999</v>
      </c>
      <c r="AR176" s="61">
        <f t="shared" si="33"/>
        <v>140.69999999999999</v>
      </c>
      <c r="AS176" s="60">
        <f>SUMIFS(Таблица1[14],Таблица1[2],$D176)</f>
        <v>0</v>
      </c>
      <c r="AT176" s="60">
        <f>SUMIFS(Таблица1[15],Таблица1[2],$D176)</f>
        <v>0</v>
      </c>
      <c r="AU176" s="61">
        <v>379.2</v>
      </c>
      <c r="AV176" s="61">
        <f t="shared" si="34"/>
        <v>379.2</v>
      </c>
      <c r="AW176" s="60">
        <f>SUMIFS(Таблица1[16],Таблица1[2],$D176)</f>
        <v>0</v>
      </c>
      <c r="AX176" s="60">
        <f>SUMIFS(Таблица1[17],Таблица1[2],$D176)</f>
        <v>0</v>
      </c>
      <c r="AY176" s="263"/>
      <c r="AZ176" s="264"/>
      <c r="BA176" s="296">
        <v>0</v>
      </c>
      <c r="BB176" s="296">
        <f t="shared" si="43"/>
        <v>0</v>
      </c>
      <c r="BC176" s="296">
        <v>0</v>
      </c>
      <c r="BD176" s="296">
        <v>0</v>
      </c>
      <c r="BE176" s="285"/>
      <c r="BF176" s="259">
        <v>1140</v>
      </c>
      <c r="BG176" s="260">
        <v>6451</v>
      </c>
      <c r="BH176" s="62" t="s">
        <v>939</v>
      </c>
      <c r="BI176" s="62" t="s">
        <v>935</v>
      </c>
      <c r="BJ176" s="62"/>
      <c r="BK176" s="267"/>
      <c r="BL176" s="267" t="s">
        <v>1649</v>
      </c>
      <c r="BM176" s="267"/>
      <c r="BN176" s="268"/>
      <c r="BO176" s="62">
        <v>10</v>
      </c>
      <c r="BP176" s="63">
        <v>28807</v>
      </c>
      <c r="BQ176" s="64" t="s">
        <v>1131</v>
      </c>
      <c r="BR176" s="372" t="s">
        <v>2747</v>
      </c>
      <c r="BS176" s="62">
        <v>8</v>
      </c>
      <c r="BT176" s="323">
        <v>50</v>
      </c>
      <c r="BU176" s="62">
        <v>150</v>
      </c>
      <c r="BV176" s="323" t="s">
        <v>2086</v>
      </c>
      <c r="BW176" s="62">
        <v>50</v>
      </c>
      <c r="BX176" s="336"/>
      <c r="BY176" s="336"/>
    </row>
    <row r="177" spans="1:77" ht="13.15" hidden="1" customHeight="1" outlineLevel="1" x14ac:dyDescent="0.2">
      <c r="A177" s="50">
        <f t="shared" si="40"/>
        <v>172</v>
      </c>
      <c r="B177" s="51">
        <v>41</v>
      </c>
      <c r="C177" s="51">
        <v>49</v>
      </c>
      <c r="D177" s="18" t="s">
        <v>466</v>
      </c>
      <c r="E177" s="18">
        <v>10</v>
      </c>
      <c r="F177" s="18">
        <v>2</v>
      </c>
      <c r="G177" s="52">
        <v>1</v>
      </c>
      <c r="H177" s="237">
        <v>1</v>
      </c>
      <c r="I177" s="65">
        <v>1955</v>
      </c>
      <c r="J177" s="349">
        <v>5</v>
      </c>
      <c r="K177" s="346">
        <f t="shared" si="41"/>
        <v>6</v>
      </c>
      <c r="L177" s="346">
        <v>1</v>
      </c>
      <c r="M177" s="349">
        <v>2</v>
      </c>
      <c r="N177" s="255">
        <f t="shared" si="39"/>
        <v>0</v>
      </c>
      <c r="O177" s="310">
        <v>28</v>
      </c>
      <c r="P177" s="66">
        <v>2</v>
      </c>
      <c r="Q177" s="66"/>
      <c r="R177" s="66">
        <v>6</v>
      </c>
      <c r="S177" s="66">
        <v>3</v>
      </c>
      <c r="T177" s="66">
        <v>15</v>
      </c>
      <c r="U177" s="66">
        <v>2</v>
      </c>
      <c r="V177" s="66">
        <v>1</v>
      </c>
      <c r="W177" s="54">
        <v>1</v>
      </c>
      <c r="X177" s="55">
        <f>SUMIFS(Таблица3[Кол-во квартир],Таблица3[Адрес МКД],$D177)</f>
        <v>26</v>
      </c>
      <c r="Y177" s="56">
        <f t="shared" si="44"/>
        <v>3454.5</v>
      </c>
      <c r="Z177" s="253">
        <f>SUMIFS(Таблица3[Площадь жилая],Таблица3[Адрес МКД],$D177)</f>
        <v>1903.1</v>
      </c>
      <c r="AA177" s="261">
        <f>SUMIFS(Таблица3[Площадь нежилых помещений],Таблица3[Адрес МКД],$D177)</f>
        <v>581.9</v>
      </c>
      <c r="AB177" s="252">
        <f>SUMIFS(Таблица1[1],Таблица1[2],$D177)</f>
        <v>626.4</v>
      </c>
      <c r="AC177" s="57">
        <f t="shared" si="35"/>
        <v>626.4</v>
      </c>
      <c r="AD177" s="57">
        <f t="shared" si="36"/>
        <v>0</v>
      </c>
      <c r="AE177" s="58">
        <f>SUMIFS(Таблица1[8],Таблица1[2],$D177)+SUMIFS(Таблица1[18],Таблица1[2],$D177)</f>
        <v>167.2</v>
      </c>
      <c r="AF177" s="58">
        <f>SUMIFS(Таблица1[9],Таблица1[2],$D177)+SUMIFS(Таблица1[19],Таблица1[2],$D177)</f>
        <v>0</v>
      </c>
      <c r="AG177" s="59">
        <f t="shared" si="37"/>
        <v>925</v>
      </c>
      <c r="AH177" s="59">
        <f t="shared" si="38"/>
        <v>925</v>
      </c>
      <c r="AI177" s="60">
        <f>498.3-AM177</f>
        <v>498.3</v>
      </c>
      <c r="AJ177" s="60">
        <f t="shared" si="31"/>
        <v>76.100000000000023</v>
      </c>
      <c r="AK177" s="60">
        <f>SUMIFS(Таблица1[10],Таблица1[2],$D177)</f>
        <v>422.2</v>
      </c>
      <c r="AL177" s="60">
        <f>SUMIFS(Таблица1[11],Таблица1[2],$D177)</f>
        <v>0</v>
      </c>
      <c r="AM177" s="251">
        <v>0</v>
      </c>
      <c r="AN177" s="249">
        <f t="shared" si="32"/>
        <v>0</v>
      </c>
      <c r="AO177" s="249">
        <f>SUMIFS(Таблица1[12],Таблица1[2],$D177)</f>
        <v>0</v>
      </c>
      <c r="AP177" s="249">
        <f>SUMIFS(Таблица1[13],Таблица1[2],$D177)</f>
        <v>0</v>
      </c>
      <c r="AQ177" s="61">
        <v>263.89999999999998</v>
      </c>
      <c r="AR177" s="61">
        <f t="shared" si="33"/>
        <v>226.89999999999998</v>
      </c>
      <c r="AS177" s="60">
        <f>SUMIFS(Таблица1[14],Таблица1[2],$D177)</f>
        <v>37</v>
      </c>
      <c r="AT177" s="60">
        <f>SUMIFS(Таблица1[15],Таблица1[2],$D177)</f>
        <v>0</v>
      </c>
      <c r="AU177" s="61">
        <v>622</v>
      </c>
      <c r="AV177" s="61">
        <f t="shared" si="34"/>
        <v>622</v>
      </c>
      <c r="AW177" s="60">
        <f>SUMIFS(Таблица1[16],Таблица1[2],$D177)</f>
        <v>0</v>
      </c>
      <c r="AX177" s="60">
        <f>SUMIFS(Таблица1[17],Таблица1[2],$D177)</f>
        <v>0</v>
      </c>
      <c r="AY177" s="263">
        <f>Нежилые!G1049</f>
        <v>44.5</v>
      </c>
      <c r="AZ177" s="264"/>
      <c r="BA177" s="296">
        <v>0</v>
      </c>
      <c r="BB177" s="296">
        <f t="shared" si="43"/>
        <v>0</v>
      </c>
      <c r="BC177" s="296">
        <v>0</v>
      </c>
      <c r="BD177" s="296">
        <v>0</v>
      </c>
      <c r="BE177" s="285"/>
      <c r="BF177" s="259">
        <v>601</v>
      </c>
      <c r="BG177" s="260">
        <f>1827+4552+4506</f>
        <v>10885</v>
      </c>
      <c r="BH177" s="62" t="s">
        <v>936</v>
      </c>
      <c r="BI177" s="62" t="s">
        <v>935</v>
      </c>
      <c r="BJ177" s="62"/>
      <c r="BK177" s="267"/>
      <c r="BL177" s="267"/>
      <c r="BM177" s="267" t="s">
        <v>1649</v>
      </c>
      <c r="BN177" s="268"/>
      <c r="BO177" s="62">
        <v>27</v>
      </c>
      <c r="BP177" s="63">
        <v>28816</v>
      </c>
      <c r="BQ177" s="64" t="s">
        <v>1131</v>
      </c>
      <c r="BR177" s="372" t="s">
        <v>2747</v>
      </c>
      <c r="BS177" s="62"/>
      <c r="BT177" s="323"/>
      <c r="BU177" s="62"/>
      <c r="BV177" s="323"/>
      <c r="BW177" s="62"/>
      <c r="BX177" s="340"/>
      <c r="BY177" s="336"/>
    </row>
    <row r="178" spans="1:77" ht="13.15" hidden="1" customHeight="1" outlineLevel="1" x14ac:dyDescent="0.2">
      <c r="A178" s="50">
        <f t="shared" si="40"/>
        <v>173</v>
      </c>
      <c r="B178" s="51">
        <v>36</v>
      </c>
      <c r="C178" s="51">
        <v>21</v>
      </c>
      <c r="D178" s="18" t="s">
        <v>700</v>
      </c>
      <c r="E178" s="18">
        <v>16</v>
      </c>
      <c r="F178" s="18">
        <v>3</v>
      </c>
      <c r="G178" s="52">
        <v>1</v>
      </c>
      <c r="H178" s="237">
        <v>1</v>
      </c>
      <c r="I178" s="65">
        <v>1959</v>
      </c>
      <c r="J178" s="349">
        <v>5</v>
      </c>
      <c r="K178" s="346">
        <f t="shared" si="41"/>
        <v>6</v>
      </c>
      <c r="L178" s="346">
        <v>1</v>
      </c>
      <c r="M178" s="349">
        <v>4</v>
      </c>
      <c r="N178" s="255">
        <f t="shared" si="39"/>
        <v>0</v>
      </c>
      <c r="O178" s="310">
        <v>60</v>
      </c>
      <c r="P178" s="66">
        <v>8</v>
      </c>
      <c r="Q178" s="66"/>
      <c r="R178" s="66">
        <v>20</v>
      </c>
      <c r="S178" s="66">
        <v>20</v>
      </c>
      <c r="T178" s="66">
        <v>20</v>
      </c>
      <c r="U178" s="66">
        <v>0</v>
      </c>
      <c r="V178" s="66">
        <v>0</v>
      </c>
      <c r="W178" s="54">
        <v>0</v>
      </c>
      <c r="X178" s="55">
        <f>SUMIFS(Таблица3[Кол-во квартир],Таблица3[Адрес МКД],$D178)</f>
        <v>52</v>
      </c>
      <c r="Y178" s="56">
        <f t="shared" si="44"/>
        <v>5125.5</v>
      </c>
      <c r="Z178" s="253">
        <f>SUMIFS(Таблица3[Площадь жилая],Таблица3[Адрес МКД],$D178)</f>
        <v>2799.7</v>
      </c>
      <c r="AA178" s="261">
        <f>SUMIFS(Таблица3[Площадь нежилых помещений],Таблица3[Адрес МКД],$D178)</f>
        <v>492</v>
      </c>
      <c r="AB178" s="252">
        <f>SUMIFS(Таблица1[1],Таблица1[2],$D178)</f>
        <v>605.70000000000005</v>
      </c>
      <c r="AC178" s="57">
        <f t="shared" si="35"/>
        <v>492</v>
      </c>
      <c r="AD178" s="57">
        <f t="shared" si="36"/>
        <v>113.69999999999999</v>
      </c>
      <c r="AE178" s="58">
        <f>SUMIFS(Таблица1[8],Таблица1[2],$D178)+SUMIFS(Таблица1[18],Таблица1[2],$D178)</f>
        <v>492</v>
      </c>
      <c r="AF178" s="58">
        <f>SUMIFS(Таблица1[9],Таблица1[2],$D178)+SUMIFS(Таблица1[19],Таблица1[2],$D178)</f>
        <v>0</v>
      </c>
      <c r="AG178" s="59">
        <f t="shared" si="37"/>
        <v>1720.1</v>
      </c>
      <c r="AH178" s="59">
        <f t="shared" si="38"/>
        <v>1833.8</v>
      </c>
      <c r="AI178" s="60">
        <f>662.5-AM178</f>
        <v>662.5</v>
      </c>
      <c r="AJ178" s="60">
        <f t="shared" si="31"/>
        <v>548.79999999999995</v>
      </c>
      <c r="AK178" s="60">
        <f>SUMIFS(Таблица1[10],Таблица1[2],$D178)</f>
        <v>0</v>
      </c>
      <c r="AL178" s="60">
        <f>SUMIFS(Таблица1[11],Таблица1[2],$D178)</f>
        <v>113.69999999999999</v>
      </c>
      <c r="AM178" s="251">
        <v>0</v>
      </c>
      <c r="AN178" s="249">
        <f t="shared" si="32"/>
        <v>0</v>
      </c>
      <c r="AO178" s="249">
        <f>SUMIFS(Таблица1[12],Таблица1[2],$D178)</f>
        <v>0</v>
      </c>
      <c r="AP178" s="249">
        <f>SUMIFS(Таблица1[13],Таблица1[2],$D178)</f>
        <v>0</v>
      </c>
      <c r="AQ178" s="61">
        <v>350.5</v>
      </c>
      <c r="AR178" s="61">
        <f t="shared" si="33"/>
        <v>350.5</v>
      </c>
      <c r="AS178" s="60">
        <f>SUMIFS(Таблица1[14],Таблица1[2],$D178)</f>
        <v>0</v>
      </c>
      <c r="AT178" s="60">
        <f>SUMIFS(Таблица1[15],Таблица1[2],$D178)</f>
        <v>0</v>
      </c>
      <c r="AU178" s="61">
        <v>820.8</v>
      </c>
      <c r="AV178" s="61">
        <f t="shared" si="34"/>
        <v>820.8</v>
      </c>
      <c r="AW178" s="60">
        <f>SUMIFS(Таблица1[16],Таблица1[2],$D178)</f>
        <v>0</v>
      </c>
      <c r="AX178" s="60">
        <f>SUMIFS(Таблица1[17],Таблица1[2],$D178)</f>
        <v>0</v>
      </c>
      <c r="AY178" s="263"/>
      <c r="AZ178" s="264"/>
      <c r="BA178" s="296">
        <v>0</v>
      </c>
      <c r="BB178" s="296">
        <f t="shared" si="43"/>
        <v>0</v>
      </c>
      <c r="BC178" s="296">
        <v>0</v>
      </c>
      <c r="BD178" s="296">
        <v>0</v>
      </c>
      <c r="BE178" s="285"/>
      <c r="BF178" s="259">
        <f>2146+27</f>
        <v>2173</v>
      </c>
      <c r="BG178" s="260">
        <v>15142</v>
      </c>
      <c r="BH178" s="62" t="s">
        <v>943</v>
      </c>
      <c r="BI178" s="62" t="s">
        <v>935</v>
      </c>
      <c r="BJ178" s="62"/>
      <c r="BK178" s="267"/>
      <c r="BL178" s="267"/>
      <c r="BM178" s="267" t="s">
        <v>1649</v>
      </c>
      <c r="BN178" s="268"/>
      <c r="BO178" s="62">
        <v>17</v>
      </c>
      <c r="BP178" s="63">
        <v>28807</v>
      </c>
      <c r="BQ178" s="64" t="s">
        <v>1131</v>
      </c>
      <c r="BR178" s="372" t="s">
        <v>2747</v>
      </c>
      <c r="BS178" s="62">
        <v>12</v>
      </c>
      <c r="BT178" s="323">
        <v>40.32</v>
      </c>
      <c r="BU178" s="62">
        <v>234</v>
      </c>
      <c r="BV178" s="323">
        <v>32.15</v>
      </c>
      <c r="BW178" s="62">
        <v>65</v>
      </c>
      <c r="BX178" s="336">
        <v>35</v>
      </c>
      <c r="BY178" s="336"/>
    </row>
    <row r="179" spans="1:77" ht="13.15" hidden="1" customHeight="1" outlineLevel="1" x14ac:dyDescent="0.2">
      <c r="A179" s="50">
        <f t="shared" si="40"/>
        <v>174</v>
      </c>
      <c r="B179" s="51">
        <v>37</v>
      </c>
      <c r="C179" s="51">
        <v>22</v>
      </c>
      <c r="D179" s="18" t="s">
        <v>701</v>
      </c>
      <c r="E179" s="18">
        <v>16</v>
      </c>
      <c r="F179" s="18">
        <v>3</v>
      </c>
      <c r="G179" s="52">
        <v>1</v>
      </c>
      <c r="H179" s="237">
        <v>1</v>
      </c>
      <c r="I179" s="65">
        <v>1959</v>
      </c>
      <c r="J179" s="349">
        <v>5</v>
      </c>
      <c r="K179" s="346">
        <f t="shared" si="41"/>
        <v>6</v>
      </c>
      <c r="L179" s="346">
        <v>1</v>
      </c>
      <c r="M179" s="349">
        <v>5</v>
      </c>
      <c r="N179" s="255">
        <f t="shared" si="39"/>
        <v>0</v>
      </c>
      <c r="O179" s="310">
        <v>100</v>
      </c>
      <c r="P179" s="66">
        <v>0</v>
      </c>
      <c r="Q179" s="66"/>
      <c r="R179" s="66">
        <v>75</v>
      </c>
      <c r="S179" s="66">
        <v>25</v>
      </c>
      <c r="T179" s="66">
        <v>0</v>
      </c>
      <c r="U179" s="66">
        <v>0</v>
      </c>
      <c r="V179" s="66">
        <v>0</v>
      </c>
      <c r="W179" s="54">
        <v>0</v>
      </c>
      <c r="X179" s="55">
        <f>SUMIFS(Таблица3[Кол-во квартир],Таблица3[Адрес МКД],$D179)</f>
        <v>100</v>
      </c>
      <c r="Y179" s="56">
        <f t="shared" si="44"/>
        <v>5386.4</v>
      </c>
      <c r="Z179" s="253">
        <f>SUMIFS(Таблица3[Площадь жилая],Таблица3[Адрес МКД],$D179)</f>
        <v>3505.8999999999996</v>
      </c>
      <c r="AA179" s="261">
        <f>SUMIFS(Таблица3[Площадь нежилых помещений],Таблица3[Адрес МКД],$D179)</f>
        <v>0</v>
      </c>
      <c r="AB179" s="252">
        <f>SUMIFS(Таблица1[1],Таблица1[2],$D179)</f>
        <v>0</v>
      </c>
      <c r="AC179" s="57">
        <f t="shared" si="35"/>
        <v>0</v>
      </c>
      <c r="AD179" s="57">
        <f t="shared" si="36"/>
        <v>0</v>
      </c>
      <c r="AE179" s="58">
        <f>SUMIFS(Таблица1[8],Таблица1[2],$D179)+SUMIFS(Таблица1[18],Таблица1[2],$D179)</f>
        <v>0</v>
      </c>
      <c r="AF179" s="58">
        <f>SUMIFS(Таблица1[9],Таблица1[2],$D179)+SUMIFS(Таблица1[19],Таблица1[2],$D179)</f>
        <v>0</v>
      </c>
      <c r="AG179" s="59">
        <f t="shared" si="37"/>
        <v>1880.5</v>
      </c>
      <c r="AH179" s="59">
        <f t="shared" si="38"/>
        <v>1880.5</v>
      </c>
      <c r="AI179" s="60">
        <f>672-AM179</f>
        <v>672</v>
      </c>
      <c r="AJ179" s="60">
        <f t="shared" si="31"/>
        <v>672</v>
      </c>
      <c r="AK179" s="60">
        <f>SUMIFS(Таблица1[10],Таблица1[2],$D179)</f>
        <v>0</v>
      </c>
      <c r="AL179" s="60">
        <f>SUMIFS(Таблица1[11],Таблица1[2],$D179)</f>
        <v>0</v>
      </c>
      <c r="AM179" s="251">
        <v>0</v>
      </c>
      <c r="AN179" s="249">
        <f t="shared" si="32"/>
        <v>0</v>
      </c>
      <c r="AO179" s="249">
        <f>SUMIFS(Таблица1[12],Таблица1[2],$D179)</f>
        <v>0</v>
      </c>
      <c r="AP179" s="249">
        <f>SUMIFS(Таблица1[13],Таблица1[2],$D179)</f>
        <v>0</v>
      </c>
      <c r="AQ179" s="61">
        <v>362</v>
      </c>
      <c r="AR179" s="61">
        <f t="shared" si="33"/>
        <v>362</v>
      </c>
      <c r="AS179" s="60">
        <f>SUMIFS(Таблица1[14],Таблица1[2],$D179)</f>
        <v>0</v>
      </c>
      <c r="AT179" s="60">
        <f>SUMIFS(Таблица1[15],Таблица1[2],$D179)</f>
        <v>0</v>
      </c>
      <c r="AU179" s="61">
        <v>846.5</v>
      </c>
      <c r="AV179" s="61">
        <f t="shared" si="34"/>
        <v>846.5</v>
      </c>
      <c r="AW179" s="60">
        <f>SUMIFS(Таблица1[16],Таблица1[2],$D179)</f>
        <v>0</v>
      </c>
      <c r="AX179" s="60">
        <f>SUMIFS(Таблица1[17],Таблица1[2],$D179)</f>
        <v>0</v>
      </c>
      <c r="AY179" s="263"/>
      <c r="AZ179" s="264"/>
      <c r="BA179" s="296">
        <v>0</v>
      </c>
      <c r="BB179" s="296">
        <f t="shared" si="43"/>
        <v>0</v>
      </c>
      <c r="BC179" s="296">
        <v>0</v>
      </c>
      <c r="BD179" s="296">
        <v>0</v>
      </c>
      <c r="BE179" s="285"/>
      <c r="BF179" s="259">
        <v>1628</v>
      </c>
      <c r="BG179" s="260">
        <v>15281</v>
      </c>
      <c r="BH179" s="62" t="s">
        <v>940</v>
      </c>
      <c r="BI179" s="62" t="s">
        <v>935</v>
      </c>
      <c r="BJ179" s="62"/>
      <c r="BK179" s="267"/>
      <c r="BL179" s="267" t="s">
        <v>1649</v>
      </c>
      <c r="BM179" s="267"/>
      <c r="BN179" s="268"/>
      <c r="BO179" s="62">
        <v>17</v>
      </c>
      <c r="BP179" s="63">
        <v>28807</v>
      </c>
      <c r="BQ179" s="64" t="s">
        <v>1131</v>
      </c>
      <c r="BR179" s="372" t="s">
        <v>2747</v>
      </c>
      <c r="BS179" s="62">
        <v>15</v>
      </c>
      <c r="BT179" s="323">
        <v>40</v>
      </c>
      <c r="BU179" s="62">
        <v>420</v>
      </c>
      <c r="BV179" s="323" t="s">
        <v>2084</v>
      </c>
      <c r="BW179" s="62">
        <v>124</v>
      </c>
      <c r="BX179" s="336">
        <v>32</v>
      </c>
      <c r="BY179" s="336"/>
    </row>
    <row r="180" spans="1:77" ht="13.15" hidden="1" customHeight="1" outlineLevel="1" x14ac:dyDescent="0.2">
      <c r="A180" s="50">
        <f t="shared" si="40"/>
        <v>175</v>
      </c>
      <c r="B180" s="51">
        <v>1</v>
      </c>
      <c r="C180" s="51">
        <v>23</v>
      </c>
      <c r="D180" s="18" t="s">
        <v>621</v>
      </c>
      <c r="E180" s="18">
        <v>14</v>
      </c>
      <c r="F180" s="18">
        <v>3</v>
      </c>
      <c r="G180" s="52">
        <v>1</v>
      </c>
      <c r="H180" s="237">
        <v>1</v>
      </c>
      <c r="I180" s="65">
        <v>1956</v>
      </c>
      <c r="J180" s="349">
        <v>5</v>
      </c>
      <c r="K180" s="346">
        <f t="shared" si="41"/>
        <v>6</v>
      </c>
      <c r="L180" s="346">
        <v>1</v>
      </c>
      <c r="M180" s="349">
        <v>4</v>
      </c>
      <c r="N180" s="255">
        <f t="shared" si="39"/>
        <v>-2</v>
      </c>
      <c r="O180" s="310">
        <v>76</v>
      </c>
      <c r="P180" s="66">
        <v>2</v>
      </c>
      <c r="Q180" s="66"/>
      <c r="R180" s="66">
        <v>21</v>
      </c>
      <c r="S180" s="66">
        <v>19</v>
      </c>
      <c r="T180" s="66">
        <v>34</v>
      </c>
      <c r="U180" s="66">
        <v>1</v>
      </c>
      <c r="V180" s="66">
        <v>1</v>
      </c>
      <c r="W180" s="54">
        <v>0</v>
      </c>
      <c r="X180" s="55">
        <f>SUMIFS(Таблица3[Кол-во квартир],Таблица3[Адрес МКД],$D180)</f>
        <v>76</v>
      </c>
      <c r="Y180" s="56">
        <f t="shared" si="44"/>
        <v>7933.0999999999995</v>
      </c>
      <c r="Z180" s="253">
        <f>SUMIFS(Таблица3[Площадь жилая],Таблица3[Адрес МКД],$D180)</f>
        <v>5025.5</v>
      </c>
      <c r="AA180" s="261">
        <f>SUMIFS(Таблица3[Площадь нежилых помещений],Таблица3[Адрес МКД],$D180)</f>
        <v>367.4</v>
      </c>
      <c r="AB180" s="252">
        <f>SUMIFS(Таблица1[1],Таблица1[2],$D180)</f>
        <v>367.4</v>
      </c>
      <c r="AC180" s="57">
        <f t="shared" si="35"/>
        <v>367.4</v>
      </c>
      <c r="AD180" s="57">
        <f t="shared" si="36"/>
        <v>0</v>
      </c>
      <c r="AE180" s="58">
        <f>SUMIFS(Таблица1[8],Таблица1[2],$D180)+SUMIFS(Таблица1[18],Таблица1[2],$D180)</f>
        <v>79.400000000000006</v>
      </c>
      <c r="AF180" s="58">
        <f>SUMIFS(Таблица1[9],Таблица1[2],$D180)+SUMIFS(Таблица1[19],Таблица1[2],$D180)</f>
        <v>0</v>
      </c>
      <c r="AG180" s="59">
        <f t="shared" si="37"/>
        <v>2540.1999999999998</v>
      </c>
      <c r="AH180" s="59">
        <f t="shared" si="38"/>
        <v>2540.1999999999998</v>
      </c>
      <c r="AI180" s="60">
        <v>717.3</v>
      </c>
      <c r="AJ180" s="60">
        <f t="shared" si="31"/>
        <v>717.3</v>
      </c>
      <c r="AK180" s="60">
        <f>SUMIFS(Таблица1[10],Таблица1[2],$D180)</f>
        <v>0</v>
      </c>
      <c r="AL180" s="60">
        <f>SUMIFS(Таблица1[11],Таблица1[2],$D180)</f>
        <v>0</v>
      </c>
      <c r="AM180" s="251">
        <v>288</v>
      </c>
      <c r="AN180" s="249">
        <f t="shared" si="32"/>
        <v>0</v>
      </c>
      <c r="AO180" s="249">
        <f>SUMIFS(Таблица1[12],Таблица1[2],$D180)</f>
        <v>288</v>
      </c>
      <c r="AP180" s="249">
        <f>SUMIFS(Таблица1[13],Таблица1[2],$D180)</f>
        <v>0</v>
      </c>
      <c r="AQ180" s="61">
        <f>539+13.9</f>
        <v>552.9</v>
      </c>
      <c r="AR180" s="61">
        <f t="shared" si="33"/>
        <v>552.9</v>
      </c>
      <c r="AS180" s="60">
        <f>SUMIFS(Таблица1[14],Таблица1[2],$D180)</f>
        <v>0</v>
      </c>
      <c r="AT180" s="60">
        <f>SUMIFS(Таблица1[15],Таблица1[2],$D180)</f>
        <v>0</v>
      </c>
      <c r="AU180" s="61">
        <v>1270</v>
      </c>
      <c r="AV180" s="61">
        <f t="shared" si="34"/>
        <v>1270</v>
      </c>
      <c r="AW180" s="60">
        <f>SUMIFS(Таблица1[16],Таблица1[2],$D180)</f>
        <v>0</v>
      </c>
      <c r="AX180" s="60">
        <f>SUMIFS(Таблица1[17],Таблица1[2],$D180)</f>
        <v>0</v>
      </c>
      <c r="AY180" s="263"/>
      <c r="AZ180" s="264"/>
      <c r="BA180" s="296">
        <v>0</v>
      </c>
      <c r="BB180" s="296">
        <f t="shared" si="43"/>
        <v>0</v>
      </c>
      <c r="BC180" s="296">
        <v>0</v>
      </c>
      <c r="BD180" s="296">
        <v>0</v>
      </c>
      <c r="BE180" s="285"/>
      <c r="BF180" s="259">
        <v>3874</v>
      </c>
      <c r="BG180" s="260">
        <f>8694+13719</f>
        <v>22413</v>
      </c>
      <c r="BH180" s="62" t="s">
        <v>936</v>
      </c>
      <c r="BI180" s="62" t="s">
        <v>935</v>
      </c>
      <c r="BJ180" s="62"/>
      <c r="BK180" s="267"/>
      <c r="BL180" s="267"/>
      <c r="BM180" s="267" t="s">
        <v>1649</v>
      </c>
      <c r="BN180" s="268"/>
      <c r="BO180" s="62">
        <v>30</v>
      </c>
      <c r="BP180" s="63">
        <v>40774</v>
      </c>
      <c r="BQ180" s="64" t="s">
        <v>1131</v>
      </c>
      <c r="BR180" s="372" t="s">
        <v>2747</v>
      </c>
      <c r="BS180" s="62"/>
      <c r="BT180" s="323"/>
      <c r="BU180" s="62"/>
      <c r="BV180" s="323"/>
      <c r="BW180" s="62"/>
      <c r="BX180" s="336"/>
      <c r="BY180" s="336"/>
    </row>
    <row r="181" spans="1:77" ht="13.15" hidden="1" customHeight="1" outlineLevel="1" x14ac:dyDescent="0.2">
      <c r="A181" s="50">
        <f t="shared" si="40"/>
        <v>176</v>
      </c>
      <c r="B181" s="51">
        <v>38</v>
      </c>
      <c r="C181" s="51">
        <v>24</v>
      </c>
      <c r="D181" s="18" t="s">
        <v>702</v>
      </c>
      <c r="E181" s="18">
        <v>16</v>
      </c>
      <c r="F181" s="18">
        <v>3</v>
      </c>
      <c r="G181" s="52">
        <v>1</v>
      </c>
      <c r="H181" s="237">
        <v>1</v>
      </c>
      <c r="I181" s="65">
        <v>1959</v>
      </c>
      <c r="J181" s="349">
        <v>5</v>
      </c>
      <c r="K181" s="346">
        <f t="shared" si="41"/>
        <v>6</v>
      </c>
      <c r="L181" s="346">
        <v>1</v>
      </c>
      <c r="M181" s="349">
        <v>4</v>
      </c>
      <c r="N181" s="255">
        <f t="shared" si="39"/>
        <v>-2</v>
      </c>
      <c r="O181" s="310">
        <v>58</v>
      </c>
      <c r="P181" s="66">
        <v>6</v>
      </c>
      <c r="Q181" s="66"/>
      <c r="R181" s="66">
        <v>20</v>
      </c>
      <c r="S181" s="66">
        <v>19</v>
      </c>
      <c r="T181" s="66">
        <v>19</v>
      </c>
      <c r="U181" s="66">
        <v>0</v>
      </c>
      <c r="V181" s="66">
        <v>0</v>
      </c>
      <c r="W181" s="54">
        <v>0</v>
      </c>
      <c r="X181" s="55">
        <f>SUMIFS(Таблица3[Кол-во квартир],Таблица3[Адрес МКД],$D181)</f>
        <v>54</v>
      </c>
      <c r="Y181" s="56">
        <f t="shared" si="44"/>
        <v>5158.7000000000007</v>
      </c>
      <c r="Z181" s="253">
        <f>SUMIFS(Таблица3[Площадь жилая],Таблица3[Адрес МКД],$D181)</f>
        <v>2931.8</v>
      </c>
      <c r="AA181" s="261">
        <f>SUMIFS(Таблица3[Площадь нежилых помещений],Таблица3[Адрес МКД],$D181)</f>
        <v>459.3</v>
      </c>
      <c r="AB181" s="252">
        <f>SUMIFS(Таблица1[1],Таблица1[2],$D181)</f>
        <v>742.9</v>
      </c>
      <c r="AC181" s="57">
        <f t="shared" si="35"/>
        <v>459.3</v>
      </c>
      <c r="AD181" s="57">
        <f t="shared" si="36"/>
        <v>283.60000000000002</v>
      </c>
      <c r="AE181" s="58">
        <f>SUMIFS(Таблица1[8],Таблица1[2],$D181)+SUMIFS(Таблица1[18],Таблица1[2],$D181)</f>
        <v>385.5</v>
      </c>
      <c r="AF181" s="58">
        <f>SUMIFS(Таблица1[9],Таблица1[2],$D181)+SUMIFS(Таблица1[19],Таблица1[2],$D181)</f>
        <v>0</v>
      </c>
      <c r="AG181" s="59">
        <f t="shared" si="37"/>
        <v>1484</v>
      </c>
      <c r="AH181" s="59">
        <f t="shared" si="38"/>
        <v>1767.6</v>
      </c>
      <c r="AI181" s="60">
        <f>655.9-AM181</f>
        <v>655.9</v>
      </c>
      <c r="AJ181" s="60">
        <f t="shared" si="31"/>
        <v>306.5</v>
      </c>
      <c r="AK181" s="60">
        <f>SUMIFS(Таблица1[10],Таблица1[2],$D181)</f>
        <v>73.8</v>
      </c>
      <c r="AL181" s="60">
        <f>SUMIFS(Таблица1[11],Таблица1[2],$D181)</f>
        <v>275.60000000000002</v>
      </c>
      <c r="AM181" s="251">
        <v>0</v>
      </c>
      <c r="AN181" s="249">
        <f t="shared" si="32"/>
        <v>0</v>
      </c>
      <c r="AO181" s="249">
        <f>SUMIFS(Таблица1[12],Таблица1[2],$D181)</f>
        <v>0</v>
      </c>
      <c r="AP181" s="249">
        <f>SUMIFS(Таблица1[13],Таблица1[2],$D181)</f>
        <v>0</v>
      </c>
      <c r="AQ181" s="61">
        <f>355.7</f>
        <v>355.7</v>
      </c>
      <c r="AR181" s="61">
        <f t="shared" si="33"/>
        <v>347.7</v>
      </c>
      <c r="AS181" s="60">
        <f>SUMIFS(Таблица1[14],Таблица1[2],$D181)</f>
        <v>0</v>
      </c>
      <c r="AT181" s="60">
        <f>SUMIFS(Таблица1[15],Таблица1[2],$D181)</f>
        <v>8</v>
      </c>
      <c r="AU181" s="61">
        <v>829.8</v>
      </c>
      <c r="AV181" s="61">
        <f t="shared" si="34"/>
        <v>829.8</v>
      </c>
      <c r="AW181" s="60">
        <f>SUMIFS(Таблица1[16],Таблица1[2],$D181)</f>
        <v>0</v>
      </c>
      <c r="AX181" s="60">
        <f>SUMIFS(Таблица1[17],Таблица1[2],$D181)</f>
        <v>0</v>
      </c>
      <c r="AY181" s="263"/>
      <c r="AZ181" s="264"/>
      <c r="BA181" s="296">
        <v>0</v>
      </c>
      <c r="BB181" s="296">
        <f t="shared" si="43"/>
        <v>0</v>
      </c>
      <c r="BC181" s="296">
        <v>0</v>
      </c>
      <c r="BD181" s="296">
        <v>0</v>
      </c>
      <c r="BE181" s="285"/>
      <c r="BF181" s="259">
        <v>2319</v>
      </c>
      <c r="BG181" s="260">
        <f>2992*4+3020</f>
        <v>14988</v>
      </c>
      <c r="BH181" s="62" t="s">
        <v>943</v>
      </c>
      <c r="BI181" s="62" t="s">
        <v>935</v>
      </c>
      <c r="BJ181" s="62"/>
      <c r="BK181" s="267"/>
      <c r="BL181" s="267"/>
      <c r="BM181" s="267" t="s">
        <v>1649</v>
      </c>
      <c r="BN181" s="268"/>
      <c r="BO181" s="62">
        <v>37</v>
      </c>
      <c r="BP181" s="63">
        <v>40792</v>
      </c>
      <c r="BQ181" s="64" t="s">
        <v>1131</v>
      </c>
      <c r="BR181" s="372" t="s">
        <v>2747</v>
      </c>
      <c r="BS181" s="62">
        <v>16</v>
      </c>
      <c r="BT181" s="323">
        <v>40.32</v>
      </c>
      <c r="BU181" s="62">
        <v>246</v>
      </c>
      <c r="BV181" s="323" t="s">
        <v>2085</v>
      </c>
      <c r="BW181" s="62">
        <v>68</v>
      </c>
      <c r="BX181" s="336"/>
      <c r="BY181" s="336"/>
    </row>
    <row r="182" spans="1:77" ht="13.15" customHeight="1" outlineLevel="1" x14ac:dyDescent="0.2">
      <c r="A182" s="50">
        <f t="shared" si="40"/>
        <v>177</v>
      </c>
      <c r="B182" s="51">
        <v>49</v>
      </c>
      <c r="C182" s="51">
        <v>66</v>
      </c>
      <c r="D182" s="18" t="s">
        <v>600</v>
      </c>
      <c r="E182" s="18">
        <v>12</v>
      </c>
      <c r="F182" s="18">
        <v>4</v>
      </c>
      <c r="G182" s="52">
        <v>1</v>
      </c>
      <c r="H182" s="237">
        <v>1</v>
      </c>
      <c r="I182" s="65">
        <v>1955</v>
      </c>
      <c r="J182" s="349">
        <v>5</v>
      </c>
      <c r="K182" s="346">
        <f t="shared" si="41"/>
        <v>6</v>
      </c>
      <c r="L182" s="346">
        <v>1</v>
      </c>
      <c r="M182" s="349">
        <v>5</v>
      </c>
      <c r="N182" s="255">
        <f t="shared" si="39"/>
        <v>3</v>
      </c>
      <c r="O182" s="310">
        <v>99</v>
      </c>
      <c r="P182" s="66">
        <v>14</v>
      </c>
      <c r="Q182" s="66"/>
      <c r="R182" s="66">
        <v>17</v>
      </c>
      <c r="S182" s="66">
        <v>34</v>
      </c>
      <c r="T182" s="66">
        <v>48</v>
      </c>
      <c r="U182" s="66">
        <v>0</v>
      </c>
      <c r="V182" s="66">
        <v>0</v>
      </c>
      <c r="W182" s="54">
        <v>0</v>
      </c>
      <c r="X182" s="55">
        <f>SUMIFS(Таблица3[Кол-во квартир],Таблица3[Адрес МКД],$D182)</f>
        <v>82</v>
      </c>
      <c r="Y182" s="56">
        <f t="shared" si="44"/>
        <v>9440.77</v>
      </c>
      <c r="Z182" s="253">
        <f>SUMIFS(Таблица3[Площадь жилая],Таблица3[Адрес МКД],$D182)</f>
        <v>5423.4</v>
      </c>
      <c r="AA182" s="261">
        <f>SUMIFS(Таблица3[Площадь нежилых помещений],Таблица3[Адрес МКД],$D182)</f>
        <v>1448.4</v>
      </c>
      <c r="AB182" s="252">
        <f>SUMIFS(Таблица1[1],Таблица1[2],$D182)</f>
        <v>1578</v>
      </c>
      <c r="AC182" s="57">
        <f t="shared" si="35"/>
        <v>1550.6</v>
      </c>
      <c r="AD182" s="57">
        <f t="shared" si="36"/>
        <v>27.4</v>
      </c>
      <c r="AE182" s="58">
        <f>SUMIFS(Таблица1[8],Таблица1[2],$D182)+SUMIFS(Таблица1[18],Таблица1[2],$D182)</f>
        <v>882.49999999999989</v>
      </c>
      <c r="AF182" s="58">
        <f>SUMIFS(Таблица1[9],Таблица1[2],$D182)+SUMIFS(Таблица1[19],Таблица1[2],$D182)</f>
        <v>0</v>
      </c>
      <c r="AG182" s="59">
        <f t="shared" si="37"/>
        <v>2439.37</v>
      </c>
      <c r="AH182" s="59">
        <f t="shared" si="38"/>
        <v>2466.77</v>
      </c>
      <c r="AI182" s="60">
        <f>739.8-AM182</f>
        <v>173.89999999999998</v>
      </c>
      <c r="AJ182" s="60">
        <f t="shared" si="31"/>
        <v>71.699999999999974</v>
      </c>
      <c r="AK182" s="60">
        <f>SUMIFS(Таблица1[10],Таблица1[2],$D182)</f>
        <v>102.2</v>
      </c>
      <c r="AL182" s="60">
        <f>SUMIFS(Таблица1[11],Таблица1[2],$D182)</f>
        <v>0</v>
      </c>
      <c r="AM182" s="251">
        <f>402.2+163.7</f>
        <v>565.9</v>
      </c>
      <c r="AN182" s="249">
        <f t="shared" si="32"/>
        <v>0</v>
      </c>
      <c r="AO182" s="249">
        <f>SUMIFS(Таблица1[12],Таблица1[2],$D182)</f>
        <v>565.9</v>
      </c>
      <c r="AP182" s="249">
        <f>SUMIFS(Таблица1[13],Таблица1[2],$D182)</f>
        <v>0</v>
      </c>
      <c r="AQ182" s="61">
        <f>673.4</f>
        <v>673.4</v>
      </c>
      <c r="AR182" s="61">
        <f t="shared" si="33"/>
        <v>646</v>
      </c>
      <c r="AS182" s="60">
        <f>SUMIFS(Таблица1[14],Таблица1[2],$D182)</f>
        <v>0</v>
      </c>
      <c r="AT182" s="60">
        <f>SUMIFS(Таблица1[15],Таблица1[2],$D182)</f>
        <v>27.4</v>
      </c>
      <c r="AU182" s="61">
        <v>1721.67</v>
      </c>
      <c r="AV182" s="61">
        <f t="shared" si="34"/>
        <v>1721.67</v>
      </c>
      <c r="AW182" s="60">
        <f>SUMIFS(Таблица1[16],Таблица1[2],$D182)</f>
        <v>0</v>
      </c>
      <c r="AX182" s="60">
        <f>SUMIFS(Таблица1[17],Таблица1[2],$D182)</f>
        <v>0</v>
      </c>
      <c r="AY182" s="263">
        <f>Нежилые!G1087</f>
        <v>102.2</v>
      </c>
      <c r="AZ182" s="264"/>
      <c r="BA182" s="296">
        <v>0</v>
      </c>
      <c r="BB182" s="296">
        <f t="shared" si="43"/>
        <v>0</v>
      </c>
      <c r="BC182" s="296">
        <v>0</v>
      </c>
      <c r="BD182" s="296">
        <v>0</v>
      </c>
      <c r="BE182" s="285"/>
      <c r="BF182" s="259">
        <v>5085</v>
      </c>
      <c r="BG182" s="260">
        <f>41+11509+17076+173</f>
        <v>28799</v>
      </c>
      <c r="BH182" s="62" t="s">
        <v>936</v>
      </c>
      <c r="BI182" s="62" t="s">
        <v>935</v>
      </c>
      <c r="BJ182" s="62"/>
      <c r="BK182" s="267"/>
      <c r="BL182" s="267"/>
      <c r="BM182" s="267" t="s">
        <v>1649</v>
      </c>
      <c r="BN182" s="268"/>
      <c r="BO182" s="62">
        <v>33</v>
      </c>
      <c r="BP182" s="63">
        <v>44082</v>
      </c>
      <c r="BQ182" s="64" t="s">
        <v>1131</v>
      </c>
      <c r="BR182" s="372" t="s">
        <v>2747</v>
      </c>
      <c r="BS182" s="62"/>
      <c r="BT182" s="323"/>
      <c r="BU182" s="62"/>
      <c r="BV182" s="323"/>
      <c r="BW182" s="62"/>
      <c r="BX182" s="336"/>
      <c r="BY182" s="336" t="s">
        <v>1649</v>
      </c>
    </row>
    <row r="183" spans="1:77" ht="13.15" customHeight="1" outlineLevel="1" x14ac:dyDescent="0.2">
      <c r="A183" s="50">
        <f t="shared" si="40"/>
        <v>178</v>
      </c>
      <c r="B183" s="51">
        <v>50</v>
      </c>
      <c r="C183" s="51">
        <v>67</v>
      </c>
      <c r="D183" s="18" t="s">
        <v>601</v>
      </c>
      <c r="E183" s="18">
        <v>12</v>
      </c>
      <c r="F183" s="18">
        <v>4</v>
      </c>
      <c r="G183" s="52">
        <v>1</v>
      </c>
      <c r="H183" s="237">
        <v>1</v>
      </c>
      <c r="I183" s="65">
        <v>1955</v>
      </c>
      <c r="J183" s="349">
        <v>4</v>
      </c>
      <c r="K183" s="346">
        <f t="shared" si="41"/>
        <v>5</v>
      </c>
      <c r="L183" s="346">
        <v>1</v>
      </c>
      <c r="M183" s="349">
        <v>3</v>
      </c>
      <c r="N183" s="255">
        <f t="shared" si="39"/>
        <v>1</v>
      </c>
      <c r="O183" s="310">
        <v>40</v>
      </c>
      <c r="P183" s="66">
        <v>0</v>
      </c>
      <c r="Q183" s="66"/>
      <c r="R183" s="66">
        <v>2</v>
      </c>
      <c r="S183" s="66">
        <v>22</v>
      </c>
      <c r="T183" s="66">
        <v>16</v>
      </c>
      <c r="U183" s="66">
        <v>0</v>
      </c>
      <c r="V183" s="66">
        <v>0</v>
      </c>
      <c r="W183" s="54">
        <v>0</v>
      </c>
      <c r="X183" s="55">
        <f>SUMIFS(Таблица3[Кол-во квартир],Таблица3[Адрес МКД],$D183)</f>
        <v>39</v>
      </c>
      <c r="Y183" s="56">
        <f t="shared" si="44"/>
        <v>4217.32</v>
      </c>
      <c r="Z183" s="253">
        <f>SUMIFS(Таблица3[Площадь жилая],Таблица3[Адрес МКД],$D183)</f>
        <v>2544.5</v>
      </c>
      <c r="AA183" s="261">
        <f>SUMIFS(Таблица3[Площадь нежилых помещений],Таблица3[Адрес МКД],$D183)</f>
        <v>381.1</v>
      </c>
      <c r="AB183" s="252">
        <f>SUMIFS(Таблица1[1],Таблица1[2],$D183)</f>
        <v>418.5</v>
      </c>
      <c r="AC183" s="57">
        <f t="shared" si="35"/>
        <v>381.1</v>
      </c>
      <c r="AD183" s="57">
        <f t="shared" si="36"/>
        <v>37.4</v>
      </c>
      <c r="AE183" s="58">
        <f>SUMIFS(Таблица1[8],Таблица1[2],$D183)+SUMIFS(Таблица1[18],Таблица1[2],$D183)</f>
        <v>181.9</v>
      </c>
      <c r="AF183" s="58">
        <f>SUMIFS(Таблица1[9],Таблица1[2],$D183)+SUMIFS(Таблица1[19],Таблица1[2],$D183)</f>
        <v>37.4</v>
      </c>
      <c r="AG183" s="59">
        <f>AJ183+AR183+AV183+AZ183+BB183</f>
        <v>1254.32</v>
      </c>
      <c r="AH183" s="59">
        <f>AJ183+AL183+AR183+AT183+AV183+AX183+BB183+BD183</f>
        <v>1254.32</v>
      </c>
      <c r="AI183" s="60">
        <f>297-AM183</f>
        <v>97.800000000000011</v>
      </c>
      <c r="AJ183" s="60">
        <f t="shared" si="31"/>
        <v>97.800000000000011</v>
      </c>
      <c r="AK183" s="60">
        <f>SUMIFS(Таблица1[10],Таблица1[2],$D183)</f>
        <v>0</v>
      </c>
      <c r="AL183" s="60">
        <f>SUMIFS(Таблица1[11],Таблица1[2],$D183)</f>
        <v>0</v>
      </c>
      <c r="AM183" s="251">
        <f>199.2</f>
        <v>199.2</v>
      </c>
      <c r="AN183" s="249">
        <f t="shared" si="32"/>
        <v>0</v>
      </c>
      <c r="AO183" s="249">
        <f>SUMIFS(Таблица1[12],Таблица1[2],$D183)</f>
        <v>199.2</v>
      </c>
      <c r="AP183" s="249">
        <f>SUMIFS(Таблица1[13],Таблица1[2],$D183)</f>
        <v>0</v>
      </c>
      <c r="AQ183" s="61">
        <v>313.5</v>
      </c>
      <c r="AR183" s="61">
        <f t="shared" si="33"/>
        <v>313.5</v>
      </c>
      <c r="AS183" s="60">
        <f>SUMIFS(Таблица1[14],Таблица1[2],$D183)</f>
        <v>0</v>
      </c>
      <c r="AT183" s="60">
        <f>SUMIFS(Таблица1[15],Таблица1[2],$D183)</f>
        <v>0</v>
      </c>
      <c r="AU183" s="61">
        <v>843.02</v>
      </c>
      <c r="AV183" s="61">
        <f t="shared" si="34"/>
        <v>843.02</v>
      </c>
      <c r="AW183" s="60">
        <f>SUMIFS(Таблица1[16],Таблица1[2],$D183)</f>
        <v>0</v>
      </c>
      <c r="AX183" s="60">
        <f>SUMIFS(Таблица1[17],Таблица1[2],$D183)</f>
        <v>0</v>
      </c>
      <c r="AY183" s="263"/>
      <c r="AZ183" s="264"/>
      <c r="BA183" s="296">
        <v>29.2</v>
      </c>
      <c r="BB183" s="296">
        <f t="shared" si="43"/>
        <v>0</v>
      </c>
      <c r="BC183" s="296">
        <f>Нежилые!I1099</f>
        <v>29.2</v>
      </c>
      <c r="BD183" s="296">
        <v>0</v>
      </c>
      <c r="BE183" s="285"/>
      <c r="BF183" s="259">
        <v>1588</v>
      </c>
      <c r="BG183" s="260">
        <f>12263+126+14</f>
        <v>12403</v>
      </c>
      <c r="BH183" s="62" t="s">
        <v>936</v>
      </c>
      <c r="BI183" s="62" t="s">
        <v>935</v>
      </c>
      <c r="BJ183" s="62" t="s">
        <v>1017</v>
      </c>
      <c r="BK183" s="267"/>
      <c r="BL183" s="267"/>
      <c r="BM183" s="267" t="s">
        <v>1649</v>
      </c>
      <c r="BN183" s="268"/>
      <c r="BO183" s="62">
        <v>32</v>
      </c>
      <c r="BP183" s="63">
        <v>44082</v>
      </c>
      <c r="BQ183" s="64" t="s">
        <v>1131</v>
      </c>
      <c r="BR183" s="372" t="s">
        <v>2747</v>
      </c>
      <c r="BS183" s="62"/>
      <c r="BT183" s="323"/>
      <c r="BU183" s="62"/>
      <c r="BV183" s="323"/>
      <c r="BW183" s="62"/>
      <c r="BX183" s="336"/>
      <c r="BY183" s="336" t="s">
        <v>1649</v>
      </c>
    </row>
    <row r="184" spans="1:77" ht="13.15" hidden="1" customHeight="1" outlineLevel="1" x14ac:dyDescent="0.2">
      <c r="A184" s="50">
        <f t="shared" si="40"/>
        <v>179</v>
      </c>
      <c r="B184" s="51">
        <v>39</v>
      </c>
      <c r="C184" s="51">
        <v>25</v>
      </c>
      <c r="D184" s="18" t="s">
        <v>703</v>
      </c>
      <c r="E184" s="18">
        <v>16</v>
      </c>
      <c r="F184" s="18">
        <v>3</v>
      </c>
      <c r="G184" s="52">
        <v>1</v>
      </c>
      <c r="H184" s="237">
        <v>1</v>
      </c>
      <c r="I184" s="65">
        <v>1959</v>
      </c>
      <c r="J184" s="349">
        <v>5</v>
      </c>
      <c r="K184" s="346">
        <f t="shared" si="41"/>
        <v>6</v>
      </c>
      <c r="L184" s="346">
        <v>1</v>
      </c>
      <c r="M184" s="349">
        <v>5</v>
      </c>
      <c r="N184" s="255">
        <f t="shared" si="39"/>
        <v>1</v>
      </c>
      <c r="O184" s="310">
        <v>100</v>
      </c>
      <c r="P184" s="66">
        <v>0</v>
      </c>
      <c r="Q184" s="66"/>
      <c r="R184" s="66">
        <v>75</v>
      </c>
      <c r="S184" s="66">
        <v>25</v>
      </c>
      <c r="T184" s="66">
        <v>0</v>
      </c>
      <c r="U184" s="66">
        <v>0</v>
      </c>
      <c r="V184" s="66">
        <v>0</v>
      </c>
      <c r="W184" s="54">
        <v>0</v>
      </c>
      <c r="X184" s="55">
        <f>SUMIFS(Таблица3[Кол-во квартир],Таблица3[Адрес МКД],$D184)</f>
        <v>99</v>
      </c>
      <c r="Y184" s="56">
        <f t="shared" si="44"/>
        <v>5049.46</v>
      </c>
      <c r="Z184" s="253">
        <f>SUMIFS(Таблица3[Площадь жилая],Таблица3[Адрес МКД],$D184)</f>
        <v>3501.56</v>
      </c>
      <c r="AA184" s="261">
        <f>SUMIFS(Таблица3[Площадь нежилых помещений],Таблица3[Адрес МКД],$D184)</f>
        <v>133.6</v>
      </c>
      <c r="AB184" s="252">
        <f>SUMIFS(Таблица1[1],Таблица1[2],$D184)</f>
        <v>133.6</v>
      </c>
      <c r="AC184" s="57">
        <f t="shared" si="35"/>
        <v>133.6</v>
      </c>
      <c r="AD184" s="57">
        <f t="shared" si="36"/>
        <v>0</v>
      </c>
      <c r="AE184" s="58">
        <f>SUMIFS(Таблица1[8],Таблица1[2],$D184)+SUMIFS(Таблица1[18],Таблица1[2],$D184)</f>
        <v>0</v>
      </c>
      <c r="AF184" s="58">
        <f>SUMIFS(Таблица1[9],Таблица1[2],$D184)+SUMIFS(Таблица1[19],Таблица1[2],$D184)</f>
        <v>0</v>
      </c>
      <c r="AG184" s="59">
        <f t="shared" si="37"/>
        <v>1414.3000000000002</v>
      </c>
      <c r="AH184" s="59">
        <f t="shared" si="38"/>
        <v>1414.3000000000002</v>
      </c>
      <c r="AI184" s="60">
        <f>346-AM184</f>
        <v>346</v>
      </c>
      <c r="AJ184" s="60">
        <f t="shared" si="31"/>
        <v>212.4</v>
      </c>
      <c r="AK184" s="60">
        <f>SUMIFS(Таблица1[10],Таблица1[2],$D184)</f>
        <v>133.6</v>
      </c>
      <c r="AL184" s="60">
        <f>SUMIFS(Таблица1[11],Таблица1[2],$D184)</f>
        <v>0</v>
      </c>
      <c r="AM184" s="251">
        <v>0</v>
      </c>
      <c r="AN184" s="249">
        <f t="shared" si="32"/>
        <v>0</v>
      </c>
      <c r="AO184" s="249">
        <f>SUMIFS(Таблица1[12],Таблица1[2],$D184)</f>
        <v>0</v>
      </c>
      <c r="AP184" s="249">
        <f>SUMIFS(Таблица1[13],Таблица1[2],$D184)</f>
        <v>0</v>
      </c>
      <c r="AQ184" s="61">
        <v>357.8</v>
      </c>
      <c r="AR184" s="61">
        <f t="shared" si="33"/>
        <v>357.8</v>
      </c>
      <c r="AS184" s="60">
        <f>SUMIFS(Таблица1[14],Таблица1[2],$D184)</f>
        <v>0</v>
      </c>
      <c r="AT184" s="60">
        <f>SUMIFS(Таблица1[15],Таблица1[2],$D184)</f>
        <v>0</v>
      </c>
      <c r="AU184" s="61">
        <v>844.1</v>
      </c>
      <c r="AV184" s="61">
        <f t="shared" si="34"/>
        <v>844.1</v>
      </c>
      <c r="AW184" s="60">
        <f>SUMIFS(Таблица1[16],Таблица1[2],$D184)</f>
        <v>0</v>
      </c>
      <c r="AX184" s="60">
        <f>SUMIFS(Таблица1[17],Таблица1[2],$D184)</f>
        <v>0</v>
      </c>
      <c r="AY184" s="263"/>
      <c r="AZ184" s="264"/>
      <c r="BA184" s="296">
        <v>0</v>
      </c>
      <c r="BB184" s="296">
        <f t="shared" si="43"/>
        <v>0</v>
      </c>
      <c r="BC184" s="296">
        <v>0</v>
      </c>
      <c r="BD184" s="296">
        <v>0</v>
      </c>
      <c r="BE184" s="285"/>
      <c r="BF184" s="259">
        <f>1516+28</f>
        <v>1544</v>
      </c>
      <c r="BG184" s="260">
        <v>15467</v>
      </c>
      <c r="BH184" s="62" t="s">
        <v>940</v>
      </c>
      <c r="BI184" s="62" t="s">
        <v>935</v>
      </c>
      <c r="BJ184" s="62"/>
      <c r="BK184" s="267"/>
      <c r="BL184" s="267" t="s">
        <v>1649</v>
      </c>
      <c r="BM184" s="267"/>
      <c r="BN184" s="268"/>
      <c r="BO184" s="62">
        <v>16</v>
      </c>
      <c r="BP184" s="63">
        <v>29171</v>
      </c>
      <c r="BQ184" s="64" t="s">
        <v>1131</v>
      </c>
      <c r="BR184" s="372" t="s">
        <v>2747</v>
      </c>
      <c r="BS184" s="62">
        <v>15</v>
      </c>
      <c r="BT184" s="323">
        <v>40</v>
      </c>
      <c r="BU184" s="62">
        <v>416</v>
      </c>
      <c r="BV184" s="323" t="s">
        <v>2084</v>
      </c>
      <c r="BW184" s="62">
        <v>121</v>
      </c>
      <c r="BX184" s="336"/>
      <c r="BY184" s="336"/>
    </row>
    <row r="185" spans="1:77" ht="13.15" hidden="1" customHeight="1" outlineLevel="1" x14ac:dyDescent="0.2">
      <c r="A185" s="50">
        <f t="shared" si="40"/>
        <v>180</v>
      </c>
      <c r="B185" s="51">
        <v>40</v>
      </c>
      <c r="C185" s="51">
        <v>26</v>
      </c>
      <c r="D185" s="18" t="s">
        <v>704</v>
      </c>
      <c r="E185" s="18">
        <v>16</v>
      </c>
      <c r="F185" s="18">
        <v>3</v>
      </c>
      <c r="G185" s="52">
        <v>1</v>
      </c>
      <c r="H185" s="237">
        <v>1</v>
      </c>
      <c r="I185" s="65">
        <v>1959</v>
      </c>
      <c r="J185" s="349">
        <v>5</v>
      </c>
      <c r="K185" s="346">
        <f t="shared" si="41"/>
        <v>6</v>
      </c>
      <c r="L185" s="346">
        <v>1</v>
      </c>
      <c r="M185" s="349">
        <v>2</v>
      </c>
      <c r="N185" s="255">
        <f t="shared" si="39"/>
        <v>0</v>
      </c>
      <c r="O185" s="310">
        <v>40</v>
      </c>
      <c r="P185" s="66">
        <v>3</v>
      </c>
      <c r="Q185" s="66"/>
      <c r="R185" s="66">
        <v>20</v>
      </c>
      <c r="S185" s="66">
        <v>10</v>
      </c>
      <c r="T185" s="66">
        <v>10</v>
      </c>
      <c r="U185" s="66">
        <v>0</v>
      </c>
      <c r="V185" s="66">
        <v>0</v>
      </c>
      <c r="W185" s="54">
        <v>0</v>
      </c>
      <c r="X185" s="55">
        <f>SUMIFS(Таблица3[Кол-во квартир],Таблица3[Адрес МКД],$D185)</f>
        <v>37</v>
      </c>
      <c r="Y185" s="56">
        <f t="shared" si="44"/>
        <v>2451</v>
      </c>
      <c r="Z185" s="253">
        <f>SUMIFS(Таблица3[Площадь жилая],Таблица3[Адрес МКД],$D185)</f>
        <v>1520.7</v>
      </c>
      <c r="AA185" s="261">
        <f>SUMIFS(Таблица3[Площадь нежилых помещений],Таблица3[Адрес МКД],$D185)</f>
        <v>105.9</v>
      </c>
      <c r="AB185" s="252">
        <f>SUMIFS(Таблица1[1],Таблица1[2],$D185)</f>
        <v>105.9</v>
      </c>
      <c r="AC185" s="57">
        <f t="shared" si="35"/>
        <v>105.9</v>
      </c>
      <c r="AD185" s="57">
        <f t="shared" si="36"/>
        <v>0</v>
      </c>
      <c r="AE185" s="58">
        <f>SUMIFS(Таблица1[8],Таблица1[2],$D185)+SUMIFS(Таблица1[18],Таблица1[2],$D185)</f>
        <v>105.9</v>
      </c>
      <c r="AF185" s="58">
        <f>SUMIFS(Таблица1[9],Таблица1[2],$D185)+SUMIFS(Таблица1[19],Таблица1[2],$D185)</f>
        <v>0</v>
      </c>
      <c r="AG185" s="59">
        <f t="shared" si="37"/>
        <v>824.40000000000009</v>
      </c>
      <c r="AH185" s="59">
        <f t="shared" si="38"/>
        <v>824.40000000000009</v>
      </c>
      <c r="AI185" s="60">
        <f>315.8-AM185</f>
        <v>315.8</v>
      </c>
      <c r="AJ185" s="60">
        <f t="shared" si="31"/>
        <v>315.8</v>
      </c>
      <c r="AK185" s="60">
        <f>SUMIFS(Таблица1[10],Таблица1[2],$D185)</f>
        <v>0</v>
      </c>
      <c r="AL185" s="60">
        <f>SUMIFS(Таблица1[11],Таблица1[2],$D185)</f>
        <v>0</v>
      </c>
      <c r="AM185" s="251">
        <v>0</v>
      </c>
      <c r="AN185" s="249">
        <f t="shared" si="32"/>
        <v>0</v>
      </c>
      <c r="AO185" s="249">
        <f>SUMIFS(Таблица1[12],Таблица1[2],$D185)</f>
        <v>0</v>
      </c>
      <c r="AP185" s="249">
        <f>SUMIFS(Таблица1[13],Таблица1[2],$D185)</f>
        <v>0</v>
      </c>
      <c r="AQ185" s="61">
        <v>120.8</v>
      </c>
      <c r="AR185" s="61">
        <f t="shared" si="33"/>
        <v>120.8</v>
      </c>
      <c r="AS185" s="60">
        <f>SUMIFS(Таблица1[14],Таблица1[2],$D185)</f>
        <v>0</v>
      </c>
      <c r="AT185" s="60">
        <f>SUMIFS(Таблица1[15],Таблица1[2],$D185)</f>
        <v>0</v>
      </c>
      <c r="AU185" s="61">
        <v>387.8</v>
      </c>
      <c r="AV185" s="61">
        <f t="shared" si="34"/>
        <v>387.8</v>
      </c>
      <c r="AW185" s="60">
        <f>SUMIFS(Таблица1[16],Таблица1[2],$D185)</f>
        <v>0</v>
      </c>
      <c r="AX185" s="60">
        <f>SUMIFS(Таблица1[17],Таблица1[2],$D185)</f>
        <v>0</v>
      </c>
      <c r="AY185" s="263"/>
      <c r="AZ185" s="264"/>
      <c r="BA185" s="296">
        <v>0</v>
      </c>
      <c r="BB185" s="296">
        <f t="shared" si="43"/>
        <v>0</v>
      </c>
      <c r="BC185" s="296">
        <v>0</v>
      </c>
      <c r="BD185" s="296">
        <v>0</v>
      </c>
      <c r="BE185" s="285"/>
      <c r="BF185" s="259">
        <v>1072</v>
      </c>
      <c r="BG185" s="260">
        <v>6395</v>
      </c>
      <c r="BH185" s="62" t="s">
        <v>943</v>
      </c>
      <c r="BI185" s="62" t="s">
        <v>935</v>
      </c>
      <c r="BJ185" s="62"/>
      <c r="BK185" s="267"/>
      <c r="BL185" s="267" t="s">
        <v>1649</v>
      </c>
      <c r="BM185" s="267"/>
      <c r="BN185" s="268"/>
      <c r="BO185" s="62">
        <v>16</v>
      </c>
      <c r="BP185" s="63">
        <v>29171</v>
      </c>
      <c r="BQ185" s="64" t="s">
        <v>1131</v>
      </c>
      <c r="BR185" s="372" t="s">
        <v>2747</v>
      </c>
      <c r="BS185" s="62">
        <v>6</v>
      </c>
      <c r="BT185" s="323">
        <v>50</v>
      </c>
      <c r="BU185" s="62">
        <v>138</v>
      </c>
      <c r="BV185" s="323" t="s">
        <v>2086</v>
      </c>
      <c r="BW185" s="62">
        <v>43</v>
      </c>
      <c r="BX185" s="336"/>
      <c r="BY185" s="336"/>
    </row>
    <row r="186" spans="1:77" ht="13.15" customHeight="1" outlineLevel="1" x14ac:dyDescent="0.2">
      <c r="A186" s="50">
        <f t="shared" si="40"/>
        <v>181</v>
      </c>
      <c r="B186" s="51">
        <v>51</v>
      </c>
      <c r="C186" s="51">
        <v>68</v>
      </c>
      <c r="D186" s="18" t="s">
        <v>602</v>
      </c>
      <c r="E186" s="18">
        <v>12</v>
      </c>
      <c r="F186" s="18">
        <v>4</v>
      </c>
      <c r="G186" s="52">
        <v>1</v>
      </c>
      <c r="H186" s="237">
        <v>1</v>
      </c>
      <c r="I186" s="65">
        <v>1955</v>
      </c>
      <c r="J186" s="349">
        <v>4</v>
      </c>
      <c r="K186" s="346">
        <f t="shared" si="41"/>
        <v>5</v>
      </c>
      <c r="L186" s="346">
        <v>1</v>
      </c>
      <c r="M186" s="349">
        <v>6</v>
      </c>
      <c r="N186" s="255">
        <f t="shared" si="39"/>
        <v>-1</v>
      </c>
      <c r="O186" s="310">
        <v>94</v>
      </c>
      <c r="P186" s="66">
        <v>18</v>
      </c>
      <c r="Q186" s="66"/>
      <c r="R186" s="66">
        <v>14</v>
      </c>
      <c r="S186" s="66">
        <v>38</v>
      </c>
      <c r="T186" s="66">
        <v>41</v>
      </c>
      <c r="U186" s="66">
        <v>1</v>
      </c>
      <c r="V186" s="66">
        <v>0</v>
      </c>
      <c r="W186" s="54">
        <v>0</v>
      </c>
      <c r="X186" s="55">
        <f>SUMIFS(Таблица3[Кол-во квартир],Таблица3[Адрес МКД],$D186)</f>
        <v>77</v>
      </c>
      <c r="Y186" s="56">
        <f t="shared" si="44"/>
        <v>9484.0299999999988</v>
      </c>
      <c r="Z186" s="253">
        <f>SUMIFS(Таблица3[Площадь жилая],Таблица3[Адрес МКД],$D186)</f>
        <v>4989.3</v>
      </c>
      <c r="AA186" s="261">
        <f>SUMIFS(Таблица3[Площадь нежилых помещений],Таблица3[Адрес МКД],$D186)</f>
        <v>1527.8</v>
      </c>
      <c r="AB186" s="252">
        <f>SUMIFS(Таблица1[1],Таблица1[2],$D186)</f>
        <v>1631.1999999999998</v>
      </c>
      <c r="AC186" s="57">
        <f t="shared" si="35"/>
        <v>1620.2999999999997</v>
      </c>
      <c r="AD186" s="57">
        <f t="shared" si="36"/>
        <v>10.9</v>
      </c>
      <c r="AE186" s="58">
        <f>SUMIFS(Таблица1[8],Таблица1[2],$D186)+SUMIFS(Таблица1[18],Таблица1[2],$D186)</f>
        <v>1183.4999999999998</v>
      </c>
      <c r="AF186" s="58">
        <f>SUMIFS(Таблица1[9],Таблица1[2],$D186)+SUMIFS(Таблица1[19],Таблица1[2],$D186)</f>
        <v>0</v>
      </c>
      <c r="AG186" s="59">
        <f t="shared" si="37"/>
        <v>2863.5299999999997</v>
      </c>
      <c r="AH186" s="59">
        <f t="shared" si="38"/>
        <v>2874.43</v>
      </c>
      <c r="AI186" s="60">
        <f>602.8-AM186</f>
        <v>602.79999999999995</v>
      </c>
      <c r="AJ186" s="60">
        <f t="shared" si="31"/>
        <v>166</v>
      </c>
      <c r="AK186" s="60">
        <f>SUMIFS(Таблица1[10],Таблица1[2],$D186)</f>
        <v>436.79999999999995</v>
      </c>
      <c r="AL186" s="60">
        <f>SUMIFS(Таблица1[11],Таблица1[2],$D186)</f>
        <v>0</v>
      </c>
      <c r="AM186" s="251">
        <v>0</v>
      </c>
      <c r="AN186" s="249">
        <f t="shared" si="32"/>
        <v>0</v>
      </c>
      <c r="AO186" s="249">
        <f>SUMIFS(Таблица1[12],Таблица1[2],$D186)</f>
        <v>0</v>
      </c>
      <c r="AP186" s="249">
        <f>SUMIFS(Таблица1[13],Таблица1[2],$D186)</f>
        <v>0</v>
      </c>
      <c r="AQ186" s="61">
        <f>634.6</f>
        <v>634.6</v>
      </c>
      <c r="AR186" s="61">
        <f t="shared" si="33"/>
        <v>623.70000000000005</v>
      </c>
      <c r="AS186" s="60">
        <f>SUMIFS(Таблица1[14],Таблица1[2],$D186)</f>
        <v>0</v>
      </c>
      <c r="AT186" s="60">
        <f>SUMIFS(Таблица1[15],Таблица1[2],$D186)</f>
        <v>10.9</v>
      </c>
      <c r="AU186" s="61">
        <v>2073.83</v>
      </c>
      <c r="AV186" s="61">
        <f t="shared" si="34"/>
        <v>2073.83</v>
      </c>
      <c r="AW186" s="60">
        <f>SUMIFS(Таблица1[16],Таблица1[2],$D186)</f>
        <v>0</v>
      </c>
      <c r="AX186" s="60">
        <f>SUMIFS(Таблица1[17],Таблица1[2],$D186)</f>
        <v>0</v>
      </c>
      <c r="AY186" s="263">
        <f>Нежилые!G1111</f>
        <v>92.5</v>
      </c>
      <c r="AZ186" s="264"/>
      <c r="BA186" s="296">
        <v>0</v>
      </c>
      <c r="BB186" s="296">
        <f t="shared" si="43"/>
        <v>0</v>
      </c>
      <c r="BC186" s="296">
        <v>0</v>
      </c>
      <c r="BD186" s="296">
        <v>0</v>
      </c>
      <c r="BE186" s="285"/>
      <c r="BF186" s="259">
        <f>3592+50</f>
        <v>3642</v>
      </c>
      <c r="BG186" s="260">
        <f>7127+20738+56</f>
        <v>27921</v>
      </c>
      <c r="BH186" s="62" t="s">
        <v>936</v>
      </c>
      <c r="BI186" s="62" t="s">
        <v>935</v>
      </c>
      <c r="BJ186" s="62" t="s">
        <v>1017</v>
      </c>
      <c r="BK186" s="267"/>
      <c r="BL186" s="267"/>
      <c r="BM186" s="267" t="s">
        <v>1649</v>
      </c>
      <c r="BN186" s="268"/>
      <c r="BO186" s="62">
        <v>35</v>
      </c>
      <c r="BP186" s="63">
        <v>44082</v>
      </c>
      <c r="BQ186" s="64" t="s">
        <v>1131</v>
      </c>
      <c r="BR186" s="372" t="s">
        <v>2747</v>
      </c>
      <c r="BS186" s="62"/>
      <c r="BT186" s="323"/>
      <c r="BU186" s="62"/>
      <c r="BV186" s="323"/>
      <c r="BW186" s="62"/>
      <c r="BX186" s="336">
        <v>53</v>
      </c>
      <c r="BY186" s="336"/>
    </row>
    <row r="187" spans="1:77" ht="13.15" customHeight="1" outlineLevel="1" x14ac:dyDescent="0.2">
      <c r="A187" s="50">
        <f t="shared" si="40"/>
        <v>182</v>
      </c>
      <c r="B187" s="51">
        <v>52</v>
      </c>
      <c r="C187" s="51">
        <v>69</v>
      </c>
      <c r="D187" s="18" t="s">
        <v>603</v>
      </c>
      <c r="E187" s="18">
        <v>12</v>
      </c>
      <c r="F187" s="18">
        <v>4</v>
      </c>
      <c r="G187" s="52">
        <v>1</v>
      </c>
      <c r="H187" s="237">
        <v>1</v>
      </c>
      <c r="I187" s="65">
        <v>1955</v>
      </c>
      <c r="J187" s="349">
        <v>4</v>
      </c>
      <c r="K187" s="346">
        <f t="shared" si="41"/>
        <v>5</v>
      </c>
      <c r="L187" s="346">
        <v>1</v>
      </c>
      <c r="M187" s="349">
        <v>3</v>
      </c>
      <c r="N187" s="255">
        <f t="shared" si="39"/>
        <v>0</v>
      </c>
      <c r="O187" s="310">
        <v>40</v>
      </c>
      <c r="P187" s="66">
        <v>0</v>
      </c>
      <c r="Q187" s="66"/>
      <c r="R187" s="66">
        <v>2</v>
      </c>
      <c r="S187" s="66">
        <v>22</v>
      </c>
      <c r="T187" s="66">
        <v>16</v>
      </c>
      <c r="U187" s="66">
        <v>0</v>
      </c>
      <c r="V187" s="66">
        <v>0</v>
      </c>
      <c r="W187" s="54">
        <v>0</v>
      </c>
      <c r="X187" s="55">
        <f>SUMIFS(Таблица3[Кол-во квартир],Таблица3[Адрес МКД],$D187)</f>
        <v>40</v>
      </c>
      <c r="Y187" s="56">
        <f t="shared" si="44"/>
        <v>4133.2000000000007</v>
      </c>
      <c r="Z187" s="253">
        <f>SUMIFS(Таблица3[Площадь жилая],Таблица3[Адрес МКД],$D187)</f>
        <v>2520.1600000000003</v>
      </c>
      <c r="AA187" s="261">
        <f>SUMIFS(Таблица3[Площадь нежилых помещений],Таблица3[Адрес МКД],$D187)</f>
        <v>385.6</v>
      </c>
      <c r="AB187" s="252">
        <f>SUMIFS(Таблица1[1],Таблица1[2],$D187)</f>
        <v>381</v>
      </c>
      <c r="AC187" s="57">
        <f t="shared" si="35"/>
        <v>342.9</v>
      </c>
      <c r="AD187" s="57">
        <f t="shared" si="36"/>
        <v>38.1</v>
      </c>
      <c r="AE187" s="58">
        <f>SUMIFS(Таблица1[8],Таблица1[2],$D187)+SUMIFS(Таблица1[18],Таблица1[2],$D187)</f>
        <v>181.89999999999998</v>
      </c>
      <c r="AF187" s="58">
        <f>SUMIFS(Таблица1[9],Таблица1[2],$D187)+SUMIFS(Таблица1[19],Таблица1[2],$D187)</f>
        <v>38.1</v>
      </c>
      <c r="AG187" s="59">
        <f t="shared" si="37"/>
        <v>1236.44</v>
      </c>
      <c r="AH187" s="59">
        <f t="shared" si="38"/>
        <v>1236.44</v>
      </c>
      <c r="AI187" s="60">
        <f>302.3-AM187</f>
        <v>145.70000000000002</v>
      </c>
      <c r="AJ187" s="60">
        <f t="shared" si="31"/>
        <v>145.70000000000002</v>
      </c>
      <c r="AK187" s="60">
        <f>SUMIFS(Таблица1[10],Таблица1[2],$D187)</f>
        <v>0</v>
      </c>
      <c r="AL187" s="60">
        <f>SUMIFS(Таблица1[11],Таблица1[2],$D187)</f>
        <v>0</v>
      </c>
      <c r="AM187" s="251">
        <f>203.7-47.1</f>
        <v>156.6</v>
      </c>
      <c r="AN187" s="249">
        <f t="shared" si="32"/>
        <v>-4.4000000000000057</v>
      </c>
      <c r="AO187" s="249">
        <f>SUMIFS(Таблица1[12],Таблица1[2],$D187)</f>
        <v>161</v>
      </c>
      <c r="AP187" s="249">
        <f>SUMIFS(Таблица1[13],Таблица1[2],$D187)</f>
        <v>0</v>
      </c>
      <c r="AQ187" s="61">
        <v>321.5</v>
      </c>
      <c r="AR187" s="61">
        <f t="shared" si="33"/>
        <v>321.5</v>
      </c>
      <c r="AS187" s="60">
        <f>SUMIFS(Таблица1[14],Таблица1[2],$D187)</f>
        <v>0</v>
      </c>
      <c r="AT187" s="60">
        <f>SUMIFS(Таблица1[15],Таблица1[2],$D187)</f>
        <v>0</v>
      </c>
      <c r="AU187" s="61">
        <v>769.24</v>
      </c>
      <c r="AV187" s="61">
        <f t="shared" si="34"/>
        <v>769.24</v>
      </c>
      <c r="AW187" s="60">
        <f>SUMIFS(Таблица1[16],Таблица1[2],$D187)</f>
        <v>0</v>
      </c>
      <c r="AX187" s="60">
        <f>SUMIFS(Таблица1[17],Таблица1[2],$D187)</f>
        <v>0</v>
      </c>
      <c r="AY187" s="263"/>
      <c r="AZ187" s="264"/>
      <c r="BA187" s="296">
        <v>0</v>
      </c>
      <c r="BB187" s="296">
        <f>BA187-BC187-BD187</f>
        <v>0</v>
      </c>
      <c r="BC187" s="296">
        <v>0</v>
      </c>
      <c r="BD187" s="296">
        <v>0</v>
      </c>
      <c r="BE187" s="285"/>
      <c r="BF187" s="259">
        <v>1440</v>
      </c>
      <c r="BG187" s="260">
        <f>12216+123+32</f>
        <v>12371</v>
      </c>
      <c r="BH187" s="62" t="s">
        <v>936</v>
      </c>
      <c r="BI187" s="62" t="s">
        <v>935</v>
      </c>
      <c r="BJ187" s="62"/>
      <c r="BK187" s="267"/>
      <c r="BL187" s="267"/>
      <c r="BM187" s="267" t="s">
        <v>1649</v>
      </c>
      <c r="BN187" s="268"/>
      <c r="BO187" s="62">
        <v>33</v>
      </c>
      <c r="BP187" s="63">
        <v>44082</v>
      </c>
      <c r="BQ187" s="64" t="s">
        <v>1131</v>
      </c>
      <c r="BR187" s="372" t="s">
        <v>2747</v>
      </c>
      <c r="BS187" s="62"/>
      <c r="BT187" s="323"/>
      <c r="BU187" s="62"/>
      <c r="BV187" s="323"/>
      <c r="BW187" s="62"/>
      <c r="BX187" s="336"/>
      <c r="BY187" s="336"/>
    </row>
    <row r="188" spans="1:77" ht="13.15" hidden="1" customHeight="1" outlineLevel="1" x14ac:dyDescent="0.2">
      <c r="A188" s="50">
        <f t="shared" si="40"/>
        <v>183</v>
      </c>
      <c r="B188" s="51">
        <v>41</v>
      </c>
      <c r="C188" s="51">
        <v>27</v>
      </c>
      <c r="D188" s="18" t="s">
        <v>705</v>
      </c>
      <c r="E188" s="18">
        <v>16</v>
      </c>
      <c r="F188" s="18">
        <v>3</v>
      </c>
      <c r="G188" s="52">
        <v>1</v>
      </c>
      <c r="H188" s="237">
        <v>1</v>
      </c>
      <c r="I188" s="65">
        <v>1959</v>
      </c>
      <c r="J188" s="349">
        <v>5</v>
      </c>
      <c r="K188" s="346">
        <f t="shared" si="41"/>
        <v>6</v>
      </c>
      <c r="L188" s="346">
        <v>1</v>
      </c>
      <c r="M188" s="349">
        <v>4</v>
      </c>
      <c r="N188" s="255">
        <f t="shared" si="39"/>
        <v>0</v>
      </c>
      <c r="O188" s="310">
        <v>60</v>
      </c>
      <c r="P188" s="66">
        <v>7</v>
      </c>
      <c r="Q188" s="66"/>
      <c r="R188" s="66">
        <v>20</v>
      </c>
      <c r="S188" s="66">
        <v>20</v>
      </c>
      <c r="T188" s="66">
        <v>20</v>
      </c>
      <c r="U188" s="66">
        <v>0</v>
      </c>
      <c r="V188" s="66">
        <v>0</v>
      </c>
      <c r="W188" s="54">
        <v>0</v>
      </c>
      <c r="X188" s="55">
        <f>SUMIFS(Таблица3[Кол-во квартир],Таблица3[Адрес МКД],$D188)</f>
        <v>53</v>
      </c>
      <c r="Y188" s="56">
        <f>Z188+AB188+AG188+AM188</f>
        <v>5194.3999999999996</v>
      </c>
      <c r="Z188" s="253">
        <f>SUMIFS(Таблица3[Площадь жилая],Таблица3[Адрес МКД],$D188)</f>
        <v>2856.1</v>
      </c>
      <c r="AA188" s="261">
        <f>SUMIFS(Таблица3[Площадь нежилых помещений],Таблица3[Адрес МКД],$D188)</f>
        <v>457.6</v>
      </c>
      <c r="AB188" s="252">
        <f>SUMIFS(Таблица1[1],Таблица1[2],$D188)</f>
        <v>802.30000000000007</v>
      </c>
      <c r="AC188" s="57">
        <f t="shared" si="35"/>
        <v>543.30000000000007</v>
      </c>
      <c r="AD188" s="57">
        <f t="shared" si="36"/>
        <v>259</v>
      </c>
      <c r="AE188" s="58">
        <f>SUMIFS(Таблица1[8],Таблица1[2],$D188)+SUMIFS(Таблица1[18],Таблица1[2],$D188)</f>
        <v>457.6</v>
      </c>
      <c r="AF188" s="58">
        <f>SUMIFS(Таблица1[9],Таблица1[2],$D188)+SUMIFS(Таблица1[19],Таблица1[2],$D188)</f>
        <v>39</v>
      </c>
      <c r="AG188" s="59">
        <f t="shared" si="37"/>
        <v>1536</v>
      </c>
      <c r="AH188" s="59">
        <f t="shared" si="38"/>
        <v>1756</v>
      </c>
      <c r="AI188" s="60">
        <f>660.1-AM188</f>
        <v>660.1</v>
      </c>
      <c r="AJ188" s="60">
        <f t="shared" si="31"/>
        <v>354.4</v>
      </c>
      <c r="AK188" s="60">
        <f>SUMIFS(Таблица1[10],Таблица1[2],$D188)</f>
        <v>85.7</v>
      </c>
      <c r="AL188" s="60">
        <f>SUMIFS(Таблица1[11],Таблица1[2],$D188)</f>
        <v>220</v>
      </c>
      <c r="AM188" s="251">
        <v>0</v>
      </c>
      <c r="AN188" s="249">
        <f t="shared" si="32"/>
        <v>0</v>
      </c>
      <c r="AO188" s="249">
        <f>SUMIFS(Таблица1[12],Таблица1[2],$D188)</f>
        <v>0</v>
      </c>
      <c r="AP188" s="249">
        <f>SUMIFS(Таблица1[13],Таблица1[2],$D188)</f>
        <v>0</v>
      </c>
      <c r="AQ188" s="61">
        <v>352</v>
      </c>
      <c r="AR188" s="61">
        <f t="shared" si="33"/>
        <v>352</v>
      </c>
      <c r="AS188" s="60">
        <f>SUMIFS(Таблица1[14],Таблица1[2],$D188)</f>
        <v>0</v>
      </c>
      <c r="AT188" s="60">
        <f>SUMIFS(Таблица1[15],Таблица1[2],$D188)</f>
        <v>0</v>
      </c>
      <c r="AU188" s="61">
        <v>829.6</v>
      </c>
      <c r="AV188" s="61">
        <f t="shared" si="34"/>
        <v>829.6</v>
      </c>
      <c r="AW188" s="60">
        <f>SUMIFS(Таблица1[16],Таблица1[2],$D188)</f>
        <v>0</v>
      </c>
      <c r="AX188" s="60">
        <f>SUMIFS(Таблица1[17],Таблица1[2],$D188)</f>
        <v>0</v>
      </c>
      <c r="AY188" s="263">
        <f>Нежилые!K1148</f>
        <v>85.7</v>
      </c>
      <c r="AZ188" s="264"/>
      <c r="BA188" s="296">
        <v>0</v>
      </c>
      <c r="BB188" s="296">
        <f t="shared" si="43"/>
        <v>0</v>
      </c>
      <c r="BC188" s="296">
        <v>0</v>
      </c>
      <c r="BD188" s="296">
        <v>0</v>
      </c>
      <c r="BE188" s="285"/>
      <c r="BF188" s="259">
        <f>2317+29</f>
        <v>2346</v>
      </c>
      <c r="BG188" s="260">
        <v>14820</v>
      </c>
      <c r="BH188" s="62" t="s">
        <v>943</v>
      </c>
      <c r="BI188" s="62" t="s">
        <v>935</v>
      </c>
      <c r="BJ188" s="62"/>
      <c r="BK188" s="267"/>
      <c r="BL188" s="267"/>
      <c r="BM188" s="267" t="s">
        <v>1649</v>
      </c>
      <c r="BN188" s="268"/>
      <c r="BO188" s="62">
        <v>16</v>
      </c>
      <c r="BP188" s="63">
        <v>29171</v>
      </c>
      <c r="BQ188" s="64" t="s">
        <v>1131</v>
      </c>
      <c r="BR188" s="372" t="s">
        <v>2747</v>
      </c>
      <c r="BS188" s="62">
        <v>14</v>
      </c>
      <c r="BT188" s="323">
        <v>32</v>
      </c>
      <c r="BU188" s="62">
        <v>224</v>
      </c>
      <c r="BV188" s="323" t="s">
        <v>2085</v>
      </c>
      <c r="BW188" s="62">
        <v>64</v>
      </c>
      <c r="BX188" s="336"/>
      <c r="BY188" s="336"/>
    </row>
    <row r="189" spans="1:77" ht="13.15" hidden="1" customHeight="1" outlineLevel="1" x14ac:dyDescent="0.2">
      <c r="A189" s="50">
        <f t="shared" si="40"/>
        <v>184</v>
      </c>
      <c r="B189" s="51">
        <v>2</v>
      </c>
      <c r="C189" s="51">
        <v>28</v>
      </c>
      <c r="D189" s="18" t="s">
        <v>622</v>
      </c>
      <c r="E189" s="18">
        <v>14</v>
      </c>
      <c r="F189" s="18">
        <v>3</v>
      </c>
      <c r="G189" s="52">
        <v>1</v>
      </c>
      <c r="H189" s="237">
        <v>1</v>
      </c>
      <c r="I189" s="65">
        <v>1957</v>
      </c>
      <c r="J189" s="349">
        <v>4</v>
      </c>
      <c r="K189" s="346">
        <f t="shared" si="41"/>
        <v>5</v>
      </c>
      <c r="L189" s="346">
        <v>1</v>
      </c>
      <c r="M189" s="349">
        <v>4</v>
      </c>
      <c r="N189" s="255">
        <f t="shared" si="39"/>
        <v>4</v>
      </c>
      <c r="O189" s="310">
        <v>56</v>
      </c>
      <c r="P189" s="66">
        <v>0</v>
      </c>
      <c r="Q189" s="66"/>
      <c r="R189" s="66">
        <v>1</v>
      </c>
      <c r="S189" s="66">
        <v>36</v>
      </c>
      <c r="T189" s="66">
        <v>19</v>
      </c>
      <c r="U189" s="66">
        <v>0</v>
      </c>
      <c r="V189" s="66">
        <v>0</v>
      </c>
      <c r="W189" s="54">
        <v>0</v>
      </c>
      <c r="X189" s="55">
        <f>SUMIFS(Таблица3[Кол-во квартир],Таблица3[Адрес МКД],$D189)</f>
        <v>52</v>
      </c>
      <c r="Y189" s="56">
        <f t="shared" ref="Y189:Y220" si="45">Z189+AB189+AG189+AN189</f>
        <v>5596.2</v>
      </c>
      <c r="Z189" s="253">
        <f>SUMIFS(Таблица3[Площадь жилая],Таблица3[Адрес МКД],$D189)</f>
        <v>3529.3</v>
      </c>
      <c r="AA189" s="261">
        <f>SUMIFS(Таблица3[Площадь нежилых помещений],Таблица3[Адрес МКД],$D189)</f>
        <v>369.2</v>
      </c>
      <c r="AB189" s="252">
        <f>SUMIFS(Таблица1[1],Таблица1[2],$D189)</f>
        <v>389.2</v>
      </c>
      <c r="AC189" s="57">
        <f t="shared" si="35"/>
        <v>369.2</v>
      </c>
      <c r="AD189" s="57">
        <f t="shared" si="36"/>
        <v>20</v>
      </c>
      <c r="AE189" s="58">
        <f>SUMIFS(Таблица1[8],Таблица1[2],$D189)+SUMIFS(Таблица1[18],Таблица1[2],$D189)</f>
        <v>179.1</v>
      </c>
      <c r="AF189" s="58">
        <f>SUMIFS(Таблица1[9],Таблица1[2],$D189)+SUMIFS(Таблица1[19],Таблица1[2],$D189)</f>
        <v>0</v>
      </c>
      <c r="AG189" s="59">
        <f>AJ189+AR189+AV189+AZ189+BB189</f>
        <v>1677.7</v>
      </c>
      <c r="AH189" s="59">
        <f>AJ189+AL189+AR189+AT189+AV189+AX189+BB189+BD189</f>
        <v>1697.7</v>
      </c>
      <c r="AI189" s="60">
        <f>305.1-AM189</f>
        <v>115.00000000000003</v>
      </c>
      <c r="AJ189" s="60">
        <f t="shared" si="31"/>
        <v>95.000000000000028</v>
      </c>
      <c r="AK189" s="60">
        <f>SUMIFS(Таблица1[10],Таблица1[2],$D189)</f>
        <v>0</v>
      </c>
      <c r="AL189" s="60">
        <f>SUMIFS(Таблица1[11],Таблица1[2],$D189)</f>
        <v>20</v>
      </c>
      <c r="AM189" s="251">
        <f>190.1</f>
        <v>190.1</v>
      </c>
      <c r="AN189" s="249">
        <f t="shared" si="32"/>
        <v>0</v>
      </c>
      <c r="AO189" s="249">
        <f>SUMIFS(Таблица1[12],Таблица1[2],$D189)</f>
        <v>190.1</v>
      </c>
      <c r="AP189" s="249">
        <f>SUMIFS(Таблица1[13],Таблица1[2],$D189)</f>
        <v>0</v>
      </c>
      <c r="AQ189" s="61">
        <v>391.5</v>
      </c>
      <c r="AR189" s="61">
        <f t="shared" si="33"/>
        <v>391.5</v>
      </c>
      <c r="AS189" s="60">
        <f>SUMIFS(Таблица1[14],Таблица1[2],$D189)</f>
        <v>0</v>
      </c>
      <c r="AT189" s="60">
        <f>SUMIFS(Таблица1[15],Таблица1[2],$D189)</f>
        <v>0</v>
      </c>
      <c r="AU189" s="61">
        <v>1191.2</v>
      </c>
      <c r="AV189" s="61">
        <f t="shared" si="34"/>
        <v>1191.2</v>
      </c>
      <c r="AW189" s="60">
        <f>SUMIFS(Таблица1[16],Таблица1[2],$D189)</f>
        <v>0</v>
      </c>
      <c r="AX189" s="60">
        <f>SUMIFS(Таблица1[17],Таблица1[2],$D189)</f>
        <v>0</v>
      </c>
      <c r="AY189" s="263"/>
      <c r="AZ189" s="264"/>
      <c r="BA189" s="296">
        <v>29.1</v>
      </c>
      <c r="BB189" s="296">
        <f t="shared" si="43"/>
        <v>0</v>
      </c>
      <c r="BC189" s="296">
        <f>Нежилые!I948</f>
        <v>29.1</v>
      </c>
      <c r="BD189" s="296">
        <v>0</v>
      </c>
      <c r="BE189" s="285"/>
      <c r="BF189" s="259">
        <v>1728</v>
      </c>
      <c r="BG189" s="260">
        <f>17903+74</f>
        <v>17977</v>
      </c>
      <c r="BH189" s="62" t="s">
        <v>936</v>
      </c>
      <c r="BI189" s="62" t="s">
        <v>935</v>
      </c>
      <c r="BJ189" s="62"/>
      <c r="BK189" s="267"/>
      <c r="BL189" s="267"/>
      <c r="BM189" s="267" t="s">
        <v>1649</v>
      </c>
      <c r="BN189" s="268"/>
      <c r="BO189" s="62">
        <v>21</v>
      </c>
      <c r="BP189" s="63">
        <v>30467</v>
      </c>
      <c r="BQ189" s="64" t="s">
        <v>1131</v>
      </c>
      <c r="BR189" s="372" t="s">
        <v>2747</v>
      </c>
      <c r="BS189" s="62"/>
      <c r="BT189" s="323"/>
      <c r="BU189" s="62"/>
      <c r="BV189" s="323"/>
      <c r="BW189" s="62"/>
      <c r="BX189" s="336"/>
      <c r="BY189" s="336"/>
    </row>
    <row r="190" spans="1:77" ht="13.15" hidden="1" customHeight="1" outlineLevel="1" x14ac:dyDescent="0.2">
      <c r="A190" s="50">
        <f t="shared" si="40"/>
        <v>185</v>
      </c>
      <c r="B190" s="51">
        <v>42</v>
      </c>
      <c r="C190" s="51">
        <v>70</v>
      </c>
      <c r="D190" s="18" t="s">
        <v>677</v>
      </c>
      <c r="E190" s="18">
        <v>16</v>
      </c>
      <c r="F190" s="18">
        <v>4</v>
      </c>
      <c r="G190" s="52">
        <v>1</v>
      </c>
      <c r="H190" s="237">
        <v>1</v>
      </c>
      <c r="I190" s="65">
        <v>1957</v>
      </c>
      <c r="J190" s="349">
        <v>5</v>
      </c>
      <c r="K190" s="346">
        <f t="shared" si="41"/>
        <v>6</v>
      </c>
      <c r="L190" s="346">
        <v>1</v>
      </c>
      <c r="M190" s="349">
        <v>4</v>
      </c>
      <c r="N190" s="255">
        <f t="shared" si="39"/>
        <v>1</v>
      </c>
      <c r="O190" s="310">
        <v>39</v>
      </c>
      <c r="P190" s="66">
        <v>7</v>
      </c>
      <c r="Q190" s="66"/>
      <c r="R190" s="66">
        <v>0</v>
      </c>
      <c r="S190" s="66">
        <v>18</v>
      </c>
      <c r="T190" s="66">
        <v>20</v>
      </c>
      <c r="U190" s="66">
        <v>1</v>
      </c>
      <c r="V190" s="66">
        <v>0</v>
      </c>
      <c r="W190" s="54">
        <v>0</v>
      </c>
      <c r="X190" s="55">
        <f>SUMIFS(Таблица3[Кол-во квартир],Таблица3[Адрес МКД],$D190)</f>
        <v>31</v>
      </c>
      <c r="Y190" s="56">
        <f t="shared" si="45"/>
        <v>4201.2</v>
      </c>
      <c r="Z190" s="253">
        <f>SUMIFS(Таблица3[Площадь жилая],Таблица3[Адрес МКД],$D190)</f>
        <v>2106.1</v>
      </c>
      <c r="AA190" s="261">
        <f>SUMIFS(Таблица3[Площадь нежилых помещений],Таблица3[Адрес МКД],$D190)</f>
        <v>517.5</v>
      </c>
      <c r="AB190" s="252">
        <f>SUMIFS(Таблица1[1],Таблица1[2],$D190)</f>
        <v>602.09999999999991</v>
      </c>
      <c r="AC190" s="57">
        <f t="shared" si="35"/>
        <v>602.1</v>
      </c>
      <c r="AD190" s="57">
        <f t="shared" si="36"/>
        <v>0</v>
      </c>
      <c r="AE190" s="58">
        <f>SUMIFS(Таблица1[8],Таблица1[2],$D190)+SUMIFS(Таблица1[18],Таблица1[2],$D190)</f>
        <v>517.5</v>
      </c>
      <c r="AF190" s="58">
        <f>SUMIFS(Таблица1[9],Таблица1[2],$D190)+SUMIFS(Таблица1[19],Таблица1[2],$D190)</f>
        <v>0</v>
      </c>
      <c r="AG190" s="59">
        <f t="shared" si="37"/>
        <v>1493</v>
      </c>
      <c r="AH190" s="59">
        <f t="shared" si="38"/>
        <v>1493</v>
      </c>
      <c r="AI190" s="60">
        <f>545.6-AM190</f>
        <v>545.6</v>
      </c>
      <c r="AJ190" s="60">
        <f t="shared" si="31"/>
        <v>461</v>
      </c>
      <c r="AK190" s="60">
        <f>SUMIFS(Таблица1[10],Таблица1[2],$D190)</f>
        <v>84.6</v>
      </c>
      <c r="AL190" s="60">
        <f>SUMIFS(Таблица1[11],Таблица1[2],$D190)</f>
        <v>0</v>
      </c>
      <c r="AM190" s="251">
        <v>0</v>
      </c>
      <c r="AN190" s="249">
        <f t="shared" si="32"/>
        <v>0</v>
      </c>
      <c r="AO190" s="249">
        <f>SUMIFS(Таблица1[12],Таблица1[2],$D190)</f>
        <v>0</v>
      </c>
      <c r="AP190" s="249">
        <f>SUMIFS(Таблица1[13],Таблица1[2],$D190)</f>
        <v>0</v>
      </c>
      <c r="AQ190" s="61">
        <v>378</v>
      </c>
      <c r="AR190" s="61">
        <f t="shared" si="33"/>
        <v>378</v>
      </c>
      <c r="AS190" s="60">
        <f>SUMIFS(Таблица1[14],Таблица1[2],$D190)</f>
        <v>0</v>
      </c>
      <c r="AT190" s="60">
        <f>SUMIFS(Таблица1[15],Таблица1[2],$D190)</f>
        <v>0</v>
      </c>
      <c r="AU190" s="61">
        <v>654</v>
      </c>
      <c r="AV190" s="61">
        <f t="shared" si="34"/>
        <v>654</v>
      </c>
      <c r="AW190" s="60">
        <f>SUMIFS(Таблица1[16],Таблица1[2],$D190)</f>
        <v>0</v>
      </c>
      <c r="AX190" s="60">
        <f>SUMIFS(Таблица1[17],Таблица1[2],$D190)</f>
        <v>0</v>
      </c>
      <c r="AY190" s="263">
        <f>Нежилые!G1150</f>
        <v>84.6</v>
      </c>
      <c r="AZ190" s="264"/>
      <c r="BA190" s="296">
        <v>0</v>
      </c>
      <c r="BB190" s="296">
        <f t="shared" si="43"/>
        <v>0</v>
      </c>
      <c r="BC190" s="296">
        <v>0</v>
      </c>
      <c r="BD190" s="296">
        <v>0</v>
      </c>
      <c r="BE190" s="285"/>
      <c r="BF190" s="259">
        <v>1935</v>
      </c>
      <c r="BG190" s="260">
        <v>12106</v>
      </c>
      <c r="BH190" s="62" t="s">
        <v>936</v>
      </c>
      <c r="BI190" s="62" t="s">
        <v>935</v>
      </c>
      <c r="BJ190" s="62"/>
      <c r="BK190" s="267"/>
      <c r="BL190" s="267"/>
      <c r="BM190" s="267" t="s">
        <v>1649</v>
      </c>
      <c r="BN190" s="268"/>
      <c r="BO190" s="62">
        <v>14</v>
      </c>
      <c r="BP190" s="63">
        <v>28906</v>
      </c>
      <c r="BQ190" s="64" t="s">
        <v>1131</v>
      </c>
      <c r="BR190" s="372" t="s">
        <v>2747</v>
      </c>
      <c r="BS190" s="62"/>
      <c r="BT190" s="323"/>
      <c r="BU190" s="62"/>
      <c r="BV190" s="323"/>
      <c r="BW190" s="62"/>
      <c r="BX190" s="336"/>
      <c r="BY190" s="336" t="s">
        <v>1649</v>
      </c>
    </row>
    <row r="191" spans="1:77" ht="13.15" hidden="1" customHeight="1" outlineLevel="1" x14ac:dyDescent="0.2">
      <c r="A191" s="50">
        <f t="shared" si="40"/>
        <v>186</v>
      </c>
      <c r="B191" s="51">
        <v>43</v>
      </c>
      <c r="C191" s="51">
        <v>71</v>
      </c>
      <c r="D191" s="18" t="s">
        <v>678</v>
      </c>
      <c r="E191" s="18">
        <v>16</v>
      </c>
      <c r="F191" s="18">
        <v>4</v>
      </c>
      <c r="G191" s="52">
        <v>1</v>
      </c>
      <c r="H191" s="237">
        <v>1</v>
      </c>
      <c r="I191" s="65">
        <v>1958</v>
      </c>
      <c r="J191" s="349">
        <v>5</v>
      </c>
      <c r="K191" s="346">
        <f t="shared" si="41"/>
        <v>6</v>
      </c>
      <c r="L191" s="346">
        <v>1</v>
      </c>
      <c r="M191" s="349">
        <v>4</v>
      </c>
      <c r="N191" s="255">
        <f t="shared" si="39"/>
        <v>0</v>
      </c>
      <c r="O191" s="310">
        <v>40</v>
      </c>
      <c r="P191" s="66">
        <v>0</v>
      </c>
      <c r="Q191" s="66"/>
      <c r="R191" s="66">
        <v>0</v>
      </c>
      <c r="S191" s="66">
        <v>20</v>
      </c>
      <c r="T191" s="66">
        <v>20</v>
      </c>
      <c r="U191" s="66">
        <v>0</v>
      </c>
      <c r="V191" s="66">
        <v>0</v>
      </c>
      <c r="W191" s="54">
        <v>0</v>
      </c>
      <c r="X191" s="55">
        <f>SUMIFS(Таблица3[Кол-во квартир],Таблица3[Адрес МКД],$D191)</f>
        <v>40</v>
      </c>
      <c r="Y191" s="56">
        <f t="shared" si="45"/>
        <v>4190</v>
      </c>
      <c r="Z191" s="253">
        <f>SUMIFS(Таблица3[Площадь жилая],Таблица3[Адрес МКД],$D191)</f>
        <v>2625.5</v>
      </c>
      <c r="AA191" s="261">
        <f>SUMIFS(Таблица3[Площадь нежилых помещений],Таблица3[Адрес МКД],$D191)</f>
        <v>0</v>
      </c>
      <c r="AB191" s="252">
        <f>SUMIFS(Таблица1[1],Таблица1[2],$D191)</f>
        <v>0</v>
      </c>
      <c r="AC191" s="57">
        <f t="shared" si="35"/>
        <v>0</v>
      </c>
      <c r="AD191" s="57">
        <f t="shared" si="36"/>
        <v>0</v>
      </c>
      <c r="AE191" s="58">
        <f>SUMIFS(Таблица1[8],Таблица1[2],$D191)+SUMIFS(Таблица1[18],Таблица1[2],$D191)</f>
        <v>0</v>
      </c>
      <c r="AF191" s="58">
        <f>SUMIFS(Таблица1[9],Таблица1[2],$D191)+SUMIFS(Таблица1[19],Таблица1[2],$D191)</f>
        <v>0</v>
      </c>
      <c r="AG191" s="59">
        <f t="shared" si="37"/>
        <v>1564.5</v>
      </c>
      <c r="AH191" s="59">
        <f t="shared" si="38"/>
        <v>1564.5</v>
      </c>
      <c r="AI191" s="60">
        <f>536-AM191</f>
        <v>536</v>
      </c>
      <c r="AJ191" s="60">
        <f t="shared" si="31"/>
        <v>536</v>
      </c>
      <c r="AK191" s="60">
        <f>SUMIFS(Таблица1[10],Таблица1[2],$D191)</f>
        <v>0</v>
      </c>
      <c r="AL191" s="60">
        <f>SUMIFS(Таблица1[11],Таблица1[2],$D191)</f>
        <v>0</v>
      </c>
      <c r="AM191" s="251">
        <v>0</v>
      </c>
      <c r="AN191" s="249">
        <f t="shared" si="32"/>
        <v>0</v>
      </c>
      <c r="AO191" s="249">
        <f>SUMIFS(Таблица1[12],Таблица1[2],$D191)</f>
        <v>0</v>
      </c>
      <c r="AP191" s="249">
        <f>SUMIFS(Таблица1[13],Таблица1[2],$D191)</f>
        <v>0</v>
      </c>
      <c r="AQ191" s="61">
        <v>373</v>
      </c>
      <c r="AR191" s="61">
        <f t="shared" si="33"/>
        <v>373</v>
      </c>
      <c r="AS191" s="60">
        <f>SUMIFS(Таблица1[14],Таблица1[2],$D191)</f>
        <v>0</v>
      </c>
      <c r="AT191" s="60">
        <f>SUMIFS(Таблица1[15],Таблица1[2],$D191)</f>
        <v>0</v>
      </c>
      <c r="AU191" s="61">
        <v>655.5</v>
      </c>
      <c r="AV191" s="61">
        <f t="shared" si="34"/>
        <v>655.5</v>
      </c>
      <c r="AW191" s="60">
        <f>SUMIFS(Таблица1[16],Таблица1[2],$D191)</f>
        <v>0</v>
      </c>
      <c r="AX191" s="60">
        <f>SUMIFS(Таблица1[17],Таблица1[2],$D191)</f>
        <v>0</v>
      </c>
      <c r="AY191" s="263"/>
      <c r="AZ191" s="264"/>
      <c r="BA191" s="296">
        <v>0</v>
      </c>
      <c r="BB191" s="296">
        <f t="shared" si="43"/>
        <v>0</v>
      </c>
      <c r="BC191" s="296">
        <v>0</v>
      </c>
      <c r="BD191" s="296">
        <v>0</v>
      </c>
      <c r="BE191" s="285"/>
      <c r="BF191" s="259">
        <v>1905</v>
      </c>
      <c r="BG191" s="260">
        <v>12128</v>
      </c>
      <c r="BH191" s="62" t="s">
        <v>936</v>
      </c>
      <c r="BI191" s="62" t="s">
        <v>935</v>
      </c>
      <c r="BJ191" s="62"/>
      <c r="BK191" s="267"/>
      <c r="BL191" s="267"/>
      <c r="BM191" s="267" t="s">
        <v>1649</v>
      </c>
      <c r="BN191" s="268"/>
      <c r="BO191" s="62">
        <v>14</v>
      </c>
      <c r="BP191" s="63">
        <v>28906</v>
      </c>
      <c r="BQ191" s="64" t="s">
        <v>1131</v>
      </c>
      <c r="BR191" s="372" t="s">
        <v>2747</v>
      </c>
      <c r="BS191" s="62"/>
      <c r="BT191" s="323"/>
      <c r="BU191" s="62"/>
      <c r="BV191" s="323"/>
      <c r="BW191" s="62"/>
      <c r="BX191" s="336"/>
      <c r="BY191" s="336" t="s">
        <v>1649</v>
      </c>
    </row>
    <row r="192" spans="1:77" ht="13.15" customHeight="1" outlineLevel="1" x14ac:dyDescent="0.2">
      <c r="A192" s="50">
        <f t="shared" si="40"/>
        <v>187</v>
      </c>
      <c r="B192" s="51">
        <v>53</v>
      </c>
      <c r="C192" s="51">
        <v>72</v>
      </c>
      <c r="D192" s="18" t="s">
        <v>604</v>
      </c>
      <c r="E192" s="18">
        <v>12</v>
      </c>
      <c r="F192" s="18">
        <v>4</v>
      </c>
      <c r="G192" s="52">
        <v>1</v>
      </c>
      <c r="H192" s="237"/>
      <c r="I192" s="65">
        <v>1959</v>
      </c>
      <c r="J192" s="349">
        <v>4</v>
      </c>
      <c r="K192" s="346">
        <f t="shared" si="41"/>
        <v>5</v>
      </c>
      <c r="L192" s="346">
        <v>1</v>
      </c>
      <c r="M192" s="349">
        <v>2</v>
      </c>
      <c r="N192" s="255">
        <f t="shared" si="39"/>
        <v>0</v>
      </c>
      <c r="O192" s="310">
        <v>32</v>
      </c>
      <c r="P192" s="66">
        <v>6</v>
      </c>
      <c r="Q192" s="66"/>
      <c r="R192" s="66">
        <v>16</v>
      </c>
      <c r="S192" s="66">
        <v>8</v>
      </c>
      <c r="T192" s="66">
        <v>8</v>
      </c>
      <c r="U192" s="66">
        <v>0</v>
      </c>
      <c r="V192" s="66">
        <v>0</v>
      </c>
      <c r="W192" s="54">
        <v>0</v>
      </c>
      <c r="X192" s="55">
        <f>SUMIFS(Таблица3[Кол-во квартир],Таблица3[Адрес МКД],$D192)</f>
        <v>26</v>
      </c>
      <c r="Y192" s="56">
        <f t="shared" si="45"/>
        <v>2179.3900000000003</v>
      </c>
      <c r="Z192" s="253">
        <f>SUMIFS(Таблица3[Площадь жилая],Таблица3[Адрес МКД],$D192)</f>
        <v>1032.4000000000001</v>
      </c>
      <c r="AA192" s="261">
        <f>SUMIFS(Таблица3[Площадь нежилых помещений],Таблица3[Адрес МКД],$D192)</f>
        <v>355.4</v>
      </c>
      <c r="AB192" s="252">
        <f>SUMIFS(Таблица1[1],Таблица1[2],$D192)</f>
        <v>358.5</v>
      </c>
      <c r="AC192" s="57">
        <f t="shared" si="35"/>
        <v>358.5</v>
      </c>
      <c r="AD192" s="57">
        <f t="shared" si="36"/>
        <v>0</v>
      </c>
      <c r="AE192" s="58">
        <f>SUMIFS(Таблица1[8],Таблица1[2],$D192)+SUMIFS(Таблица1[18],Таблица1[2],$D192)</f>
        <v>358.5</v>
      </c>
      <c r="AF192" s="58">
        <f>SUMIFS(Таблица1[9],Таблица1[2],$D192)+SUMIFS(Таблица1[19],Таблица1[2],$D192)</f>
        <v>0</v>
      </c>
      <c r="AG192" s="59">
        <f t="shared" si="37"/>
        <v>788.49</v>
      </c>
      <c r="AH192" s="59">
        <f t="shared" si="38"/>
        <v>788.49</v>
      </c>
      <c r="AI192" s="60">
        <f>306-AM192</f>
        <v>306</v>
      </c>
      <c r="AJ192" s="60">
        <f t="shared" si="31"/>
        <v>306</v>
      </c>
      <c r="AK192" s="60">
        <f>SUMIFS(Таблица1[10],Таблица1[2],$D192)</f>
        <v>0</v>
      </c>
      <c r="AL192" s="60">
        <f>SUMIFS(Таблица1[11],Таблица1[2],$D192)</f>
        <v>0</v>
      </c>
      <c r="AM192" s="251">
        <v>0</v>
      </c>
      <c r="AN192" s="249">
        <f t="shared" si="32"/>
        <v>0</v>
      </c>
      <c r="AO192" s="249">
        <f>SUMIFS(Таблица1[12],Таблица1[2],$D192)</f>
        <v>0</v>
      </c>
      <c r="AP192" s="249">
        <f>SUMIFS(Таблица1[13],Таблица1[2],$D192)</f>
        <v>0</v>
      </c>
      <c r="AQ192" s="61">
        <v>95.9</v>
      </c>
      <c r="AR192" s="61">
        <f t="shared" si="33"/>
        <v>95.9</v>
      </c>
      <c r="AS192" s="60">
        <f>SUMIFS(Таблица1[14],Таблица1[2],$D192)</f>
        <v>0</v>
      </c>
      <c r="AT192" s="60">
        <f>SUMIFS(Таблица1[15],Таблица1[2],$D192)</f>
        <v>0</v>
      </c>
      <c r="AU192" s="61">
        <v>386.59</v>
      </c>
      <c r="AV192" s="61">
        <f t="shared" si="34"/>
        <v>386.59</v>
      </c>
      <c r="AW192" s="60">
        <f>SUMIFS(Таблица1[16],Таблица1[2],$D192)</f>
        <v>0</v>
      </c>
      <c r="AX192" s="60">
        <f>SUMIFS(Таблица1[17],Таблица1[2],$D192)</f>
        <v>0</v>
      </c>
      <c r="AY192" s="263"/>
      <c r="AZ192" s="264"/>
      <c r="BA192" s="296">
        <v>0</v>
      </c>
      <c r="BB192" s="296">
        <f t="shared" si="43"/>
        <v>0</v>
      </c>
      <c r="BC192" s="296">
        <v>0</v>
      </c>
      <c r="BD192" s="296">
        <v>0</v>
      </c>
      <c r="BE192" s="285"/>
      <c r="BF192" s="259">
        <v>1067</v>
      </c>
      <c r="BG192" s="260">
        <v>5305</v>
      </c>
      <c r="BH192" s="62" t="s">
        <v>936</v>
      </c>
      <c r="BI192" s="62" t="s">
        <v>935</v>
      </c>
      <c r="BJ192" s="62"/>
      <c r="BK192" s="267"/>
      <c r="BL192" s="267" t="s">
        <v>1649</v>
      </c>
      <c r="BM192" s="267"/>
      <c r="BN192" s="268"/>
      <c r="BO192" s="62">
        <v>27</v>
      </c>
      <c r="BP192" s="63">
        <v>32083</v>
      </c>
      <c r="BQ192" s="64" t="s">
        <v>1134</v>
      </c>
      <c r="BR192" s="372" t="s">
        <v>2747</v>
      </c>
      <c r="BS192" s="62"/>
      <c r="BT192" s="323"/>
      <c r="BU192" s="62"/>
      <c r="BV192" s="323"/>
      <c r="BW192" s="62"/>
      <c r="BX192" s="336"/>
      <c r="BY192" s="336" t="s">
        <v>58</v>
      </c>
    </row>
    <row r="193" spans="1:77" ht="13.15" hidden="1" customHeight="1" outlineLevel="1" x14ac:dyDescent="0.2">
      <c r="A193" s="50">
        <f t="shared" si="40"/>
        <v>188</v>
      </c>
      <c r="B193" s="51">
        <v>44</v>
      </c>
      <c r="C193" s="51">
        <v>73</v>
      </c>
      <c r="D193" s="18" t="s">
        <v>679</v>
      </c>
      <c r="E193" s="18">
        <v>16</v>
      </c>
      <c r="F193" s="18">
        <v>4</v>
      </c>
      <c r="G193" s="52">
        <v>1</v>
      </c>
      <c r="H193" s="237">
        <v>1</v>
      </c>
      <c r="I193" s="65">
        <v>1957</v>
      </c>
      <c r="J193" s="349">
        <v>5</v>
      </c>
      <c r="K193" s="346">
        <f t="shared" si="41"/>
        <v>6</v>
      </c>
      <c r="L193" s="346">
        <v>1</v>
      </c>
      <c r="M193" s="349">
        <v>4</v>
      </c>
      <c r="N193" s="255">
        <f t="shared" si="39"/>
        <v>0</v>
      </c>
      <c r="O193" s="328">
        <v>60</v>
      </c>
      <c r="P193" s="66">
        <v>11</v>
      </c>
      <c r="Q193" s="66"/>
      <c r="R193" s="327">
        <v>20</v>
      </c>
      <c r="S193" s="327">
        <v>20</v>
      </c>
      <c r="T193" s="327">
        <v>20</v>
      </c>
      <c r="U193" s="66">
        <v>0</v>
      </c>
      <c r="V193" s="66">
        <v>0</v>
      </c>
      <c r="W193" s="54">
        <v>0</v>
      </c>
      <c r="X193" s="55">
        <f>SUMIFS(Таблица3[Кол-во квартир],Таблица3[Адрес МКД],$D193)</f>
        <v>49</v>
      </c>
      <c r="Y193" s="56">
        <f t="shared" si="45"/>
        <v>5333.62</v>
      </c>
      <c r="Z193" s="253">
        <f>SUMIFS(Таблица3[Площадь жилая],Таблица3[Адрес МКД],$D193)</f>
        <v>2807.12</v>
      </c>
      <c r="AA193" s="261">
        <f>SUMIFS(Таблица3[Площадь нежилых помещений],Таблица3[Адрес МКД],$D193)</f>
        <v>746.5</v>
      </c>
      <c r="AB193" s="252">
        <f>SUMIFS(Таблица1[1],Таблица1[2],$D193)</f>
        <v>746.5</v>
      </c>
      <c r="AC193" s="57">
        <f t="shared" si="35"/>
        <v>746.5</v>
      </c>
      <c r="AD193" s="57">
        <f t="shared" si="36"/>
        <v>0</v>
      </c>
      <c r="AE193" s="58">
        <f>SUMIFS(Таблица1[8],Таблица1[2],$D193)+SUMIFS(Таблица1[18],Таблица1[2],$D193)</f>
        <v>605.20000000000005</v>
      </c>
      <c r="AF193" s="58">
        <f>SUMIFS(Таблица1[9],Таблица1[2],$D193)+SUMIFS(Таблица1[19],Таблица1[2],$D193)</f>
        <v>0</v>
      </c>
      <c r="AG193" s="59">
        <f t="shared" si="37"/>
        <v>1780</v>
      </c>
      <c r="AH193" s="59">
        <f t="shared" si="38"/>
        <v>1780</v>
      </c>
      <c r="AI193" s="60">
        <f>676.4-AM193</f>
        <v>676.4</v>
      </c>
      <c r="AJ193" s="60">
        <f t="shared" si="31"/>
        <v>535.09999999999991</v>
      </c>
      <c r="AK193" s="60">
        <f>SUMIFS(Таблица1[10],Таблица1[2],$D193)</f>
        <v>141.30000000000001</v>
      </c>
      <c r="AL193" s="60">
        <f>SUMIFS(Таблица1[11],Таблица1[2],$D193)</f>
        <v>0</v>
      </c>
      <c r="AM193" s="251">
        <v>0</v>
      </c>
      <c r="AN193" s="249">
        <f t="shared" si="32"/>
        <v>0</v>
      </c>
      <c r="AO193" s="249">
        <f>SUMIFS(Таблица1[12],Таблица1[2],$D193)</f>
        <v>0</v>
      </c>
      <c r="AP193" s="249">
        <f>SUMIFS(Таблица1[13],Таблица1[2],$D193)</f>
        <v>0</v>
      </c>
      <c r="AQ193" s="61">
        <v>369.1</v>
      </c>
      <c r="AR193" s="61">
        <f t="shared" si="33"/>
        <v>369.1</v>
      </c>
      <c r="AS193" s="60">
        <f>SUMIFS(Таблица1[14],Таблица1[2],$D193)</f>
        <v>0</v>
      </c>
      <c r="AT193" s="60">
        <f>SUMIFS(Таблица1[15],Таблица1[2],$D193)</f>
        <v>0</v>
      </c>
      <c r="AU193" s="61">
        <v>875.8</v>
      </c>
      <c r="AV193" s="61">
        <f t="shared" si="34"/>
        <v>875.8</v>
      </c>
      <c r="AW193" s="60">
        <f>SUMIFS(Таблица1[16],Таблица1[2],$D193)</f>
        <v>0</v>
      </c>
      <c r="AX193" s="60">
        <f>SUMIFS(Таблица1[17],Таблица1[2],$D193)</f>
        <v>0</v>
      </c>
      <c r="AY193" s="263"/>
      <c r="AZ193" s="264"/>
      <c r="BA193" s="296">
        <v>0</v>
      </c>
      <c r="BB193" s="296">
        <f t="shared" si="43"/>
        <v>0</v>
      </c>
      <c r="BC193" s="296">
        <v>0</v>
      </c>
      <c r="BD193" s="296">
        <v>0</v>
      </c>
      <c r="BE193" s="285"/>
      <c r="BF193" s="259">
        <v>2775</v>
      </c>
      <c r="BG193" s="260">
        <f>3070+12300</f>
        <v>15370</v>
      </c>
      <c r="BH193" s="62" t="s">
        <v>939</v>
      </c>
      <c r="BI193" s="67" t="s">
        <v>1009</v>
      </c>
      <c r="BJ193" s="62"/>
      <c r="BK193" s="267"/>
      <c r="BL193" s="267"/>
      <c r="BM193" s="267" t="s">
        <v>1649</v>
      </c>
      <c r="BN193" s="268"/>
      <c r="BO193" s="62">
        <v>35</v>
      </c>
      <c r="BP193" s="63">
        <v>40794</v>
      </c>
      <c r="BQ193" s="64" t="s">
        <v>1131</v>
      </c>
      <c r="BR193" s="372" t="s">
        <v>2747</v>
      </c>
      <c r="BS193" s="62"/>
      <c r="BT193" s="323"/>
      <c r="BU193" s="62"/>
      <c r="BV193" s="323"/>
      <c r="BW193" s="62"/>
      <c r="BX193" s="336"/>
      <c r="BY193" s="336" t="s">
        <v>1649</v>
      </c>
    </row>
    <row r="194" spans="1:77" ht="13.15" hidden="1" customHeight="1" outlineLevel="1" x14ac:dyDescent="0.2">
      <c r="A194" s="50">
        <f t="shared" si="40"/>
        <v>189</v>
      </c>
      <c r="B194" s="51">
        <v>45</v>
      </c>
      <c r="C194" s="51">
        <v>74</v>
      </c>
      <c r="D194" s="18" t="s">
        <v>680</v>
      </c>
      <c r="E194" s="18">
        <v>16</v>
      </c>
      <c r="F194" s="18">
        <v>4</v>
      </c>
      <c r="G194" s="52">
        <v>1</v>
      </c>
      <c r="H194" s="237">
        <v>1</v>
      </c>
      <c r="I194" s="65">
        <v>1958</v>
      </c>
      <c r="J194" s="349">
        <v>5</v>
      </c>
      <c r="K194" s="346">
        <f t="shared" si="41"/>
        <v>6</v>
      </c>
      <c r="L194" s="346">
        <v>1</v>
      </c>
      <c r="M194" s="349">
        <v>2</v>
      </c>
      <c r="N194" s="255">
        <f t="shared" si="39"/>
        <v>0</v>
      </c>
      <c r="O194" s="310">
        <v>30</v>
      </c>
      <c r="P194" s="66">
        <v>4</v>
      </c>
      <c r="Q194" s="66"/>
      <c r="R194" s="66">
        <v>10</v>
      </c>
      <c r="S194" s="66">
        <v>10</v>
      </c>
      <c r="T194" s="66">
        <v>10</v>
      </c>
      <c r="U194" s="66">
        <v>0</v>
      </c>
      <c r="V194" s="66">
        <v>0</v>
      </c>
      <c r="W194" s="54">
        <v>0</v>
      </c>
      <c r="X194" s="55">
        <f>SUMIFS(Таблица3[Кол-во квартир],Таблица3[Адрес МКД],$D194)</f>
        <v>26</v>
      </c>
      <c r="Y194" s="56">
        <f t="shared" si="45"/>
        <v>2608.6999999999998</v>
      </c>
      <c r="Z194" s="253">
        <f>SUMIFS(Таблица3[Площадь жилая],Таблица3[Адрес МКД],$D194)</f>
        <v>1421.1</v>
      </c>
      <c r="AA194" s="261">
        <f>SUMIFS(Таблица3[Площадь нежилых помещений],Таблица3[Адрес МКД],$D194)</f>
        <v>260.2</v>
      </c>
      <c r="AB194" s="252">
        <f>SUMIFS(Таблица1[1],Таблица1[2],$D194)</f>
        <v>260.2</v>
      </c>
      <c r="AC194" s="57">
        <f t="shared" si="35"/>
        <v>260.2</v>
      </c>
      <c r="AD194" s="57">
        <f t="shared" si="36"/>
        <v>0</v>
      </c>
      <c r="AE194" s="58">
        <f>SUMIFS(Таблица1[8],Таблица1[2],$D194)+SUMIFS(Таблица1[18],Таблица1[2],$D194)</f>
        <v>260.2</v>
      </c>
      <c r="AF194" s="58">
        <f>SUMIFS(Таблица1[9],Таблица1[2],$D194)+SUMIFS(Таблица1[19],Таблица1[2],$D194)</f>
        <v>0</v>
      </c>
      <c r="AG194" s="59">
        <f t="shared" si="37"/>
        <v>927.40000000000009</v>
      </c>
      <c r="AH194" s="59">
        <f t="shared" si="38"/>
        <v>927.40000000000009</v>
      </c>
      <c r="AI194" s="60">
        <f>337.6-AM194</f>
        <v>337.6</v>
      </c>
      <c r="AJ194" s="60">
        <f t="shared" si="31"/>
        <v>337.6</v>
      </c>
      <c r="AK194" s="60">
        <f>SUMIFS(Таблица1[10],Таблица1[2],$D194)</f>
        <v>0</v>
      </c>
      <c r="AL194" s="60">
        <f>SUMIFS(Таблица1[11],Таблица1[2],$D194)</f>
        <v>0</v>
      </c>
      <c r="AM194" s="251">
        <v>0</v>
      </c>
      <c r="AN194" s="249">
        <f t="shared" si="32"/>
        <v>0</v>
      </c>
      <c r="AO194" s="249">
        <f>SUMIFS(Таблица1[12],Таблица1[2],$D194)</f>
        <v>0</v>
      </c>
      <c r="AP194" s="249">
        <f>SUMIFS(Таблица1[13],Таблица1[2],$D194)</f>
        <v>0</v>
      </c>
      <c r="AQ194" s="61">
        <v>183.5</v>
      </c>
      <c r="AR194" s="61">
        <f t="shared" si="33"/>
        <v>183.5</v>
      </c>
      <c r="AS194" s="60">
        <f>SUMIFS(Таблица1[14],Таблица1[2],$D194)</f>
        <v>0</v>
      </c>
      <c r="AT194" s="60">
        <f>SUMIFS(Таблица1[15],Таблица1[2],$D194)</f>
        <v>0</v>
      </c>
      <c r="AU194" s="61">
        <v>406.3</v>
      </c>
      <c r="AV194" s="61">
        <f t="shared" si="34"/>
        <v>406.3</v>
      </c>
      <c r="AW194" s="60">
        <f>SUMIFS(Таблица1[16],Таблица1[2],$D194)</f>
        <v>0</v>
      </c>
      <c r="AX194" s="60">
        <f>SUMIFS(Таблица1[17],Таблица1[2],$D194)</f>
        <v>0</v>
      </c>
      <c r="AY194" s="263"/>
      <c r="AZ194" s="264"/>
      <c r="BA194" s="296">
        <v>0</v>
      </c>
      <c r="BB194" s="296">
        <f t="shared" si="43"/>
        <v>0</v>
      </c>
      <c r="BC194" s="296">
        <v>0</v>
      </c>
      <c r="BD194" s="296">
        <v>0</v>
      </c>
      <c r="BE194" s="285"/>
      <c r="BF194" s="259">
        <v>1141</v>
      </c>
      <c r="BG194" s="260">
        <v>7625</v>
      </c>
      <c r="BH194" s="62" t="s">
        <v>936</v>
      </c>
      <c r="BI194" s="62" t="s">
        <v>935</v>
      </c>
      <c r="BJ194" s="62"/>
      <c r="BK194" s="267"/>
      <c r="BL194" s="267"/>
      <c r="BM194" s="267" t="s">
        <v>1649</v>
      </c>
      <c r="BN194" s="268"/>
      <c r="BO194" s="62">
        <v>15</v>
      </c>
      <c r="BP194" s="63">
        <v>28906</v>
      </c>
      <c r="BQ194" s="64" t="s">
        <v>1131</v>
      </c>
      <c r="BR194" s="372" t="s">
        <v>2747</v>
      </c>
      <c r="BS194" s="62"/>
      <c r="BT194" s="323"/>
      <c r="BU194" s="62"/>
      <c r="BV194" s="323"/>
      <c r="BW194" s="62"/>
      <c r="BX194" s="336"/>
      <c r="BY194" s="336"/>
    </row>
    <row r="195" spans="1:77" ht="13.15" customHeight="1" outlineLevel="1" x14ac:dyDescent="0.2">
      <c r="A195" s="50">
        <f t="shared" si="40"/>
        <v>190</v>
      </c>
      <c r="B195" s="51">
        <v>54</v>
      </c>
      <c r="C195" s="51">
        <v>75</v>
      </c>
      <c r="D195" s="18" t="s">
        <v>605</v>
      </c>
      <c r="E195" s="18">
        <v>12</v>
      </c>
      <c r="F195" s="18">
        <v>4</v>
      </c>
      <c r="G195" s="52">
        <v>1</v>
      </c>
      <c r="H195" s="237">
        <v>1</v>
      </c>
      <c r="I195" s="65">
        <v>1961</v>
      </c>
      <c r="J195" s="349">
        <v>4</v>
      </c>
      <c r="K195" s="346">
        <f t="shared" si="41"/>
        <v>5</v>
      </c>
      <c r="L195" s="346">
        <v>1</v>
      </c>
      <c r="M195" s="349">
        <v>2</v>
      </c>
      <c r="N195" s="255">
        <f t="shared" si="39"/>
        <v>0</v>
      </c>
      <c r="O195" s="310">
        <v>24</v>
      </c>
      <c r="P195" s="66">
        <v>0</v>
      </c>
      <c r="Q195" s="66"/>
      <c r="R195" s="66">
        <v>12</v>
      </c>
      <c r="S195" s="66">
        <v>6</v>
      </c>
      <c r="T195" s="66">
        <v>6</v>
      </c>
      <c r="U195" s="66">
        <v>0</v>
      </c>
      <c r="V195" s="66">
        <v>0</v>
      </c>
      <c r="W195" s="54">
        <v>0</v>
      </c>
      <c r="X195" s="55">
        <f>SUMIFS(Таблица3[Кол-во квартир],Таблица3[Адрес МКД],$D195)</f>
        <v>24</v>
      </c>
      <c r="Y195" s="56">
        <f t="shared" si="45"/>
        <v>2426.59</v>
      </c>
      <c r="Z195" s="253">
        <f>SUMIFS(Таблица3[Площадь жилая],Таблица3[Адрес МКД],$D195)</f>
        <v>957.7</v>
      </c>
      <c r="AA195" s="261">
        <f>SUMIFS(Таблица3[Площадь нежилых помещений],Таблица3[Адрес МКД],$D195)</f>
        <v>585.70000000000005</v>
      </c>
      <c r="AB195" s="252">
        <f>SUMIFS(Таблица1[1],Таблица1[2],$D195)</f>
        <v>585.70000000000005</v>
      </c>
      <c r="AC195" s="57">
        <f t="shared" si="35"/>
        <v>585.70000000000005</v>
      </c>
      <c r="AD195" s="57">
        <f t="shared" si="36"/>
        <v>0</v>
      </c>
      <c r="AE195" s="58">
        <f>SUMIFS(Таблица1[8],Таблица1[2],$D195)+SUMIFS(Таблица1[18],Таблица1[2],$D195)</f>
        <v>341.5</v>
      </c>
      <c r="AF195" s="58">
        <f>SUMIFS(Таблица1[9],Таблица1[2],$D195)+SUMIFS(Таблица1[19],Таблица1[2],$D195)</f>
        <v>0</v>
      </c>
      <c r="AG195" s="59">
        <f t="shared" si="37"/>
        <v>883.19</v>
      </c>
      <c r="AH195" s="59">
        <f t="shared" si="38"/>
        <v>883.19</v>
      </c>
      <c r="AI195" s="60">
        <f>348.8+272.2-AM195</f>
        <v>621</v>
      </c>
      <c r="AJ195" s="60">
        <f t="shared" ref="AJ195:AJ257" si="46">AI195-AK195-AL195</f>
        <v>376.8</v>
      </c>
      <c r="AK195" s="60">
        <f>SUMIFS(Таблица1[10],Таблица1[2],$D195)</f>
        <v>244.2</v>
      </c>
      <c r="AL195" s="60">
        <f>SUMIFS(Таблица1[11],Таблица1[2],$D195)</f>
        <v>0</v>
      </c>
      <c r="AM195" s="251">
        <v>0</v>
      </c>
      <c r="AN195" s="249">
        <f t="shared" ref="AN195:AN257" si="47">AM195-AO195-AP195</f>
        <v>0</v>
      </c>
      <c r="AO195" s="249">
        <f>SUMIFS(Таблица1[12],Таблица1[2],$D195)</f>
        <v>0</v>
      </c>
      <c r="AP195" s="249">
        <f>SUMIFS(Таблица1[13],Таблица1[2],$D195)</f>
        <v>0</v>
      </c>
      <c r="AQ195" s="61">
        <v>120.2</v>
      </c>
      <c r="AR195" s="61">
        <f t="shared" ref="AR195:AR257" si="48">AQ195-AS195-AT195</f>
        <v>120.2</v>
      </c>
      <c r="AS195" s="60">
        <f>SUMIFS(Таблица1[14],Таблица1[2],$D195)</f>
        <v>0</v>
      </c>
      <c r="AT195" s="60">
        <f>SUMIFS(Таблица1[15],Таблица1[2],$D195)</f>
        <v>0</v>
      </c>
      <c r="AU195" s="61">
        <v>386.19</v>
      </c>
      <c r="AV195" s="61">
        <f t="shared" ref="AV195:AV257" si="49">AU195-AW195-AX195</f>
        <v>386.19</v>
      </c>
      <c r="AW195" s="60">
        <f>SUMIFS(Таблица1[16],Таблица1[2],$D195)</f>
        <v>0</v>
      </c>
      <c r="AX195" s="60">
        <f>SUMIFS(Таблица1[17],Таблица1[2],$D195)</f>
        <v>0</v>
      </c>
      <c r="AY195" s="263"/>
      <c r="AZ195" s="264"/>
      <c r="BA195" s="296">
        <v>0</v>
      </c>
      <c r="BB195" s="296">
        <f t="shared" si="43"/>
        <v>0</v>
      </c>
      <c r="BC195" s="296">
        <v>0</v>
      </c>
      <c r="BD195" s="296">
        <v>0</v>
      </c>
      <c r="BE195" s="285"/>
      <c r="BF195" s="259">
        <v>1153</v>
      </c>
      <c r="BG195" s="260">
        <v>5271</v>
      </c>
      <c r="BH195" s="62" t="s">
        <v>939</v>
      </c>
      <c r="BI195" s="62" t="s">
        <v>935</v>
      </c>
      <c r="BJ195" s="62"/>
      <c r="BK195" s="267"/>
      <c r="BL195" s="267" t="s">
        <v>1649</v>
      </c>
      <c r="BM195" s="267"/>
      <c r="BN195" s="268"/>
      <c r="BO195" s="62">
        <v>28</v>
      </c>
      <c r="BP195" s="63">
        <v>32083</v>
      </c>
      <c r="BQ195" s="64" t="s">
        <v>1132</v>
      </c>
      <c r="BR195" s="372" t="s">
        <v>2747</v>
      </c>
      <c r="BS195" s="62"/>
      <c r="BT195" s="323"/>
      <c r="BU195" s="62"/>
      <c r="BV195" s="323"/>
      <c r="BW195" s="62"/>
      <c r="BX195" s="336"/>
      <c r="BY195" s="336"/>
    </row>
    <row r="196" spans="1:77" ht="13.15" hidden="1" customHeight="1" outlineLevel="1" x14ac:dyDescent="0.2">
      <c r="A196" s="50">
        <f t="shared" si="40"/>
        <v>191</v>
      </c>
      <c r="B196" s="51">
        <v>46</v>
      </c>
      <c r="C196" s="51">
        <v>76</v>
      </c>
      <c r="D196" s="18" t="s">
        <v>681</v>
      </c>
      <c r="E196" s="18">
        <v>16</v>
      </c>
      <c r="F196" s="18">
        <v>4</v>
      </c>
      <c r="G196" s="52">
        <v>1</v>
      </c>
      <c r="H196" s="237">
        <v>1</v>
      </c>
      <c r="I196" s="65">
        <v>1957</v>
      </c>
      <c r="J196" s="349">
        <v>5</v>
      </c>
      <c r="K196" s="346">
        <f t="shared" si="41"/>
        <v>6</v>
      </c>
      <c r="L196" s="346">
        <v>1</v>
      </c>
      <c r="M196" s="349">
        <v>4</v>
      </c>
      <c r="N196" s="255">
        <f t="shared" si="39"/>
        <v>0</v>
      </c>
      <c r="O196" s="310">
        <v>60</v>
      </c>
      <c r="P196" s="327">
        <v>11</v>
      </c>
      <c r="Q196" s="327">
        <v>1</v>
      </c>
      <c r="R196" s="66">
        <v>20</v>
      </c>
      <c r="S196" s="66">
        <v>20</v>
      </c>
      <c r="T196" s="66">
        <v>20</v>
      </c>
      <c r="U196" s="66">
        <v>0</v>
      </c>
      <c r="V196" s="66">
        <v>0</v>
      </c>
      <c r="W196" s="54">
        <v>0</v>
      </c>
      <c r="X196" s="55">
        <f>SUMIFS(Таблица3[Кол-во квартир],Таблица3[Адрес МКД],$D196)</f>
        <v>48</v>
      </c>
      <c r="Y196" s="56">
        <f t="shared" si="45"/>
        <v>5279.9</v>
      </c>
      <c r="Z196" s="253">
        <f>SUMIFS(Таблица3[Площадь жилая],Таблица3[Адрес МКД],$D196)</f>
        <v>2797.4</v>
      </c>
      <c r="AA196" s="261">
        <f>SUMIFS(Таблица3[Площадь нежилых помещений],Таблица3[Адрес МКД],$D196)</f>
        <v>604.20000000000005</v>
      </c>
      <c r="AB196" s="252">
        <f>SUMIFS(Таблица1[1],Таблица1[2],$D196)</f>
        <v>640.90000000000009</v>
      </c>
      <c r="AC196" s="57">
        <f t="shared" ref="AC196:AC258" si="50">AE196+AK196+AO196+AS196+AW196</f>
        <v>604.20000000000005</v>
      </c>
      <c r="AD196" s="57">
        <f t="shared" ref="AD196:AD258" si="51">AF196+AL196+AP196+AT196+AX196</f>
        <v>36.700000000000003</v>
      </c>
      <c r="AE196" s="58">
        <f>SUMIFS(Таблица1[8],Таблица1[2],$D196)+SUMIFS(Таблица1[18],Таблица1[2],$D196)</f>
        <v>604.20000000000005</v>
      </c>
      <c r="AF196" s="58">
        <f>SUMIFS(Таблица1[9],Таблица1[2],$D196)+SUMIFS(Таблица1[19],Таблица1[2],$D196)</f>
        <v>0</v>
      </c>
      <c r="AG196" s="59">
        <f t="shared" ref="AG196:AG258" si="52">AJ196+AR196+AV196+AZ196</f>
        <v>1841.6</v>
      </c>
      <c r="AH196" s="59">
        <f t="shared" ref="AH196:AH258" si="53">AJ196+AL196+AR196+AT196+AV196+AX196</f>
        <v>1878.3000000000002</v>
      </c>
      <c r="AI196" s="60">
        <f>687-AM196</f>
        <v>687</v>
      </c>
      <c r="AJ196" s="60">
        <f t="shared" si="46"/>
        <v>650.29999999999995</v>
      </c>
      <c r="AK196" s="60">
        <f>SUMIFS(Таблица1[10],Таблица1[2],$D196)</f>
        <v>0</v>
      </c>
      <c r="AL196" s="60">
        <f>SUMIFS(Таблица1[11],Таблица1[2],$D196)</f>
        <v>36.700000000000003</v>
      </c>
      <c r="AM196" s="251">
        <v>0</v>
      </c>
      <c r="AN196" s="249">
        <f t="shared" si="47"/>
        <v>0</v>
      </c>
      <c r="AO196" s="249">
        <f>SUMIFS(Таблица1[12],Таблица1[2],$D196)</f>
        <v>0</v>
      </c>
      <c r="AP196" s="249">
        <f>SUMIFS(Таблица1[13],Таблица1[2],$D196)</f>
        <v>0</v>
      </c>
      <c r="AQ196" s="61">
        <v>375.2</v>
      </c>
      <c r="AR196" s="61">
        <f t="shared" si="48"/>
        <v>375.2</v>
      </c>
      <c r="AS196" s="60">
        <f>SUMIFS(Таблица1[14],Таблица1[2],$D196)</f>
        <v>0</v>
      </c>
      <c r="AT196" s="60">
        <f>SUMIFS(Таблица1[15],Таблица1[2],$D196)</f>
        <v>0</v>
      </c>
      <c r="AU196" s="61">
        <v>816.1</v>
      </c>
      <c r="AV196" s="61">
        <f t="shared" si="49"/>
        <v>816.1</v>
      </c>
      <c r="AW196" s="60">
        <f>SUMIFS(Таблица1[16],Таблица1[2],$D196)</f>
        <v>0</v>
      </c>
      <c r="AX196" s="60">
        <f>SUMIFS(Таблица1[17],Таблица1[2],$D196)</f>
        <v>0</v>
      </c>
      <c r="AY196" s="263"/>
      <c r="AZ196" s="264"/>
      <c r="BA196" s="296">
        <v>0</v>
      </c>
      <c r="BB196" s="296">
        <f t="shared" si="43"/>
        <v>0</v>
      </c>
      <c r="BC196" s="296">
        <v>0</v>
      </c>
      <c r="BD196" s="296">
        <v>0</v>
      </c>
      <c r="BE196" s="285"/>
      <c r="BF196" s="259">
        <v>2467</v>
      </c>
      <c r="BG196" s="260">
        <v>15043</v>
      </c>
      <c r="BH196" s="62" t="s">
        <v>936</v>
      </c>
      <c r="BI196" s="62" t="s">
        <v>935</v>
      </c>
      <c r="BJ196" s="62"/>
      <c r="BK196" s="267"/>
      <c r="BL196" s="267"/>
      <c r="BM196" s="267" t="s">
        <v>1649</v>
      </c>
      <c r="BN196" s="268"/>
      <c r="BO196" s="62">
        <v>15</v>
      </c>
      <c r="BP196" s="63">
        <v>28906</v>
      </c>
      <c r="BQ196" s="64" t="s">
        <v>1131</v>
      </c>
      <c r="BR196" s="372" t="s">
        <v>2747</v>
      </c>
      <c r="BS196" s="62"/>
      <c r="BT196" s="323"/>
      <c r="BU196" s="62"/>
      <c r="BV196" s="323"/>
      <c r="BW196" s="62"/>
      <c r="BX196" s="336"/>
      <c r="BY196" s="336" t="s">
        <v>1649</v>
      </c>
    </row>
    <row r="197" spans="1:77" ht="13.15" customHeight="1" outlineLevel="1" x14ac:dyDescent="0.2">
      <c r="A197" s="50">
        <f t="shared" si="40"/>
        <v>192</v>
      </c>
      <c r="B197" s="51">
        <v>55</v>
      </c>
      <c r="C197" s="51">
        <v>77</v>
      </c>
      <c r="D197" s="18" t="s">
        <v>606</v>
      </c>
      <c r="E197" s="18">
        <v>12</v>
      </c>
      <c r="F197" s="18">
        <v>4</v>
      </c>
      <c r="G197" s="52">
        <v>1</v>
      </c>
      <c r="H197" s="237">
        <v>1</v>
      </c>
      <c r="I197" s="65">
        <v>1969</v>
      </c>
      <c r="J197" s="349">
        <v>5</v>
      </c>
      <c r="K197" s="346">
        <f t="shared" si="41"/>
        <v>6</v>
      </c>
      <c r="L197" s="346">
        <v>1</v>
      </c>
      <c r="M197" s="349">
        <v>4</v>
      </c>
      <c r="N197" s="255">
        <f t="shared" ref="N197:N260" si="54">O197-P197-X197-Q197</f>
        <v>0</v>
      </c>
      <c r="O197" s="310">
        <v>56</v>
      </c>
      <c r="P197" s="66">
        <v>0</v>
      </c>
      <c r="Q197" s="66"/>
      <c r="R197" s="66">
        <v>16</v>
      </c>
      <c r="S197" s="66">
        <v>16</v>
      </c>
      <c r="T197" s="66">
        <v>24</v>
      </c>
      <c r="U197" s="66">
        <v>0</v>
      </c>
      <c r="V197" s="66">
        <v>0</v>
      </c>
      <c r="W197" s="54">
        <v>0</v>
      </c>
      <c r="X197" s="55">
        <f>SUMIFS(Таблица3[Кол-во квартир],Таблица3[Адрес МКД],$D197)</f>
        <v>56</v>
      </c>
      <c r="Y197" s="56">
        <f t="shared" si="45"/>
        <v>4374.3099999999995</v>
      </c>
      <c r="Z197" s="253">
        <f>SUMIFS(Таблица3[Площадь жилая],Таблица3[Адрес МКД],$D197)</f>
        <v>2739.6</v>
      </c>
      <c r="AA197" s="261">
        <f>SUMIFS(Таблица3[Площадь нежилых помещений],Таблица3[Адрес МКД],$D197)</f>
        <v>0</v>
      </c>
      <c r="AB197" s="252">
        <f>SUMIFS(Таблица1[1],Таблица1[2],$D197)</f>
        <v>0</v>
      </c>
      <c r="AC197" s="57">
        <f t="shared" si="50"/>
        <v>0</v>
      </c>
      <c r="AD197" s="57">
        <f t="shared" si="51"/>
        <v>0</v>
      </c>
      <c r="AE197" s="58">
        <f>SUMIFS(Таблица1[8],Таблица1[2],$D197)+SUMIFS(Таблица1[18],Таблица1[2],$D197)</f>
        <v>0</v>
      </c>
      <c r="AF197" s="58">
        <f>SUMIFS(Таблица1[9],Таблица1[2],$D197)+SUMIFS(Таблица1[19],Таблица1[2],$D197)</f>
        <v>0</v>
      </c>
      <c r="AG197" s="59">
        <f t="shared" si="52"/>
        <v>1634.71</v>
      </c>
      <c r="AH197" s="59">
        <f t="shared" si="53"/>
        <v>1634.71</v>
      </c>
      <c r="AI197" s="60">
        <f>618.5-AM197</f>
        <v>618.5</v>
      </c>
      <c r="AJ197" s="60">
        <f t="shared" si="46"/>
        <v>618.5</v>
      </c>
      <c r="AK197" s="60">
        <f>SUMIFS(Таблица1[10],Таблица1[2],$D197)</f>
        <v>0</v>
      </c>
      <c r="AL197" s="60">
        <f>SUMIFS(Таблица1[11],Таблица1[2],$D197)</f>
        <v>0</v>
      </c>
      <c r="AM197" s="251">
        <v>0</v>
      </c>
      <c r="AN197" s="249">
        <f t="shared" si="47"/>
        <v>0</v>
      </c>
      <c r="AO197" s="249">
        <f>SUMIFS(Таблица1[12],Таблица1[2],$D197)</f>
        <v>0</v>
      </c>
      <c r="AP197" s="249">
        <f>SUMIFS(Таблица1[13],Таблица1[2],$D197)</f>
        <v>0</v>
      </c>
      <c r="AQ197" s="61">
        <v>371</v>
      </c>
      <c r="AR197" s="61">
        <f t="shared" si="48"/>
        <v>371</v>
      </c>
      <c r="AS197" s="60">
        <f>SUMIFS(Таблица1[14],Таблица1[2],$D197)</f>
        <v>0</v>
      </c>
      <c r="AT197" s="60">
        <f>SUMIFS(Таблица1[15],Таблица1[2],$D197)</f>
        <v>0</v>
      </c>
      <c r="AU197" s="61">
        <v>645.21</v>
      </c>
      <c r="AV197" s="61">
        <f t="shared" si="49"/>
        <v>645.21</v>
      </c>
      <c r="AW197" s="60">
        <f>SUMIFS(Таблица1[16],Таблица1[2],$D197)</f>
        <v>0</v>
      </c>
      <c r="AX197" s="60">
        <f>SUMIFS(Таблица1[17],Таблица1[2],$D197)</f>
        <v>0</v>
      </c>
      <c r="AY197" s="263"/>
      <c r="AZ197" s="264"/>
      <c r="BA197" s="296">
        <v>0</v>
      </c>
      <c r="BB197" s="296">
        <f t="shared" si="43"/>
        <v>0</v>
      </c>
      <c r="BC197" s="296">
        <v>0</v>
      </c>
      <c r="BD197" s="296">
        <v>0</v>
      </c>
      <c r="BE197" s="285"/>
      <c r="BF197" s="259">
        <v>7627</v>
      </c>
      <c r="BG197" s="260">
        <v>10337</v>
      </c>
      <c r="BH197" s="62" t="s">
        <v>940</v>
      </c>
      <c r="BI197" s="62" t="s">
        <v>935</v>
      </c>
      <c r="BJ197" s="62"/>
      <c r="BK197" s="267"/>
      <c r="BL197" s="267" t="s">
        <v>1649</v>
      </c>
      <c r="BM197" s="267"/>
      <c r="BN197" s="268"/>
      <c r="BO197" s="62">
        <v>18</v>
      </c>
      <c r="BP197" s="63">
        <v>32049</v>
      </c>
      <c r="BQ197" s="64" t="s">
        <v>1151</v>
      </c>
      <c r="BR197" s="372" t="s">
        <v>2747</v>
      </c>
      <c r="BS197" s="62"/>
      <c r="BT197" s="323"/>
      <c r="BU197" s="62"/>
      <c r="BV197" s="323"/>
      <c r="BW197" s="62"/>
      <c r="BX197" s="336"/>
      <c r="BY197" s="336"/>
    </row>
    <row r="198" spans="1:77" ht="13.15" customHeight="1" outlineLevel="1" x14ac:dyDescent="0.2">
      <c r="A198" s="50">
        <f t="shared" ref="A198:A261" si="55">A197+1</f>
        <v>193</v>
      </c>
      <c r="B198" s="51">
        <v>56</v>
      </c>
      <c r="C198" s="51">
        <v>78</v>
      </c>
      <c r="D198" s="18" t="s">
        <v>607</v>
      </c>
      <c r="E198" s="18">
        <v>12</v>
      </c>
      <c r="F198" s="18">
        <v>4</v>
      </c>
      <c r="G198" s="52">
        <v>1</v>
      </c>
      <c r="H198" s="237"/>
      <c r="I198" s="65">
        <v>1963</v>
      </c>
      <c r="J198" s="349">
        <v>5</v>
      </c>
      <c r="K198" s="346">
        <f t="shared" ref="K198:K261" si="56">J198+L198</f>
        <v>6</v>
      </c>
      <c r="L198" s="346">
        <v>1</v>
      </c>
      <c r="M198" s="349">
        <v>2</v>
      </c>
      <c r="N198" s="255">
        <f t="shared" si="54"/>
        <v>0</v>
      </c>
      <c r="O198" s="310">
        <v>40</v>
      </c>
      <c r="P198" s="66">
        <v>3</v>
      </c>
      <c r="Q198" s="66"/>
      <c r="R198" s="66">
        <v>20</v>
      </c>
      <c r="S198" s="66">
        <v>10</v>
      </c>
      <c r="T198" s="66">
        <v>10</v>
      </c>
      <c r="U198" s="66">
        <v>0</v>
      </c>
      <c r="V198" s="66">
        <v>0</v>
      </c>
      <c r="W198" s="54">
        <v>0</v>
      </c>
      <c r="X198" s="55">
        <f>SUMIFS(Таблица3[Кол-во квартир],Таблица3[Адрес МКД],$D198)</f>
        <v>37</v>
      </c>
      <c r="Y198" s="56">
        <f t="shared" si="45"/>
        <v>2450.4699999999998</v>
      </c>
      <c r="Z198" s="253">
        <f>SUMIFS(Таблица3[Площадь жилая],Таблица3[Адрес МКД],$D198)</f>
        <v>1466.8</v>
      </c>
      <c r="AA198" s="261">
        <f>SUMIFS(Таблица3[Площадь нежилых помещений],Таблица3[Адрес МКД],$D198)</f>
        <v>161.5</v>
      </c>
      <c r="AB198" s="252">
        <f>SUMIFS(Таблица1[1],Таблица1[2],$D198)</f>
        <v>161.5</v>
      </c>
      <c r="AC198" s="57">
        <f t="shared" si="50"/>
        <v>161.5</v>
      </c>
      <c r="AD198" s="57">
        <f t="shared" si="51"/>
        <v>0</v>
      </c>
      <c r="AE198" s="58">
        <f>SUMIFS(Таблица1[8],Таблица1[2],$D198)+SUMIFS(Таблица1[18],Таблица1[2],$D198)</f>
        <v>161.5</v>
      </c>
      <c r="AF198" s="58">
        <f>SUMIFS(Таблица1[9],Таблица1[2],$D198)+SUMIFS(Таблица1[19],Таблица1[2],$D198)</f>
        <v>0</v>
      </c>
      <c r="AG198" s="59">
        <f t="shared" si="52"/>
        <v>822.17</v>
      </c>
      <c r="AH198" s="59">
        <f t="shared" si="53"/>
        <v>822.17</v>
      </c>
      <c r="AI198" s="60">
        <f>328.4-AM198</f>
        <v>328.4</v>
      </c>
      <c r="AJ198" s="60">
        <f t="shared" si="46"/>
        <v>328.4</v>
      </c>
      <c r="AK198" s="60">
        <f>SUMIFS(Таблица1[10],Таблица1[2],$D198)</f>
        <v>0</v>
      </c>
      <c r="AL198" s="60">
        <f>SUMIFS(Таблица1[11],Таблица1[2],$D198)</f>
        <v>0</v>
      </c>
      <c r="AM198" s="251">
        <v>0</v>
      </c>
      <c r="AN198" s="249">
        <f t="shared" si="47"/>
        <v>0</v>
      </c>
      <c r="AO198" s="249">
        <f>SUMIFS(Таблица1[12],Таблица1[2],$D198)</f>
        <v>0</v>
      </c>
      <c r="AP198" s="249">
        <f>SUMIFS(Таблица1[13],Таблица1[2],$D198)</f>
        <v>0</v>
      </c>
      <c r="AQ198" s="61">
        <v>111.2</v>
      </c>
      <c r="AR198" s="61">
        <f t="shared" si="48"/>
        <v>111.2</v>
      </c>
      <c r="AS198" s="60">
        <f>SUMIFS(Таблица1[14],Таблица1[2],$D198)</f>
        <v>0</v>
      </c>
      <c r="AT198" s="60">
        <f>SUMIFS(Таблица1[15],Таблица1[2],$D198)</f>
        <v>0</v>
      </c>
      <c r="AU198" s="61">
        <v>382.57</v>
      </c>
      <c r="AV198" s="61">
        <f t="shared" si="49"/>
        <v>382.57</v>
      </c>
      <c r="AW198" s="60">
        <f>SUMIFS(Таблица1[16],Таблица1[2],$D198)</f>
        <v>0</v>
      </c>
      <c r="AX198" s="60">
        <f>SUMIFS(Таблица1[17],Таблица1[2],$D198)</f>
        <v>0</v>
      </c>
      <c r="AY198" s="263"/>
      <c r="AZ198" s="264"/>
      <c r="BA198" s="296">
        <v>0</v>
      </c>
      <c r="BB198" s="296">
        <f t="shared" si="43"/>
        <v>0</v>
      </c>
      <c r="BC198" s="296">
        <v>0</v>
      </c>
      <c r="BD198" s="296">
        <v>0</v>
      </c>
      <c r="BE198" s="285"/>
      <c r="BF198" s="259">
        <v>1082</v>
      </c>
      <c r="BG198" s="260">
        <v>6017</v>
      </c>
      <c r="BH198" s="62" t="s">
        <v>943</v>
      </c>
      <c r="BI198" s="62" t="s">
        <v>935</v>
      </c>
      <c r="BJ198" s="62"/>
      <c r="BK198" s="267"/>
      <c r="BL198" s="267" t="s">
        <v>1649</v>
      </c>
      <c r="BM198" s="267"/>
      <c r="BN198" s="268"/>
      <c r="BO198" s="62">
        <v>24</v>
      </c>
      <c r="BP198" s="63">
        <v>32049</v>
      </c>
      <c r="BQ198" s="64" t="s">
        <v>1149</v>
      </c>
      <c r="BR198" s="372" t="s">
        <v>2747</v>
      </c>
      <c r="BS198" s="62"/>
      <c r="BT198" s="323"/>
      <c r="BU198" s="62"/>
      <c r="BV198" s="323"/>
      <c r="BW198" s="62"/>
      <c r="BX198" s="336"/>
      <c r="BY198" s="336"/>
    </row>
    <row r="199" spans="1:77" ht="13.15" customHeight="1" outlineLevel="1" x14ac:dyDescent="0.2">
      <c r="A199" s="50">
        <f t="shared" si="55"/>
        <v>194</v>
      </c>
      <c r="B199" s="51">
        <v>57</v>
      </c>
      <c r="C199" s="51">
        <v>79</v>
      </c>
      <c r="D199" s="18" t="s">
        <v>608</v>
      </c>
      <c r="E199" s="18">
        <v>12</v>
      </c>
      <c r="F199" s="18">
        <v>4</v>
      </c>
      <c r="G199" s="52">
        <v>2</v>
      </c>
      <c r="H199" s="237">
        <v>1</v>
      </c>
      <c r="I199" s="65">
        <v>1969</v>
      </c>
      <c r="J199" s="349">
        <v>5</v>
      </c>
      <c r="K199" s="346">
        <f t="shared" si="56"/>
        <v>6</v>
      </c>
      <c r="L199" s="346">
        <v>1</v>
      </c>
      <c r="M199" s="349">
        <v>8</v>
      </c>
      <c r="N199" s="255">
        <f t="shared" si="54"/>
        <v>0</v>
      </c>
      <c r="O199" s="310">
        <v>109</v>
      </c>
      <c r="P199" s="66">
        <v>0</v>
      </c>
      <c r="Q199" s="66"/>
      <c r="R199" s="66">
        <v>9</v>
      </c>
      <c r="S199" s="66">
        <v>39</v>
      </c>
      <c r="T199" s="66">
        <v>51</v>
      </c>
      <c r="U199" s="66">
        <v>10</v>
      </c>
      <c r="V199" s="66">
        <v>0</v>
      </c>
      <c r="W199" s="54">
        <v>0</v>
      </c>
      <c r="X199" s="55">
        <f>SUMIFS(Таблица3[Кол-во квартир],Таблица3[Адрес МКД],$D199)</f>
        <v>109</v>
      </c>
      <c r="Y199" s="56">
        <f t="shared" si="45"/>
        <v>9236.2199999999993</v>
      </c>
      <c r="Z199" s="253">
        <f>SUMIFS(Таблица3[Площадь жилая],Таблица3[Адрес МКД],$D199)</f>
        <v>5909.4</v>
      </c>
      <c r="AA199" s="261">
        <f>SUMIFS(Таблица3[Площадь нежилых помещений],Таблица3[Адрес МКД],$D199)</f>
        <v>0</v>
      </c>
      <c r="AB199" s="252">
        <f>SUMIFS(Таблица1[1],Таблица1[2],$D199)</f>
        <v>0</v>
      </c>
      <c r="AC199" s="57">
        <f t="shared" si="50"/>
        <v>0</v>
      </c>
      <c r="AD199" s="57">
        <f t="shared" si="51"/>
        <v>0</v>
      </c>
      <c r="AE199" s="58">
        <f>SUMIFS(Таблица1[8],Таблица1[2],$D199)+SUMIFS(Таблица1[18],Таблица1[2],$D199)</f>
        <v>0</v>
      </c>
      <c r="AF199" s="58">
        <f>SUMIFS(Таблица1[9],Таблица1[2],$D199)+SUMIFS(Таблица1[19],Таблица1[2],$D199)</f>
        <v>0</v>
      </c>
      <c r="AG199" s="59">
        <f t="shared" si="52"/>
        <v>3326.82</v>
      </c>
      <c r="AH199" s="59">
        <f t="shared" si="53"/>
        <v>3326.82</v>
      </c>
      <c r="AI199" s="60">
        <f>1164.4-AM199</f>
        <v>1164.4000000000001</v>
      </c>
      <c r="AJ199" s="60">
        <f t="shared" si="46"/>
        <v>1164.4000000000001</v>
      </c>
      <c r="AK199" s="60">
        <f>SUMIFS(Таблица1[10],Таблица1[2],$D199)</f>
        <v>0</v>
      </c>
      <c r="AL199" s="60">
        <f>SUMIFS(Таблица1[11],Таблица1[2],$D199)</f>
        <v>0</v>
      </c>
      <c r="AM199" s="251">
        <v>0</v>
      </c>
      <c r="AN199" s="249">
        <f t="shared" si="47"/>
        <v>0</v>
      </c>
      <c r="AO199" s="249">
        <f>SUMIFS(Таблица1[12],Таблица1[2],$D199)</f>
        <v>0</v>
      </c>
      <c r="AP199" s="249">
        <f>SUMIFS(Таблица1[13],Таблица1[2],$D199)</f>
        <v>0</v>
      </c>
      <c r="AQ199" s="61">
        <v>764.5</v>
      </c>
      <c r="AR199" s="61">
        <f t="shared" si="48"/>
        <v>764.5</v>
      </c>
      <c r="AS199" s="60">
        <f>SUMIFS(Таблица1[14],Таблица1[2],$D199)</f>
        <v>0</v>
      </c>
      <c r="AT199" s="60">
        <f>SUMIFS(Таблица1[15],Таблица1[2],$D199)</f>
        <v>0</v>
      </c>
      <c r="AU199" s="61">
        <v>1397.92</v>
      </c>
      <c r="AV199" s="61">
        <f t="shared" si="49"/>
        <v>1397.92</v>
      </c>
      <c r="AW199" s="60">
        <f>SUMIFS(Таблица1[16],Таблица1[2],$D199)</f>
        <v>0</v>
      </c>
      <c r="AX199" s="60">
        <f>SUMIFS(Таблица1[17],Таблица1[2],$D199)</f>
        <v>0</v>
      </c>
      <c r="AY199" s="263"/>
      <c r="AZ199" s="264"/>
      <c r="BA199" s="296">
        <v>0</v>
      </c>
      <c r="BB199" s="296">
        <f t="shared" si="43"/>
        <v>0</v>
      </c>
      <c r="BC199" s="296">
        <v>0</v>
      </c>
      <c r="BD199" s="296">
        <v>0</v>
      </c>
      <c r="BE199" s="285"/>
      <c r="BF199" s="259">
        <v>3174</v>
      </c>
      <c r="BG199" s="260">
        <v>21011</v>
      </c>
      <c r="BH199" s="62" t="s">
        <v>940</v>
      </c>
      <c r="BI199" s="62" t="s">
        <v>935</v>
      </c>
      <c r="BJ199" s="62"/>
      <c r="BK199" s="267"/>
      <c r="BL199" s="267" t="s">
        <v>1649</v>
      </c>
      <c r="BM199" s="267"/>
      <c r="BN199" s="268"/>
      <c r="BO199" s="62">
        <v>20</v>
      </c>
      <c r="BP199" s="63">
        <v>36062</v>
      </c>
      <c r="BQ199" s="64" t="s">
        <v>1152</v>
      </c>
      <c r="BR199" s="372" t="s">
        <v>2747</v>
      </c>
      <c r="BS199" s="62"/>
      <c r="BT199" s="323"/>
      <c r="BU199" s="62"/>
      <c r="BV199" s="323"/>
      <c r="BW199" s="62"/>
      <c r="BX199" s="336"/>
      <c r="BY199" s="336"/>
    </row>
    <row r="200" spans="1:77" ht="13.15" hidden="1" customHeight="1" outlineLevel="1" x14ac:dyDescent="0.2">
      <c r="A200" s="50">
        <f t="shared" si="55"/>
        <v>195</v>
      </c>
      <c r="B200" s="51">
        <v>28</v>
      </c>
      <c r="C200" s="51">
        <v>50</v>
      </c>
      <c r="D200" s="18" t="s">
        <v>522</v>
      </c>
      <c r="E200" s="18">
        <v>11</v>
      </c>
      <c r="F200" s="18">
        <v>2</v>
      </c>
      <c r="G200" s="52">
        <v>1</v>
      </c>
      <c r="H200" s="237">
        <v>1</v>
      </c>
      <c r="I200" s="65">
        <v>1956</v>
      </c>
      <c r="J200" s="349">
        <v>4</v>
      </c>
      <c r="K200" s="346">
        <f t="shared" si="56"/>
        <v>5</v>
      </c>
      <c r="L200" s="346">
        <v>1</v>
      </c>
      <c r="M200" s="349">
        <v>2</v>
      </c>
      <c r="N200" s="255">
        <f t="shared" si="54"/>
        <v>3</v>
      </c>
      <c r="O200" s="310">
        <v>36</v>
      </c>
      <c r="P200" s="66">
        <v>5</v>
      </c>
      <c r="Q200" s="66"/>
      <c r="R200" s="66">
        <v>4</v>
      </c>
      <c r="S200" s="66">
        <v>27</v>
      </c>
      <c r="T200" s="66">
        <v>5</v>
      </c>
      <c r="U200" s="66">
        <v>0</v>
      </c>
      <c r="V200" s="66">
        <v>0</v>
      </c>
      <c r="W200" s="54">
        <v>0</v>
      </c>
      <c r="X200" s="55">
        <f>SUMIFS(Таблица3[Кол-во квартир],Таблица3[Адрес МКД],$D200)</f>
        <v>28</v>
      </c>
      <c r="Y200" s="56">
        <f t="shared" si="45"/>
        <v>2947.06</v>
      </c>
      <c r="Z200" s="253">
        <f>SUMIFS(Таблица3[Площадь жилая],Таблица3[Адрес МКД],$D200)</f>
        <v>1719</v>
      </c>
      <c r="AA200" s="261">
        <f>SUMIFS(Таблица3[Площадь нежилых помещений],Таблица3[Адрес МКД],$D200)</f>
        <v>372.1</v>
      </c>
      <c r="AB200" s="252">
        <f>SUMIFS(Таблица1[1],Таблица1[2],$D200)</f>
        <v>372.1</v>
      </c>
      <c r="AC200" s="57">
        <f t="shared" si="50"/>
        <v>372.1</v>
      </c>
      <c r="AD200" s="57">
        <f t="shared" si="51"/>
        <v>0</v>
      </c>
      <c r="AE200" s="58">
        <f>SUMIFS(Таблица1[8],Таблица1[2],$D200)+SUMIFS(Таблица1[18],Таблица1[2],$D200)</f>
        <v>237</v>
      </c>
      <c r="AF200" s="58">
        <f>SUMIFS(Таблица1[9],Таблица1[2],$D200)+SUMIFS(Таблица1[19],Таблица1[2],$D200)</f>
        <v>0</v>
      </c>
      <c r="AG200" s="59">
        <f t="shared" si="52"/>
        <v>855.96</v>
      </c>
      <c r="AH200" s="59">
        <f t="shared" si="53"/>
        <v>855.96</v>
      </c>
      <c r="AI200" s="60">
        <f>216.8-AM200</f>
        <v>216.8</v>
      </c>
      <c r="AJ200" s="60">
        <f t="shared" si="46"/>
        <v>81.699999999999989</v>
      </c>
      <c r="AK200" s="60">
        <f>SUMIFS(Таблица1[10],Таблица1[2],$D200)</f>
        <v>135.10000000000002</v>
      </c>
      <c r="AL200" s="60">
        <f>SUMIFS(Таблица1[11],Таблица1[2],$D200)</f>
        <v>0</v>
      </c>
      <c r="AM200" s="251">
        <v>0</v>
      </c>
      <c r="AN200" s="249">
        <f t="shared" si="47"/>
        <v>0</v>
      </c>
      <c r="AO200" s="249">
        <f>SUMIFS(Таблица1[12],Таблица1[2],$D200)</f>
        <v>0</v>
      </c>
      <c r="AP200" s="249">
        <f>SUMIFS(Таблица1[13],Таблица1[2],$D200)</f>
        <v>0</v>
      </c>
      <c r="AQ200" s="61">
        <v>222.5</v>
      </c>
      <c r="AR200" s="61">
        <f t="shared" si="48"/>
        <v>222.5</v>
      </c>
      <c r="AS200" s="60">
        <f>SUMIFS(Таблица1[14],Таблица1[2],$D200)</f>
        <v>0</v>
      </c>
      <c r="AT200" s="60">
        <f>SUMIFS(Таблица1[15],Таблица1[2],$D200)</f>
        <v>0</v>
      </c>
      <c r="AU200" s="61">
        <v>551.76</v>
      </c>
      <c r="AV200" s="61">
        <f t="shared" si="49"/>
        <v>551.76</v>
      </c>
      <c r="AW200" s="60">
        <f>SUMIFS(Таблица1[16],Таблица1[2],$D200)</f>
        <v>0</v>
      </c>
      <c r="AX200" s="60">
        <f>SUMIFS(Таблица1[17],Таблица1[2],$D200)</f>
        <v>0</v>
      </c>
      <c r="AY200" s="263"/>
      <c r="AZ200" s="264"/>
      <c r="BA200" s="296">
        <v>0</v>
      </c>
      <c r="BB200" s="296">
        <f t="shared" si="43"/>
        <v>0</v>
      </c>
      <c r="BC200" s="296">
        <v>0</v>
      </c>
      <c r="BD200" s="296">
        <v>0</v>
      </c>
      <c r="BE200" s="285"/>
      <c r="BF200" s="259">
        <v>869</v>
      </c>
      <c r="BG200" s="260">
        <f>991+7891</f>
        <v>8882</v>
      </c>
      <c r="BH200" s="62" t="s">
        <v>936</v>
      </c>
      <c r="BI200" s="62" t="s">
        <v>935</v>
      </c>
      <c r="BJ200" s="62"/>
      <c r="BK200" s="267"/>
      <c r="BL200" s="267"/>
      <c r="BM200" s="267" t="s">
        <v>1649</v>
      </c>
      <c r="BN200" s="268"/>
      <c r="BO200" s="62">
        <v>30</v>
      </c>
      <c r="BP200" s="63">
        <v>28026</v>
      </c>
      <c r="BQ200" s="64" t="s">
        <v>1131</v>
      </c>
      <c r="BR200" s="372" t="s">
        <v>2747</v>
      </c>
      <c r="BS200" s="62"/>
      <c r="BT200" s="323"/>
      <c r="BU200" s="62"/>
      <c r="BV200" s="323"/>
      <c r="BW200" s="62"/>
      <c r="BX200" s="336"/>
      <c r="BY200" s="336"/>
    </row>
    <row r="201" spans="1:77" ht="13.15" hidden="1" customHeight="1" outlineLevel="1" x14ac:dyDescent="0.2">
      <c r="A201" s="50">
        <f t="shared" si="55"/>
        <v>196</v>
      </c>
      <c r="B201" s="51">
        <v>29</v>
      </c>
      <c r="C201" s="51">
        <v>51</v>
      </c>
      <c r="D201" s="18" t="s">
        <v>523</v>
      </c>
      <c r="E201" s="18">
        <v>11</v>
      </c>
      <c r="F201" s="18">
        <v>2</v>
      </c>
      <c r="G201" s="52">
        <v>1</v>
      </c>
      <c r="H201" s="237">
        <v>1</v>
      </c>
      <c r="I201" s="65">
        <v>1954</v>
      </c>
      <c r="J201" s="349">
        <v>4</v>
      </c>
      <c r="K201" s="346">
        <f t="shared" si="56"/>
        <v>5</v>
      </c>
      <c r="L201" s="346">
        <v>1</v>
      </c>
      <c r="M201" s="349">
        <v>2</v>
      </c>
      <c r="N201" s="255">
        <f t="shared" si="54"/>
        <v>1</v>
      </c>
      <c r="O201" s="310">
        <v>24</v>
      </c>
      <c r="P201" s="66">
        <v>0</v>
      </c>
      <c r="Q201" s="66"/>
      <c r="R201" s="66">
        <v>0</v>
      </c>
      <c r="S201" s="66">
        <v>18</v>
      </c>
      <c r="T201" s="66">
        <v>6</v>
      </c>
      <c r="U201" s="66">
        <v>0</v>
      </c>
      <c r="V201" s="66">
        <v>0</v>
      </c>
      <c r="W201" s="54">
        <v>0</v>
      </c>
      <c r="X201" s="55">
        <f>SUMIFS(Таблица3[Кол-во квартир],Таблица3[Адрес МКД],$D201)</f>
        <v>23</v>
      </c>
      <c r="Y201" s="56">
        <f t="shared" si="45"/>
        <v>3047.97</v>
      </c>
      <c r="Z201" s="253">
        <f>SUMIFS(Таблица3[Площадь жилая],Таблица3[Адрес МКД],$D201)</f>
        <v>1434.6</v>
      </c>
      <c r="AA201" s="261">
        <f>SUMIFS(Таблица3[Площадь нежилых помещений],Таблица3[Адрес МКД],$D201)</f>
        <v>733.5</v>
      </c>
      <c r="AB201" s="252">
        <f>SUMIFS(Таблица1[1],Таблица1[2],$D201)</f>
        <v>733.5</v>
      </c>
      <c r="AC201" s="57">
        <f t="shared" si="50"/>
        <v>733.5</v>
      </c>
      <c r="AD201" s="57">
        <f t="shared" si="51"/>
        <v>0</v>
      </c>
      <c r="AE201" s="58">
        <f>SUMIFS(Таблица1[8],Таблица1[2],$D201)+SUMIFS(Таблица1[18],Таблица1[2],$D201)</f>
        <v>487.3</v>
      </c>
      <c r="AF201" s="58">
        <f>SUMIFS(Таблица1[9],Таблица1[2],$D201)+SUMIFS(Таблица1[19],Таблица1[2],$D201)</f>
        <v>0</v>
      </c>
      <c r="AG201" s="59">
        <f t="shared" si="52"/>
        <v>879.87</v>
      </c>
      <c r="AH201" s="59">
        <f t="shared" si="53"/>
        <v>879.87</v>
      </c>
      <c r="AI201" s="60">
        <f>347.4-AM201</f>
        <v>101.19999999999999</v>
      </c>
      <c r="AJ201" s="60">
        <f t="shared" si="46"/>
        <v>101.19999999999999</v>
      </c>
      <c r="AK201" s="60">
        <f>SUMIFS(Таблица1[10],Таблица1[2],$D201)</f>
        <v>0</v>
      </c>
      <c r="AL201" s="60">
        <f>SUMIFS(Таблица1[11],Таблица1[2],$D201)</f>
        <v>0</v>
      </c>
      <c r="AM201" s="251">
        <v>246.2</v>
      </c>
      <c r="AN201" s="249">
        <f t="shared" si="47"/>
        <v>0</v>
      </c>
      <c r="AO201" s="249">
        <f>SUMIFS(Таблица1[12],Таблица1[2],$D201)</f>
        <v>246.2</v>
      </c>
      <c r="AP201" s="249">
        <f>SUMIFS(Таблица1[13],Таблица1[2],$D201)</f>
        <v>0</v>
      </c>
      <c r="AQ201" s="61">
        <v>201.2</v>
      </c>
      <c r="AR201" s="61">
        <f t="shared" si="48"/>
        <v>201.2</v>
      </c>
      <c r="AS201" s="60">
        <f>SUMIFS(Таблица1[14],Таблица1[2],$D201)</f>
        <v>0</v>
      </c>
      <c r="AT201" s="60">
        <f>SUMIFS(Таблица1[15],Таблица1[2],$D201)</f>
        <v>0</v>
      </c>
      <c r="AU201" s="61">
        <v>577.47</v>
      </c>
      <c r="AV201" s="61">
        <f t="shared" si="49"/>
        <v>577.47</v>
      </c>
      <c r="AW201" s="60">
        <f>SUMIFS(Таблица1[16],Таблица1[2],$D201)</f>
        <v>0</v>
      </c>
      <c r="AX201" s="60">
        <f>SUMIFS(Таблица1[17],Таблица1[2],$D201)</f>
        <v>0</v>
      </c>
      <c r="AY201" s="263"/>
      <c r="AZ201" s="264"/>
      <c r="BA201" s="296">
        <v>0</v>
      </c>
      <c r="BB201" s="296">
        <f t="shared" si="43"/>
        <v>0</v>
      </c>
      <c r="BC201" s="296">
        <v>0</v>
      </c>
      <c r="BD201" s="296">
        <v>0</v>
      </c>
      <c r="BE201" s="285"/>
      <c r="BF201" s="259">
        <v>1833</v>
      </c>
      <c r="BG201" s="260">
        <v>8424</v>
      </c>
      <c r="BH201" s="62" t="s">
        <v>936</v>
      </c>
      <c r="BI201" s="62" t="s">
        <v>935</v>
      </c>
      <c r="BJ201" s="62"/>
      <c r="BK201" s="267"/>
      <c r="BL201" s="267"/>
      <c r="BM201" s="267" t="s">
        <v>1649</v>
      </c>
      <c r="BN201" s="268"/>
      <c r="BO201" s="62">
        <v>29</v>
      </c>
      <c r="BP201" s="63">
        <v>28049</v>
      </c>
      <c r="BQ201" s="64" t="s">
        <v>1131</v>
      </c>
      <c r="BR201" s="372" t="s">
        <v>2747</v>
      </c>
      <c r="BS201" s="62"/>
      <c r="BT201" s="323"/>
      <c r="BU201" s="62"/>
      <c r="BV201" s="323"/>
      <c r="BW201" s="62"/>
      <c r="BX201" s="336"/>
      <c r="BY201" s="336"/>
    </row>
    <row r="202" spans="1:77" ht="13.15" hidden="1" customHeight="1" outlineLevel="1" x14ac:dyDescent="0.2">
      <c r="A202" s="50">
        <f t="shared" si="55"/>
        <v>197</v>
      </c>
      <c r="B202" s="51">
        <v>3</v>
      </c>
      <c r="C202" s="51">
        <v>29</v>
      </c>
      <c r="D202" s="18" t="s">
        <v>623</v>
      </c>
      <c r="E202" s="18">
        <v>14</v>
      </c>
      <c r="F202" s="18">
        <v>3</v>
      </c>
      <c r="G202" s="52">
        <v>2</v>
      </c>
      <c r="H202" s="237">
        <v>2</v>
      </c>
      <c r="I202" s="65">
        <v>1957</v>
      </c>
      <c r="J202" s="349">
        <v>5</v>
      </c>
      <c r="K202" s="346">
        <f t="shared" si="56"/>
        <v>6</v>
      </c>
      <c r="L202" s="346">
        <v>1</v>
      </c>
      <c r="M202" s="349">
        <v>6</v>
      </c>
      <c r="N202" s="255">
        <f t="shared" si="54"/>
        <v>3</v>
      </c>
      <c r="O202" s="310">
        <v>116</v>
      </c>
      <c r="P202" s="66">
        <v>6</v>
      </c>
      <c r="Q202" s="66"/>
      <c r="R202" s="66">
        <v>28</v>
      </c>
      <c r="S202" s="66">
        <v>23</v>
      </c>
      <c r="T202" s="66">
        <v>63</v>
      </c>
      <c r="U202" s="66">
        <v>2</v>
      </c>
      <c r="V202" s="66">
        <v>0</v>
      </c>
      <c r="W202" s="54">
        <v>0</v>
      </c>
      <c r="X202" s="55">
        <f>SUMIFS(Таблица3[Кол-во квартир],Таблица3[Адрес МКД],$D202)</f>
        <v>107</v>
      </c>
      <c r="Y202" s="56">
        <f t="shared" si="45"/>
        <v>11836.599999999999</v>
      </c>
      <c r="Z202" s="253">
        <f>SUMIFS(Таблица3[Площадь жилая],Таблица3[Адрес МКД],$D202)</f>
        <v>7360</v>
      </c>
      <c r="AA202" s="261">
        <f>SUMIFS(Таблица3[Площадь нежилых помещений],Таблица3[Адрес МКД],$D202)</f>
        <v>823.8</v>
      </c>
      <c r="AB202" s="252">
        <f>SUMIFS(Таблица1[1],Таблица1[2],$D202)</f>
        <v>903.8</v>
      </c>
      <c r="AC202" s="57">
        <f t="shared" si="50"/>
        <v>892.59999999999991</v>
      </c>
      <c r="AD202" s="57">
        <f t="shared" si="51"/>
        <v>11.2</v>
      </c>
      <c r="AE202" s="58">
        <f>SUMIFS(Таблица1[8],Таблица1[2],$D202)+SUMIFS(Таблица1[18],Таблица1[2],$D202)</f>
        <v>422.8</v>
      </c>
      <c r="AF202" s="58">
        <f>SUMIFS(Таблица1[9],Таблица1[2],$D202)+SUMIFS(Таблица1[19],Таблица1[2],$D202)</f>
        <v>0</v>
      </c>
      <c r="AG202" s="59">
        <f t="shared" si="52"/>
        <v>3572.8</v>
      </c>
      <c r="AH202" s="59">
        <f t="shared" si="53"/>
        <v>3584</v>
      </c>
      <c r="AI202" s="60">
        <f>1204.5-AM202</f>
        <v>926.7</v>
      </c>
      <c r="AJ202" s="60">
        <f t="shared" si="46"/>
        <v>734.7</v>
      </c>
      <c r="AK202" s="60">
        <f>SUMIFS(Таблица1[10],Таблица1[2],$D202)</f>
        <v>192</v>
      </c>
      <c r="AL202" s="60">
        <f>SUMIFS(Таблица1[11],Таблица1[2],$D202)</f>
        <v>0</v>
      </c>
      <c r="AM202" s="251">
        <f>153.3+124.5</f>
        <v>277.8</v>
      </c>
      <c r="AN202" s="249">
        <f t="shared" si="47"/>
        <v>0</v>
      </c>
      <c r="AO202" s="249">
        <f>SUMIFS(Таблица1[12],Таблица1[2],$D202)</f>
        <v>277.8</v>
      </c>
      <c r="AP202" s="249">
        <f>SUMIFS(Таблица1[13],Таблица1[2],$D202)</f>
        <v>0</v>
      </c>
      <c r="AQ202" s="61">
        <f>834.3</f>
        <v>834.3</v>
      </c>
      <c r="AR202" s="61">
        <f t="shared" si="48"/>
        <v>823.09999999999991</v>
      </c>
      <c r="AS202" s="60">
        <f>SUMIFS(Таблица1[14],Таблица1[2],$D202)</f>
        <v>0</v>
      </c>
      <c r="AT202" s="60">
        <f>SUMIFS(Таблица1[15],Таблица1[2],$D202)</f>
        <v>11.2</v>
      </c>
      <c r="AU202" s="61">
        <v>2015</v>
      </c>
      <c r="AV202" s="61">
        <f t="shared" si="49"/>
        <v>2015</v>
      </c>
      <c r="AW202" s="60">
        <f>SUMIFS(Таблица1[16],Таблица1[2],$D202)</f>
        <v>0</v>
      </c>
      <c r="AX202" s="60">
        <f>SUMIFS(Таблица1[17],Таблица1[2],$D202)</f>
        <v>0</v>
      </c>
      <c r="AY202" s="263">
        <f>Нежилые!G962</f>
        <v>68.8</v>
      </c>
      <c r="AZ202" s="264"/>
      <c r="BA202" s="296">
        <v>0</v>
      </c>
      <c r="BB202" s="296">
        <f t="shared" si="43"/>
        <v>0</v>
      </c>
      <c r="BC202" s="296">
        <v>0</v>
      </c>
      <c r="BD202" s="296">
        <v>0</v>
      </c>
      <c r="BE202" s="285"/>
      <c r="BF202" s="259">
        <v>4907</v>
      </c>
      <c r="BG202" s="260">
        <f>11944+22881</f>
        <v>34825</v>
      </c>
      <c r="BH202" s="62" t="s">
        <v>936</v>
      </c>
      <c r="BI202" s="62" t="s">
        <v>935</v>
      </c>
      <c r="BJ202" s="62"/>
      <c r="BK202" s="267"/>
      <c r="BL202" s="267"/>
      <c r="BM202" s="267" t="s">
        <v>1649</v>
      </c>
      <c r="BN202" s="268"/>
      <c r="BO202" s="62">
        <v>15</v>
      </c>
      <c r="BP202" s="63">
        <v>29191</v>
      </c>
      <c r="BQ202" s="64" t="s">
        <v>1131</v>
      </c>
      <c r="BR202" s="372" t="s">
        <v>2747</v>
      </c>
      <c r="BS202" s="62"/>
      <c r="BT202" s="323"/>
      <c r="BU202" s="62"/>
      <c r="BV202" s="323"/>
      <c r="BW202" s="62"/>
      <c r="BX202" s="336"/>
      <c r="BY202" s="336"/>
    </row>
    <row r="203" spans="1:77" ht="13.15" hidden="1" customHeight="1" outlineLevel="1" x14ac:dyDescent="0.2">
      <c r="A203" s="50">
        <f t="shared" si="55"/>
        <v>198</v>
      </c>
      <c r="B203" s="51">
        <v>4</v>
      </c>
      <c r="C203" s="51">
        <v>30</v>
      </c>
      <c r="D203" s="18" t="s">
        <v>624</v>
      </c>
      <c r="E203" s="18">
        <v>14</v>
      </c>
      <c r="F203" s="18">
        <v>3</v>
      </c>
      <c r="G203" s="52">
        <v>1</v>
      </c>
      <c r="H203" s="237">
        <v>1</v>
      </c>
      <c r="I203" s="65">
        <v>1957</v>
      </c>
      <c r="J203" s="349">
        <v>4</v>
      </c>
      <c r="K203" s="346">
        <f t="shared" si="56"/>
        <v>5</v>
      </c>
      <c r="L203" s="346">
        <v>1</v>
      </c>
      <c r="M203" s="349">
        <v>4</v>
      </c>
      <c r="N203" s="255">
        <f t="shared" si="54"/>
        <v>0</v>
      </c>
      <c r="O203" s="310">
        <v>55</v>
      </c>
      <c r="P203" s="66">
        <v>0</v>
      </c>
      <c r="Q203" s="66"/>
      <c r="R203" s="66">
        <v>1</v>
      </c>
      <c r="S203" s="66">
        <v>32</v>
      </c>
      <c r="T203" s="66">
        <v>18</v>
      </c>
      <c r="U203" s="66">
        <v>3</v>
      </c>
      <c r="V203" s="66">
        <v>1</v>
      </c>
      <c r="W203" s="54">
        <v>0</v>
      </c>
      <c r="X203" s="55">
        <f>SUMIFS(Таблица3[Кол-во квартир],Таблица3[Адрес МКД],$D203)</f>
        <v>55</v>
      </c>
      <c r="Y203" s="56">
        <f t="shared" si="45"/>
        <v>5731.2999999999993</v>
      </c>
      <c r="Z203" s="253">
        <f>SUMIFS(Таблица3[Площадь жилая],Таблица3[Адрес МКД],$D203)</f>
        <v>3734.4</v>
      </c>
      <c r="AA203" s="261">
        <f>SUMIFS(Таблица3[Площадь нежилых помещений],Таблица3[Адрес МКД],$D203)</f>
        <v>152.9</v>
      </c>
      <c r="AB203" s="252">
        <f>SUMIFS(Таблица1[1],Таблица1[2],$D203)</f>
        <v>153</v>
      </c>
      <c r="AC203" s="57">
        <f t="shared" si="50"/>
        <v>153</v>
      </c>
      <c r="AD203" s="57">
        <f t="shared" si="51"/>
        <v>0</v>
      </c>
      <c r="AE203" s="58">
        <f>SUMIFS(Таблица1[8],Таблица1[2],$D203)+SUMIFS(Таблица1[18],Таблица1[2],$D203)</f>
        <v>0</v>
      </c>
      <c r="AF203" s="58">
        <f>SUMIFS(Таблица1[9],Таблица1[2],$D203)+SUMIFS(Таблица1[19],Таблица1[2],$D203)</f>
        <v>0</v>
      </c>
      <c r="AG203" s="59">
        <f t="shared" si="52"/>
        <v>1844</v>
      </c>
      <c r="AH203" s="59">
        <f t="shared" si="53"/>
        <v>1844</v>
      </c>
      <c r="AI203" s="60">
        <f>456.3-AM203</f>
        <v>303.39999999999998</v>
      </c>
      <c r="AJ203" s="60">
        <f t="shared" si="46"/>
        <v>303.39999999999998</v>
      </c>
      <c r="AK203" s="60">
        <f>SUMIFS(Таблица1[10],Таблица1[2],$D203)</f>
        <v>0</v>
      </c>
      <c r="AL203" s="60">
        <f>SUMIFS(Таблица1[11],Таблица1[2],$D203)</f>
        <v>0</v>
      </c>
      <c r="AM203" s="251">
        <v>152.9</v>
      </c>
      <c r="AN203" s="249">
        <f t="shared" si="47"/>
        <v>-9.9999999999994316E-2</v>
      </c>
      <c r="AO203" s="249">
        <f>SUMIFS(Таблица1[12],Таблица1[2],$D203)</f>
        <v>153</v>
      </c>
      <c r="AP203" s="249">
        <f>SUMIFS(Таблица1[13],Таблица1[2],$D203)</f>
        <v>0</v>
      </c>
      <c r="AQ203" s="61">
        <v>363.6</v>
      </c>
      <c r="AR203" s="61">
        <f t="shared" si="48"/>
        <v>363.6</v>
      </c>
      <c r="AS203" s="60">
        <f>SUMIFS(Таблица1[14],Таблица1[2],$D203)</f>
        <v>0</v>
      </c>
      <c r="AT203" s="60">
        <f>SUMIFS(Таблица1[15],Таблица1[2],$D203)</f>
        <v>0</v>
      </c>
      <c r="AU203" s="61">
        <v>1177</v>
      </c>
      <c r="AV203" s="61">
        <f t="shared" si="49"/>
        <v>1177</v>
      </c>
      <c r="AW203" s="60">
        <f>SUMIFS(Таблица1[16],Таблица1[2],$D203)</f>
        <v>0</v>
      </c>
      <c r="AX203" s="60">
        <f>SUMIFS(Таблица1[17],Таблица1[2],$D203)</f>
        <v>0</v>
      </c>
      <c r="AY203" s="263"/>
      <c r="AZ203" s="264"/>
      <c r="BA203" s="296">
        <v>0</v>
      </c>
      <c r="BB203" s="296">
        <f t="shared" si="43"/>
        <v>0</v>
      </c>
      <c r="BC203" s="296">
        <v>0</v>
      </c>
      <c r="BD203" s="296">
        <v>0</v>
      </c>
      <c r="BE203" s="285"/>
      <c r="BF203" s="259">
        <v>2446</v>
      </c>
      <c r="BG203" s="260">
        <f>18057+23</f>
        <v>18080</v>
      </c>
      <c r="BH203" s="62" t="s">
        <v>936</v>
      </c>
      <c r="BI203" s="62" t="s">
        <v>935</v>
      </c>
      <c r="BJ203" s="62"/>
      <c r="BK203" s="267"/>
      <c r="BL203" s="267"/>
      <c r="BM203" s="267" t="s">
        <v>1649</v>
      </c>
      <c r="BN203" s="268"/>
      <c r="BO203" s="62">
        <v>35</v>
      </c>
      <c r="BP203" s="63">
        <v>42139</v>
      </c>
      <c r="BQ203" s="64" t="s">
        <v>1131</v>
      </c>
      <c r="BR203" s="372" t="s">
        <v>2747</v>
      </c>
      <c r="BS203" s="62"/>
      <c r="BT203" s="323"/>
      <c r="BU203" s="62"/>
      <c r="BV203" s="323"/>
      <c r="BW203" s="62"/>
      <c r="BX203" s="336"/>
      <c r="BY203" s="336"/>
    </row>
    <row r="204" spans="1:77" ht="13.15" hidden="1" customHeight="1" outlineLevel="1" x14ac:dyDescent="0.2">
      <c r="A204" s="50">
        <f t="shared" si="55"/>
        <v>199</v>
      </c>
      <c r="B204" s="51">
        <v>5</v>
      </c>
      <c r="C204" s="51">
        <v>31</v>
      </c>
      <c r="D204" s="18" t="s">
        <v>625</v>
      </c>
      <c r="E204" s="18">
        <v>14</v>
      </c>
      <c r="F204" s="18">
        <v>3</v>
      </c>
      <c r="G204" s="52">
        <v>1</v>
      </c>
      <c r="H204" s="237">
        <v>1</v>
      </c>
      <c r="I204" s="65">
        <v>1957</v>
      </c>
      <c r="J204" s="349">
        <v>4</v>
      </c>
      <c r="K204" s="346">
        <f t="shared" si="56"/>
        <v>5</v>
      </c>
      <c r="L204" s="346">
        <v>1</v>
      </c>
      <c r="M204" s="349">
        <v>4</v>
      </c>
      <c r="N204" s="255">
        <f t="shared" si="54"/>
        <v>1</v>
      </c>
      <c r="O204" s="310">
        <v>60</v>
      </c>
      <c r="P204" s="66">
        <v>2</v>
      </c>
      <c r="Q204" s="66"/>
      <c r="R204" s="66">
        <v>1</v>
      </c>
      <c r="S204" s="66">
        <v>41</v>
      </c>
      <c r="T204" s="66">
        <v>18</v>
      </c>
      <c r="U204" s="66">
        <v>0</v>
      </c>
      <c r="V204" s="66">
        <v>0</v>
      </c>
      <c r="W204" s="54">
        <v>0</v>
      </c>
      <c r="X204" s="55">
        <f>SUMIFS(Таблица3[Кол-во квартир],Таблица3[Адрес МКД],$D204)</f>
        <v>57</v>
      </c>
      <c r="Y204" s="56">
        <f t="shared" si="45"/>
        <v>5834.9</v>
      </c>
      <c r="Z204" s="253">
        <f>SUMIFS(Таблица3[Площадь жилая],Таблица3[Адрес МКД],$D204)</f>
        <v>3574.8</v>
      </c>
      <c r="AA204" s="261">
        <f>SUMIFS(Таблица3[Площадь нежилых помещений],Таблица3[Адрес МКД],$D204)</f>
        <v>298.2</v>
      </c>
      <c r="AB204" s="252">
        <f>SUMIFS(Таблица1[1],Таблица1[2],$D204)</f>
        <v>239.2</v>
      </c>
      <c r="AC204" s="57">
        <f t="shared" si="50"/>
        <v>239.2</v>
      </c>
      <c r="AD204" s="57">
        <f t="shared" si="51"/>
        <v>0</v>
      </c>
      <c r="AE204" s="58">
        <f>SUMIFS(Таблица1[8],Таблица1[2],$D204)+SUMIFS(Таблица1[18],Таблица1[2],$D204)</f>
        <v>115.2</v>
      </c>
      <c r="AF204" s="58">
        <f>SUMIFS(Таблица1[9],Таблица1[2],$D204)+SUMIFS(Таблица1[19],Таблица1[2],$D204)</f>
        <v>0</v>
      </c>
      <c r="AG204" s="59">
        <f t="shared" si="52"/>
        <v>1999</v>
      </c>
      <c r="AH204" s="59">
        <f t="shared" si="53"/>
        <v>1999</v>
      </c>
      <c r="AI204" s="60">
        <f>465.9-AM204</f>
        <v>320</v>
      </c>
      <c r="AJ204" s="60">
        <f t="shared" si="46"/>
        <v>320</v>
      </c>
      <c r="AK204" s="60">
        <f>SUMIFS(Таблица1[10],Таблица1[2],$D204)</f>
        <v>0</v>
      </c>
      <c r="AL204" s="60">
        <f>SUMIFS(Таблица1[11],Таблица1[2],$D204)</f>
        <v>0</v>
      </c>
      <c r="AM204" s="251">
        <f>183-37.1</f>
        <v>145.9</v>
      </c>
      <c r="AN204" s="249">
        <f t="shared" si="47"/>
        <v>21.900000000000006</v>
      </c>
      <c r="AO204" s="249">
        <f>SUMIFS(Таблица1[12],Таблица1[2],$D204)</f>
        <v>124</v>
      </c>
      <c r="AP204" s="249">
        <f>SUMIFS(Таблица1[13],Таблица1[2],$D204)</f>
        <v>0</v>
      </c>
      <c r="AQ204" s="61">
        <v>497</v>
      </c>
      <c r="AR204" s="61">
        <f t="shared" si="48"/>
        <v>497</v>
      </c>
      <c r="AS204" s="60">
        <f>SUMIFS(Таблица1[14],Таблица1[2],$D204)</f>
        <v>0</v>
      </c>
      <c r="AT204" s="60">
        <f>SUMIFS(Таблица1[15],Таблица1[2],$D204)</f>
        <v>0</v>
      </c>
      <c r="AU204" s="61">
        <v>1182</v>
      </c>
      <c r="AV204" s="61">
        <f t="shared" si="49"/>
        <v>1182</v>
      </c>
      <c r="AW204" s="60">
        <f>SUMIFS(Таблица1[16],Таблица1[2],$D204)</f>
        <v>0</v>
      </c>
      <c r="AX204" s="60">
        <f>SUMIFS(Таблица1[17],Таблица1[2],$D204)</f>
        <v>0</v>
      </c>
      <c r="AY204" s="263"/>
      <c r="AZ204" s="264"/>
      <c r="BA204" s="296">
        <v>0</v>
      </c>
      <c r="BB204" s="296">
        <f t="shared" si="43"/>
        <v>0</v>
      </c>
      <c r="BC204" s="296">
        <v>0</v>
      </c>
      <c r="BD204" s="296">
        <v>0</v>
      </c>
      <c r="BE204" s="285"/>
      <c r="BF204" s="259">
        <v>1847</v>
      </c>
      <c r="BG204" s="260">
        <f>16625+157</f>
        <v>16782</v>
      </c>
      <c r="BH204" s="62" t="s">
        <v>936</v>
      </c>
      <c r="BI204" s="62" t="s">
        <v>935</v>
      </c>
      <c r="BJ204" s="62"/>
      <c r="BK204" s="267"/>
      <c r="BL204" s="267"/>
      <c r="BM204" s="267" t="s">
        <v>1649</v>
      </c>
      <c r="BN204" s="268"/>
      <c r="BO204" s="62">
        <v>37</v>
      </c>
      <c r="BP204" s="63">
        <v>32962</v>
      </c>
      <c r="BQ204" s="64" t="s">
        <v>1131</v>
      </c>
      <c r="BR204" s="372" t="s">
        <v>2747</v>
      </c>
      <c r="BS204" s="62"/>
      <c r="BT204" s="323"/>
      <c r="BU204" s="62"/>
      <c r="BV204" s="323"/>
      <c r="BW204" s="62"/>
      <c r="BX204" s="336"/>
      <c r="BY204" s="336"/>
    </row>
    <row r="205" spans="1:77" ht="13.15" customHeight="1" outlineLevel="1" x14ac:dyDescent="0.2">
      <c r="A205" s="50">
        <f t="shared" si="55"/>
        <v>200</v>
      </c>
      <c r="B205" s="51">
        <v>58</v>
      </c>
      <c r="C205" s="51">
        <v>80</v>
      </c>
      <c r="D205" s="18" t="s">
        <v>609</v>
      </c>
      <c r="E205" s="18">
        <v>12</v>
      </c>
      <c r="F205" s="18">
        <v>4</v>
      </c>
      <c r="G205" s="52">
        <v>1</v>
      </c>
      <c r="H205" s="366">
        <v>1</v>
      </c>
      <c r="I205" s="65">
        <v>1961</v>
      </c>
      <c r="J205" s="349">
        <v>3</v>
      </c>
      <c r="K205" s="346">
        <f t="shared" si="56"/>
        <v>3</v>
      </c>
      <c r="L205" s="346">
        <v>0</v>
      </c>
      <c r="M205" s="349">
        <v>2</v>
      </c>
      <c r="N205" s="255">
        <f t="shared" si="54"/>
        <v>0</v>
      </c>
      <c r="O205" s="310">
        <v>24</v>
      </c>
      <c r="P205" s="66">
        <v>0</v>
      </c>
      <c r="Q205" s="66"/>
      <c r="R205" s="66">
        <v>6</v>
      </c>
      <c r="S205" s="66">
        <v>18</v>
      </c>
      <c r="T205" s="66">
        <v>0</v>
      </c>
      <c r="U205" s="66">
        <v>0</v>
      </c>
      <c r="V205" s="66">
        <v>0</v>
      </c>
      <c r="W205" s="54">
        <v>0</v>
      </c>
      <c r="X205" s="55">
        <f>SUMIFS(Таблица3[Кол-во квартир],Таблица3[Адрес МКД],$D205)</f>
        <v>24</v>
      </c>
      <c r="Y205" s="56">
        <f t="shared" si="45"/>
        <v>1460.77</v>
      </c>
      <c r="Z205" s="253">
        <f>SUMIFS(Таблица3[Площадь жилая],Таблица3[Адрес МКД],$D205)</f>
        <v>965.80000000000007</v>
      </c>
      <c r="AA205" s="261">
        <f>SUMIFS(Таблица3[Площадь нежилых помещений],Таблица3[Адрес МКД],$D205)</f>
        <v>0</v>
      </c>
      <c r="AB205" s="252">
        <f>SUMIFS(Таблица1[1],Таблица1[2],$D205)</f>
        <v>0</v>
      </c>
      <c r="AC205" s="57">
        <f t="shared" si="50"/>
        <v>0</v>
      </c>
      <c r="AD205" s="57">
        <f t="shared" si="51"/>
        <v>0</v>
      </c>
      <c r="AE205" s="58">
        <f>SUMIFS(Таблица1[8],Таблица1[2],$D205)+SUMIFS(Таблица1[18],Таблица1[2],$D205)</f>
        <v>0</v>
      </c>
      <c r="AF205" s="58">
        <f>SUMIFS(Таблица1[9],Таблица1[2],$D205)+SUMIFS(Таблица1[19],Таблица1[2],$D205)</f>
        <v>0</v>
      </c>
      <c r="AG205" s="59">
        <f t="shared" si="52"/>
        <v>494.97</v>
      </c>
      <c r="AH205" s="59">
        <f t="shared" si="53"/>
        <v>494.97</v>
      </c>
      <c r="AI205" s="60">
        <f>0-AM205</f>
        <v>0</v>
      </c>
      <c r="AJ205" s="60">
        <f t="shared" si="46"/>
        <v>0</v>
      </c>
      <c r="AK205" s="60">
        <f>SUMIFS(Таблица1[10],Таблица1[2],$D205)</f>
        <v>0</v>
      </c>
      <c r="AL205" s="60">
        <f>SUMIFS(Таблица1[11],Таблица1[2],$D205)</f>
        <v>0</v>
      </c>
      <c r="AM205" s="251">
        <v>0</v>
      </c>
      <c r="AN205" s="249">
        <f t="shared" si="47"/>
        <v>0</v>
      </c>
      <c r="AO205" s="249">
        <f>SUMIFS(Таблица1[12],Таблица1[2],$D205)</f>
        <v>0</v>
      </c>
      <c r="AP205" s="249">
        <f>SUMIFS(Таблица1[13],Таблица1[2],$D205)</f>
        <v>0</v>
      </c>
      <c r="AQ205" s="61">
        <v>72.8</v>
      </c>
      <c r="AR205" s="61">
        <f t="shared" si="48"/>
        <v>72.8</v>
      </c>
      <c r="AS205" s="60">
        <f>SUMIFS(Таблица1[14],Таблица1[2],$D205)</f>
        <v>0</v>
      </c>
      <c r="AT205" s="60">
        <f>SUMIFS(Таблица1[15],Таблица1[2],$D205)</f>
        <v>0</v>
      </c>
      <c r="AU205" s="61">
        <v>422.17</v>
      </c>
      <c r="AV205" s="61">
        <f t="shared" si="49"/>
        <v>422.17</v>
      </c>
      <c r="AW205" s="60">
        <f>SUMIFS(Таблица1[16],Таблица1[2],$D205)</f>
        <v>0</v>
      </c>
      <c r="AX205" s="60">
        <f>SUMIFS(Таблица1[17],Таблица1[2],$D205)</f>
        <v>0</v>
      </c>
      <c r="AY205" s="263"/>
      <c r="AZ205" s="264"/>
      <c r="BA205" s="296">
        <v>0</v>
      </c>
      <c r="BB205" s="296">
        <f t="shared" si="43"/>
        <v>0</v>
      </c>
      <c r="BC205" s="296">
        <v>0</v>
      </c>
      <c r="BD205" s="296">
        <v>0</v>
      </c>
      <c r="BE205" s="285"/>
      <c r="BF205" s="259">
        <v>0</v>
      </c>
      <c r="BG205" s="260">
        <v>3694</v>
      </c>
      <c r="BH205" s="62" t="s">
        <v>943</v>
      </c>
      <c r="BI205" s="62" t="s">
        <v>935</v>
      </c>
      <c r="BJ205" s="62"/>
      <c r="BK205" s="267"/>
      <c r="BL205" s="267" t="s">
        <v>1649</v>
      </c>
      <c r="BM205" s="267"/>
      <c r="BN205" s="268"/>
      <c r="BO205" s="62">
        <v>34</v>
      </c>
      <c r="BP205" s="63">
        <v>32346</v>
      </c>
      <c r="BQ205" s="64" t="s">
        <v>1148</v>
      </c>
      <c r="BR205" s="372" t="s">
        <v>2747</v>
      </c>
      <c r="BS205" s="62"/>
      <c r="BT205" s="323"/>
      <c r="BU205" s="62"/>
      <c r="BV205" s="323"/>
      <c r="BW205" s="62"/>
      <c r="BX205" s="336"/>
      <c r="BY205" s="336"/>
    </row>
    <row r="206" spans="1:77" ht="13.15" hidden="1" customHeight="1" outlineLevel="1" x14ac:dyDescent="0.2">
      <c r="A206" s="50">
        <f t="shared" si="55"/>
        <v>201</v>
      </c>
      <c r="B206" s="51">
        <v>31</v>
      </c>
      <c r="C206" s="51">
        <v>41</v>
      </c>
      <c r="D206" s="18" t="s">
        <v>378</v>
      </c>
      <c r="E206" s="18">
        <v>9</v>
      </c>
      <c r="F206" s="18">
        <v>1</v>
      </c>
      <c r="G206" s="52">
        <v>1</v>
      </c>
      <c r="H206" s="237">
        <v>1</v>
      </c>
      <c r="I206" s="65">
        <v>1949</v>
      </c>
      <c r="J206" s="349">
        <v>2</v>
      </c>
      <c r="K206" s="346">
        <f t="shared" si="56"/>
        <v>3</v>
      </c>
      <c r="L206" s="346">
        <v>1</v>
      </c>
      <c r="M206" s="349">
        <v>2</v>
      </c>
      <c r="N206" s="255">
        <f t="shared" si="54"/>
        <v>0</v>
      </c>
      <c r="O206" s="310">
        <v>12</v>
      </c>
      <c r="P206" s="66">
        <v>0</v>
      </c>
      <c r="Q206" s="66"/>
      <c r="R206" s="66">
        <v>0</v>
      </c>
      <c r="S206" s="66">
        <v>12</v>
      </c>
      <c r="T206" s="66">
        <v>0</v>
      </c>
      <c r="U206" s="66">
        <v>0</v>
      </c>
      <c r="V206" s="66">
        <v>0</v>
      </c>
      <c r="W206" s="54">
        <v>0</v>
      </c>
      <c r="X206" s="55">
        <f>SUMIFS(Таблица3[Кол-во квартир],Таблица3[Адрес МКД],$D206)</f>
        <v>12</v>
      </c>
      <c r="Y206" s="56">
        <f t="shared" si="45"/>
        <v>1570.3000000000002</v>
      </c>
      <c r="Z206" s="253">
        <f>SUMIFS(Таблица3[Площадь жилая],Таблица3[Адрес МКД],$D206)</f>
        <v>733.6</v>
      </c>
      <c r="AA206" s="261">
        <f>SUMIFS(Таблица3[Площадь нежилых помещений],Таблица3[Адрес МКД],$D206)</f>
        <v>150</v>
      </c>
      <c r="AB206" s="252">
        <f>SUMIFS(Таблица1[1],Таблица1[2],$D206)</f>
        <v>150</v>
      </c>
      <c r="AC206" s="57">
        <f t="shared" si="50"/>
        <v>150</v>
      </c>
      <c r="AD206" s="57">
        <f t="shared" si="51"/>
        <v>0</v>
      </c>
      <c r="AE206" s="58">
        <f>SUMIFS(Таблица1[8],Таблица1[2],$D206)+SUMIFS(Таблица1[18],Таблица1[2],$D206)</f>
        <v>0</v>
      </c>
      <c r="AF206" s="58">
        <f>SUMIFS(Таблица1[9],Таблица1[2],$D206)+SUMIFS(Таблица1[19],Таблица1[2],$D206)</f>
        <v>0</v>
      </c>
      <c r="AG206" s="59">
        <f t="shared" si="52"/>
        <v>686.7</v>
      </c>
      <c r="AH206" s="59">
        <f t="shared" si="53"/>
        <v>686.7</v>
      </c>
      <c r="AI206" s="60">
        <f>316.6-AM206</f>
        <v>166.60000000000002</v>
      </c>
      <c r="AJ206" s="60">
        <f t="shared" si="46"/>
        <v>166.60000000000002</v>
      </c>
      <c r="AK206" s="60">
        <f>SUMIFS(Таблица1[10],Таблица1[2],$D206)</f>
        <v>0</v>
      </c>
      <c r="AL206" s="60">
        <f>SUMIFS(Таблица1[11],Таблица1[2],$D206)</f>
        <v>0</v>
      </c>
      <c r="AM206" s="251">
        <v>150</v>
      </c>
      <c r="AN206" s="249">
        <f t="shared" si="47"/>
        <v>0</v>
      </c>
      <c r="AO206" s="249">
        <f>SUMIFS(Таблица1[12],Таблица1[2],$D206)</f>
        <v>150</v>
      </c>
      <c r="AP206" s="249">
        <f>SUMIFS(Таблица1[13],Таблица1[2],$D206)</f>
        <v>0</v>
      </c>
      <c r="AQ206" s="61">
        <v>67.900000000000006</v>
      </c>
      <c r="AR206" s="61">
        <f t="shared" si="48"/>
        <v>67.900000000000006</v>
      </c>
      <c r="AS206" s="60">
        <f>SUMIFS(Таблица1[14],Таблица1[2],$D206)</f>
        <v>0</v>
      </c>
      <c r="AT206" s="60">
        <f>SUMIFS(Таблица1[15],Таблица1[2],$D206)</f>
        <v>0</v>
      </c>
      <c r="AU206" s="61">
        <v>452.2</v>
      </c>
      <c r="AV206" s="61">
        <f t="shared" si="49"/>
        <v>452.2</v>
      </c>
      <c r="AW206" s="60">
        <f>SUMIFS(Таблица1[16],Таблица1[2],$D206)</f>
        <v>0</v>
      </c>
      <c r="AX206" s="60">
        <f>SUMIFS(Таблица1[17],Таблица1[2],$D206)</f>
        <v>0</v>
      </c>
      <c r="AY206" s="263"/>
      <c r="AZ206" s="264"/>
      <c r="BA206" s="296">
        <v>0</v>
      </c>
      <c r="BB206" s="296">
        <f t="shared" si="43"/>
        <v>0</v>
      </c>
      <c r="BC206" s="296">
        <v>0</v>
      </c>
      <c r="BD206" s="296">
        <v>0</v>
      </c>
      <c r="BE206" s="285"/>
      <c r="BF206" s="259">
        <v>1405</v>
      </c>
      <c r="BG206" s="260">
        <v>3332</v>
      </c>
      <c r="BH206" s="62" t="s">
        <v>936</v>
      </c>
      <c r="BI206" s="62" t="s">
        <v>935</v>
      </c>
      <c r="BJ206" s="62"/>
      <c r="BK206" s="267"/>
      <c r="BL206" s="267"/>
      <c r="BM206" s="267" t="s">
        <v>1649</v>
      </c>
      <c r="BN206" s="268"/>
      <c r="BO206" s="62">
        <v>36</v>
      </c>
      <c r="BP206" s="63">
        <v>28564</v>
      </c>
      <c r="BQ206" s="64" t="s">
        <v>1131</v>
      </c>
      <c r="BR206" s="372" t="s">
        <v>2747</v>
      </c>
      <c r="BS206" s="62"/>
      <c r="BT206" s="323"/>
      <c r="BU206" s="62"/>
      <c r="BV206" s="323"/>
      <c r="BW206" s="62"/>
      <c r="BX206" s="336"/>
      <c r="BY206" s="336" t="s">
        <v>1649</v>
      </c>
    </row>
    <row r="207" spans="1:77" ht="13.15" hidden="1" customHeight="1" outlineLevel="1" x14ac:dyDescent="0.2">
      <c r="A207" s="50">
        <f t="shared" si="55"/>
        <v>202</v>
      </c>
      <c r="B207" s="51">
        <v>32</v>
      </c>
      <c r="C207" s="51">
        <v>42</v>
      </c>
      <c r="D207" s="18" t="s">
        <v>379</v>
      </c>
      <c r="E207" s="18">
        <v>9</v>
      </c>
      <c r="F207" s="18">
        <v>1</v>
      </c>
      <c r="G207" s="52">
        <v>1</v>
      </c>
      <c r="H207" s="237">
        <v>1</v>
      </c>
      <c r="I207" s="65">
        <v>1950</v>
      </c>
      <c r="J207" s="349">
        <v>3</v>
      </c>
      <c r="K207" s="346">
        <f t="shared" si="56"/>
        <v>4</v>
      </c>
      <c r="L207" s="346">
        <v>1</v>
      </c>
      <c r="M207" s="349">
        <v>3</v>
      </c>
      <c r="N207" s="255">
        <f t="shared" si="54"/>
        <v>0</v>
      </c>
      <c r="O207" s="310">
        <v>27</v>
      </c>
      <c r="P207" s="66">
        <v>0</v>
      </c>
      <c r="Q207" s="66"/>
      <c r="R207" s="66">
        <v>6</v>
      </c>
      <c r="S207" s="66">
        <v>18</v>
      </c>
      <c r="T207" s="66">
        <v>3</v>
      </c>
      <c r="U207" s="66">
        <v>0</v>
      </c>
      <c r="V207" s="66">
        <v>0</v>
      </c>
      <c r="W207" s="54">
        <v>0</v>
      </c>
      <c r="X207" s="55">
        <f>SUMIFS(Таблица3[Кол-во квартир],Таблица3[Адрес МКД],$D207)</f>
        <v>27</v>
      </c>
      <c r="Y207" s="56">
        <f t="shared" si="45"/>
        <v>2900.74</v>
      </c>
      <c r="Z207" s="253">
        <f>SUMIFS(Таблица3[Площадь жилая],Таблица3[Адрес МКД],$D207)</f>
        <v>1659.04</v>
      </c>
      <c r="AA207" s="261">
        <f>SUMIFS(Таблица3[Площадь нежилых помещений],Таблица3[Адрес МКД],$D207)</f>
        <v>81.3</v>
      </c>
      <c r="AB207" s="252">
        <f>SUMIFS(Таблица1[1],Таблица1[2],$D207)</f>
        <v>81.3</v>
      </c>
      <c r="AC207" s="57">
        <f t="shared" si="50"/>
        <v>81.3</v>
      </c>
      <c r="AD207" s="57">
        <f t="shared" si="51"/>
        <v>0</v>
      </c>
      <c r="AE207" s="58">
        <f>SUMIFS(Таблица1[8],Таблица1[2],$D207)+SUMIFS(Таблица1[18],Таблица1[2],$D207)</f>
        <v>0</v>
      </c>
      <c r="AF207" s="58">
        <f>SUMIFS(Таблица1[9],Таблица1[2],$D207)+SUMIFS(Таблица1[19],Таблица1[2],$D207)</f>
        <v>0</v>
      </c>
      <c r="AG207" s="59">
        <f t="shared" si="52"/>
        <v>1160.4000000000001</v>
      </c>
      <c r="AH207" s="59">
        <f t="shared" si="53"/>
        <v>1160.4000000000001</v>
      </c>
      <c r="AI207" s="60">
        <f>334.1-AM207</f>
        <v>334.1</v>
      </c>
      <c r="AJ207" s="60">
        <f t="shared" si="46"/>
        <v>252.8</v>
      </c>
      <c r="AK207" s="60">
        <f>SUMIFS(Таблица1[10],Таблица1[2],$D207)</f>
        <v>81.3</v>
      </c>
      <c r="AL207" s="60">
        <f>SUMIFS(Таблица1[11],Таблица1[2],$D207)</f>
        <v>0</v>
      </c>
      <c r="AM207" s="251">
        <v>0</v>
      </c>
      <c r="AN207" s="249">
        <f t="shared" si="47"/>
        <v>0</v>
      </c>
      <c r="AO207" s="249">
        <f>SUMIFS(Таблица1[12],Таблица1[2],$D207)</f>
        <v>0</v>
      </c>
      <c r="AP207" s="249">
        <f>SUMIFS(Таблица1[13],Таблица1[2],$D207)</f>
        <v>0</v>
      </c>
      <c r="AQ207" s="61">
        <v>204.5</v>
      </c>
      <c r="AR207" s="61">
        <f t="shared" si="48"/>
        <v>204.5</v>
      </c>
      <c r="AS207" s="60">
        <f>SUMIFS(Таблица1[14],Таблица1[2],$D207)</f>
        <v>0</v>
      </c>
      <c r="AT207" s="60">
        <f>SUMIFS(Таблица1[15],Таблица1[2],$D207)</f>
        <v>0</v>
      </c>
      <c r="AU207" s="61">
        <v>703.1</v>
      </c>
      <c r="AV207" s="61">
        <f t="shared" si="49"/>
        <v>703.1</v>
      </c>
      <c r="AW207" s="60">
        <f>SUMIFS(Таблица1[16],Таблица1[2],$D207)</f>
        <v>0</v>
      </c>
      <c r="AX207" s="60">
        <f>SUMIFS(Таблица1[17],Таблица1[2],$D207)</f>
        <v>0</v>
      </c>
      <c r="AY207" s="263"/>
      <c r="AZ207" s="264"/>
      <c r="BA207" s="296">
        <v>0</v>
      </c>
      <c r="BB207" s="296">
        <f t="shared" si="43"/>
        <v>0</v>
      </c>
      <c r="BC207" s="296">
        <v>0</v>
      </c>
      <c r="BD207" s="296">
        <v>0</v>
      </c>
      <c r="BE207" s="285"/>
      <c r="BF207" s="259">
        <v>1841</v>
      </c>
      <c r="BG207" s="260">
        <f>2589+2580+2517</f>
        <v>7686</v>
      </c>
      <c r="BH207" s="62" t="s">
        <v>936</v>
      </c>
      <c r="BI207" s="62" t="s">
        <v>935</v>
      </c>
      <c r="BJ207" s="62"/>
      <c r="BK207" s="267"/>
      <c r="BL207" s="267"/>
      <c r="BM207" s="267" t="s">
        <v>1649</v>
      </c>
      <c r="BN207" s="268"/>
      <c r="BO207" s="62">
        <v>37</v>
      </c>
      <c r="BP207" s="63">
        <v>28444</v>
      </c>
      <c r="BQ207" s="64" t="s">
        <v>1131</v>
      </c>
      <c r="BR207" s="372" t="s">
        <v>2747</v>
      </c>
      <c r="BS207" s="62"/>
      <c r="BT207" s="323"/>
      <c r="BU207" s="62"/>
      <c r="BV207" s="323"/>
      <c r="BW207" s="62"/>
      <c r="BX207" s="336"/>
      <c r="BY207" s="336"/>
    </row>
    <row r="208" spans="1:77" ht="13.15" hidden="1" customHeight="1" outlineLevel="1" x14ac:dyDescent="0.2">
      <c r="A208" s="50">
        <f t="shared" si="55"/>
        <v>203</v>
      </c>
      <c r="B208" s="51">
        <v>33</v>
      </c>
      <c r="C208" s="51">
        <v>43</v>
      </c>
      <c r="D208" s="18" t="s">
        <v>380</v>
      </c>
      <c r="E208" s="18">
        <v>9</v>
      </c>
      <c r="F208" s="18">
        <v>1</v>
      </c>
      <c r="G208" s="52">
        <v>1</v>
      </c>
      <c r="H208" s="237">
        <v>1</v>
      </c>
      <c r="I208" s="65">
        <v>1949</v>
      </c>
      <c r="J208" s="349">
        <v>2</v>
      </c>
      <c r="K208" s="346">
        <f t="shared" si="56"/>
        <v>3</v>
      </c>
      <c r="L208" s="346">
        <v>1</v>
      </c>
      <c r="M208" s="349">
        <v>2</v>
      </c>
      <c r="N208" s="255">
        <f t="shared" si="54"/>
        <v>0</v>
      </c>
      <c r="O208" s="310">
        <v>14</v>
      </c>
      <c r="P208" s="66">
        <v>0</v>
      </c>
      <c r="Q208" s="66"/>
      <c r="R208" s="66">
        <v>2</v>
      </c>
      <c r="S208" s="66">
        <v>9</v>
      </c>
      <c r="T208" s="66">
        <v>3</v>
      </c>
      <c r="U208" s="66">
        <v>0</v>
      </c>
      <c r="V208" s="66">
        <v>0</v>
      </c>
      <c r="W208" s="54">
        <v>0</v>
      </c>
      <c r="X208" s="55">
        <f>SUMIFS(Таблица3[Кол-во квартир],Таблица3[Адрес МКД],$D208)</f>
        <v>14</v>
      </c>
      <c r="Y208" s="56">
        <f t="shared" si="45"/>
        <v>1712.1</v>
      </c>
      <c r="Z208" s="253">
        <f>SUMIFS(Таблица3[Площадь жилая],Таблица3[Адрес МКД],$D208)</f>
        <v>817.9</v>
      </c>
      <c r="AA208" s="261">
        <f>SUMIFS(Таблица3[Площадь нежилых помещений],Таблица3[Адрес МКД],$D208)</f>
        <v>66.8</v>
      </c>
      <c r="AB208" s="252">
        <f>SUMIFS(Таблица1[1],Таблица1[2],$D208)</f>
        <v>66.8</v>
      </c>
      <c r="AC208" s="57">
        <f t="shared" si="50"/>
        <v>66.8</v>
      </c>
      <c r="AD208" s="57">
        <f t="shared" si="51"/>
        <v>0</v>
      </c>
      <c r="AE208" s="58">
        <f>SUMIFS(Таблица1[8],Таблица1[2],$D208)+SUMIFS(Таблица1[18],Таблица1[2],$D208)</f>
        <v>0</v>
      </c>
      <c r="AF208" s="58">
        <f>SUMIFS(Таблица1[9],Таблица1[2],$D208)+SUMIFS(Таблица1[19],Таблица1[2],$D208)</f>
        <v>0</v>
      </c>
      <c r="AG208" s="59">
        <f t="shared" si="52"/>
        <v>827.4</v>
      </c>
      <c r="AH208" s="59">
        <f t="shared" si="53"/>
        <v>827.4</v>
      </c>
      <c r="AI208" s="60">
        <f>314.5-AM208</f>
        <v>314.5</v>
      </c>
      <c r="AJ208" s="60">
        <f t="shared" si="46"/>
        <v>247.7</v>
      </c>
      <c r="AK208" s="60">
        <f>SUMIFS(Таблица1[10],Таблица1[2],$D208)</f>
        <v>66.8</v>
      </c>
      <c r="AL208" s="60">
        <f>SUMIFS(Таблица1[11],Таблица1[2],$D208)</f>
        <v>0</v>
      </c>
      <c r="AM208" s="251">
        <v>0</v>
      </c>
      <c r="AN208" s="249">
        <f t="shared" si="47"/>
        <v>0</v>
      </c>
      <c r="AO208" s="249">
        <f>SUMIFS(Таблица1[12],Таблица1[2],$D208)</f>
        <v>0</v>
      </c>
      <c r="AP208" s="249">
        <f>SUMIFS(Таблица1[13],Таблица1[2],$D208)</f>
        <v>0</v>
      </c>
      <c r="AQ208" s="61">
        <v>77.2</v>
      </c>
      <c r="AR208" s="61">
        <f t="shared" si="48"/>
        <v>77.2</v>
      </c>
      <c r="AS208" s="60">
        <f>SUMIFS(Таблица1[14],Таблица1[2],$D208)</f>
        <v>0</v>
      </c>
      <c r="AT208" s="60">
        <f>SUMIFS(Таблица1[15],Таблица1[2],$D208)</f>
        <v>0</v>
      </c>
      <c r="AU208" s="61">
        <v>502.5</v>
      </c>
      <c r="AV208" s="61">
        <f t="shared" si="49"/>
        <v>502.5</v>
      </c>
      <c r="AW208" s="60">
        <f>SUMIFS(Таблица1[16],Таблица1[2],$D208)</f>
        <v>0</v>
      </c>
      <c r="AX208" s="60">
        <f>SUMIFS(Таблица1[17],Таблица1[2],$D208)</f>
        <v>0</v>
      </c>
      <c r="AY208" s="263"/>
      <c r="AZ208" s="264"/>
      <c r="BA208" s="296">
        <v>0</v>
      </c>
      <c r="BB208" s="296">
        <f t="shared" si="43"/>
        <v>0</v>
      </c>
      <c r="BC208" s="296">
        <v>0</v>
      </c>
      <c r="BD208" s="296">
        <v>0</v>
      </c>
      <c r="BE208" s="285"/>
      <c r="BF208" s="259">
        <v>1266</v>
      </c>
      <c r="BG208" s="260">
        <v>3733</v>
      </c>
      <c r="BH208" s="62" t="s">
        <v>936</v>
      </c>
      <c r="BI208" s="62" t="s">
        <v>935</v>
      </c>
      <c r="BJ208" s="62"/>
      <c r="BK208" s="267"/>
      <c r="BL208" s="267"/>
      <c r="BM208" s="267" t="s">
        <v>1649</v>
      </c>
      <c r="BN208" s="268"/>
      <c r="BO208" s="62">
        <v>37</v>
      </c>
      <c r="BP208" s="63">
        <v>28564</v>
      </c>
      <c r="BQ208" s="64" t="s">
        <v>1131</v>
      </c>
      <c r="BR208" s="372" t="s">
        <v>2747</v>
      </c>
      <c r="BS208" s="62"/>
      <c r="BT208" s="323"/>
      <c r="BU208" s="62"/>
      <c r="BV208" s="323"/>
      <c r="BW208" s="62"/>
      <c r="BX208" s="336"/>
      <c r="BY208" s="336" t="s">
        <v>1649</v>
      </c>
    </row>
    <row r="209" spans="1:77" ht="13.15" hidden="1" customHeight="1" outlineLevel="1" x14ac:dyDescent="0.2">
      <c r="A209" s="50">
        <f t="shared" si="55"/>
        <v>204</v>
      </c>
      <c r="B209" s="51">
        <v>34</v>
      </c>
      <c r="C209" s="51">
        <v>44</v>
      </c>
      <c r="D209" s="18" t="s">
        <v>381</v>
      </c>
      <c r="E209" s="18">
        <v>9</v>
      </c>
      <c r="F209" s="18">
        <v>1</v>
      </c>
      <c r="G209" s="52">
        <v>1</v>
      </c>
      <c r="H209" s="237">
        <v>1</v>
      </c>
      <c r="I209" s="65">
        <v>1950</v>
      </c>
      <c r="J209" s="349">
        <v>3</v>
      </c>
      <c r="K209" s="346">
        <f t="shared" si="56"/>
        <v>4</v>
      </c>
      <c r="L209" s="346">
        <v>1</v>
      </c>
      <c r="M209" s="349">
        <v>3</v>
      </c>
      <c r="N209" s="255">
        <f t="shared" si="54"/>
        <v>0</v>
      </c>
      <c r="O209" s="310">
        <v>27</v>
      </c>
      <c r="P209" s="66">
        <v>0</v>
      </c>
      <c r="Q209" s="66"/>
      <c r="R209" s="66">
        <v>8</v>
      </c>
      <c r="S209" s="66">
        <v>12</v>
      </c>
      <c r="T209" s="66">
        <v>7</v>
      </c>
      <c r="U209" s="66">
        <v>0</v>
      </c>
      <c r="V209" s="66">
        <v>0</v>
      </c>
      <c r="W209" s="54">
        <v>0</v>
      </c>
      <c r="X209" s="55">
        <f>SUMIFS(Таблица3[Кол-во квартир],Таблица3[Адрес МКД],$D209)</f>
        <v>27</v>
      </c>
      <c r="Y209" s="56">
        <f t="shared" si="45"/>
        <v>2643.6000000000004</v>
      </c>
      <c r="Z209" s="253">
        <f>SUMIFS(Таблица3[Площадь жилая],Таблица3[Адрес МКД],$D209)</f>
        <v>1522.5</v>
      </c>
      <c r="AA209" s="261">
        <f>SUMIFS(Таблица3[Площадь нежилых помещений],Таблица3[Адрес МКД],$D209)</f>
        <v>77.3</v>
      </c>
      <c r="AB209" s="252">
        <f>SUMIFS(Таблица1[1],Таблица1[2],$D209)</f>
        <v>77.3</v>
      </c>
      <c r="AC209" s="57">
        <f t="shared" si="50"/>
        <v>77.3</v>
      </c>
      <c r="AD209" s="57">
        <f t="shared" si="51"/>
        <v>0</v>
      </c>
      <c r="AE209" s="58">
        <f>SUMIFS(Таблица1[8],Таблица1[2],$D209)+SUMIFS(Таблица1[18],Таблица1[2],$D209)</f>
        <v>0</v>
      </c>
      <c r="AF209" s="58">
        <f>SUMIFS(Таблица1[9],Таблица1[2],$D209)+SUMIFS(Таблица1[19],Таблица1[2],$D209)</f>
        <v>0</v>
      </c>
      <c r="AG209" s="59">
        <f t="shared" si="52"/>
        <v>1043.8000000000002</v>
      </c>
      <c r="AH209" s="59">
        <f t="shared" si="53"/>
        <v>1043.8000000000002</v>
      </c>
      <c r="AI209" s="60">
        <f>226.6-AM209</f>
        <v>226.6</v>
      </c>
      <c r="AJ209" s="60">
        <f t="shared" si="46"/>
        <v>149.30000000000001</v>
      </c>
      <c r="AK209" s="60">
        <f>SUMIFS(Таблица1[10],Таблица1[2],$D209)</f>
        <v>77.3</v>
      </c>
      <c r="AL209" s="60">
        <f>SUMIFS(Таблица1[11],Таблица1[2],$D209)</f>
        <v>0</v>
      </c>
      <c r="AM209" s="251">
        <v>0</v>
      </c>
      <c r="AN209" s="249">
        <f t="shared" si="47"/>
        <v>0</v>
      </c>
      <c r="AO209" s="249">
        <f>SUMIFS(Таблица1[12],Таблица1[2],$D209)</f>
        <v>0</v>
      </c>
      <c r="AP209" s="249">
        <f>SUMIFS(Таблица1[13],Таблица1[2],$D209)</f>
        <v>0</v>
      </c>
      <c r="AQ209" s="61">
        <v>180.9</v>
      </c>
      <c r="AR209" s="61">
        <f t="shared" si="48"/>
        <v>180.9</v>
      </c>
      <c r="AS209" s="60">
        <f>SUMIFS(Таблица1[14],Таблица1[2],$D209)</f>
        <v>0</v>
      </c>
      <c r="AT209" s="60">
        <f>SUMIFS(Таблица1[15],Таблица1[2],$D209)</f>
        <v>0</v>
      </c>
      <c r="AU209" s="61">
        <v>713.6</v>
      </c>
      <c r="AV209" s="61">
        <f t="shared" si="49"/>
        <v>713.6</v>
      </c>
      <c r="AW209" s="60">
        <f>SUMIFS(Таблица1[16],Таблица1[2],$D209)</f>
        <v>0</v>
      </c>
      <c r="AX209" s="60">
        <f>SUMIFS(Таблица1[17],Таблица1[2],$D209)</f>
        <v>0</v>
      </c>
      <c r="AY209" s="263"/>
      <c r="AZ209" s="264"/>
      <c r="BA209" s="296">
        <v>0</v>
      </c>
      <c r="BB209" s="296">
        <f t="shared" si="43"/>
        <v>0</v>
      </c>
      <c r="BC209" s="296">
        <v>0</v>
      </c>
      <c r="BD209" s="296">
        <v>0</v>
      </c>
      <c r="BE209" s="285"/>
      <c r="BF209" s="259">
        <v>374</v>
      </c>
      <c r="BG209" s="260">
        <f>5214+1780</f>
        <v>6994</v>
      </c>
      <c r="BH209" s="62" t="s">
        <v>936</v>
      </c>
      <c r="BI209" s="62" t="s">
        <v>935</v>
      </c>
      <c r="BJ209" s="62"/>
      <c r="BK209" s="267"/>
      <c r="BL209" s="267"/>
      <c r="BM209" s="267" t="s">
        <v>1649</v>
      </c>
      <c r="BN209" s="268"/>
      <c r="BO209" s="62">
        <v>29</v>
      </c>
      <c r="BP209" s="63">
        <v>30025</v>
      </c>
      <c r="BQ209" s="64" t="s">
        <v>1131</v>
      </c>
      <c r="BR209" s="372" t="s">
        <v>2747</v>
      </c>
      <c r="BS209" s="62"/>
      <c r="BT209" s="323"/>
      <c r="BU209" s="62"/>
      <c r="BV209" s="323"/>
      <c r="BW209" s="62"/>
      <c r="BX209" s="336"/>
      <c r="BY209" s="336"/>
    </row>
    <row r="210" spans="1:77" ht="13.15" hidden="1" customHeight="1" outlineLevel="1" x14ac:dyDescent="0.2">
      <c r="A210" s="50">
        <f t="shared" si="55"/>
        <v>205</v>
      </c>
      <c r="B210" s="51">
        <v>35</v>
      </c>
      <c r="C210" s="51">
        <v>45</v>
      </c>
      <c r="D210" s="18" t="s">
        <v>382</v>
      </c>
      <c r="E210" s="18">
        <v>9</v>
      </c>
      <c r="F210" s="18">
        <v>1</v>
      </c>
      <c r="G210" s="52">
        <v>1</v>
      </c>
      <c r="H210" s="237">
        <v>1</v>
      </c>
      <c r="I210" s="65">
        <v>1950</v>
      </c>
      <c r="J210" s="349">
        <v>3</v>
      </c>
      <c r="K210" s="346">
        <f t="shared" si="56"/>
        <v>4</v>
      </c>
      <c r="L210" s="346">
        <v>1</v>
      </c>
      <c r="M210" s="349">
        <v>2</v>
      </c>
      <c r="N210" s="255">
        <f t="shared" si="54"/>
        <v>2</v>
      </c>
      <c r="O210" s="310">
        <v>24</v>
      </c>
      <c r="P210" s="66">
        <v>0</v>
      </c>
      <c r="Q210" s="66"/>
      <c r="R210" s="66">
        <v>9</v>
      </c>
      <c r="S210" s="66">
        <v>9</v>
      </c>
      <c r="T210" s="66">
        <v>6</v>
      </c>
      <c r="U210" s="66">
        <v>0</v>
      </c>
      <c r="V210" s="66">
        <v>0</v>
      </c>
      <c r="W210" s="54">
        <v>0</v>
      </c>
      <c r="X210" s="55">
        <f>SUMIFS(Таблица3[Кол-во квартир],Таблица3[Адрес МКД],$D210)</f>
        <v>22</v>
      </c>
      <c r="Y210" s="56">
        <f t="shared" si="45"/>
        <v>2064.77</v>
      </c>
      <c r="Z210" s="253">
        <f>SUMIFS(Таблица3[Площадь жилая],Таблица3[Адрес МКД],$D210)</f>
        <v>1090.8699999999999</v>
      </c>
      <c r="AA210" s="261">
        <f>SUMIFS(Таблица3[Площадь нежилых помещений],Таблица3[Адрес МКД],$D210)</f>
        <v>210.7</v>
      </c>
      <c r="AB210" s="252">
        <f>SUMIFS(Таблица1[1],Таблица1[2],$D210)</f>
        <v>210.7</v>
      </c>
      <c r="AC210" s="57">
        <f t="shared" si="50"/>
        <v>210.7</v>
      </c>
      <c r="AD210" s="57">
        <f t="shared" si="51"/>
        <v>0</v>
      </c>
      <c r="AE210" s="58">
        <f>SUMIFS(Таблица1[8],Таблица1[2],$D210)+SUMIFS(Таблица1[18],Таблица1[2],$D210)</f>
        <v>0</v>
      </c>
      <c r="AF210" s="58">
        <f>SUMIFS(Таблица1[9],Таблица1[2],$D210)+SUMIFS(Таблица1[19],Таблица1[2],$D210)</f>
        <v>0</v>
      </c>
      <c r="AG210" s="59">
        <f t="shared" si="52"/>
        <v>763.2</v>
      </c>
      <c r="AH210" s="59">
        <f t="shared" si="53"/>
        <v>763.2</v>
      </c>
      <c r="AI210" s="60">
        <f>358.8-AM210</f>
        <v>148.10000000000002</v>
      </c>
      <c r="AJ210" s="60">
        <f t="shared" si="46"/>
        <v>148.10000000000002</v>
      </c>
      <c r="AK210" s="60">
        <f>SUMIFS(Таблица1[10],Таблица1[2],$D210)</f>
        <v>0</v>
      </c>
      <c r="AL210" s="60">
        <f>SUMIFS(Таблица1[11],Таблица1[2],$D210)</f>
        <v>0</v>
      </c>
      <c r="AM210" s="251">
        <v>210.7</v>
      </c>
      <c r="AN210" s="249">
        <f t="shared" si="47"/>
        <v>0</v>
      </c>
      <c r="AO210" s="249">
        <f>SUMIFS(Таблица1[12],Таблица1[2],$D210)</f>
        <v>210.7</v>
      </c>
      <c r="AP210" s="249">
        <f>SUMIFS(Таблица1[13],Таблица1[2],$D210)</f>
        <v>0</v>
      </c>
      <c r="AQ210" s="61">
        <v>149.69999999999999</v>
      </c>
      <c r="AR210" s="61">
        <f t="shared" si="48"/>
        <v>149.69999999999999</v>
      </c>
      <c r="AS210" s="60">
        <f>SUMIFS(Таблица1[14],Таблица1[2],$D210)</f>
        <v>0</v>
      </c>
      <c r="AT210" s="60">
        <f>SUMIFS(Таблица1[15],Таблица1[2],$D210)</f>
        <v>0</v>
      </c>
      <c r="AU210" s="61">
        <v>465.4</v>
      </c>
      <c r="AV210" s="61">
        <f t="shared" si="49"/>
        <v>465.4</v>
      </c>
      <c r="AW210" s="60">
        <f>SUMIFS(Таблица1[16],Таблица1[2],$D210)</f>
        <v>0</v>
      </c>
      <c r="AX210" s="60">
        <f>SUMIFS(Таблица1[17],Таблица1[2],$D210)</f>
        <v>0</v>
      </c>
      <c r="AY210" s="263"/>
      <c r="AZ210" s="264"/>
      <c r="BA210" s="296">
        <v>0</v>
      </c>
      <c r="BB210" s="296">
        <f t="shared" si="43"/>
        <v>0</v>
      </c>
      <c r="BC210" s="296">
        <v>0</v>
      </c>
      <c r="BD210" s="296">
        <v>0</v>
      </c>
      <c r="BE210" s="285"/>
      <c r="BF210" s="259">
        <v>1318</v>
      </c>
      <c r="BG210" s="260">
        <f>1728+1721+1708</f>
        <v>5157</v>
      </c>
      <c r="BH210" s="62" t="s">
        <v>936</v>
      </c>
      <c r="BI210" s="62" t="s">
        <v>935</v>
      </c>
      <c r="BJ210" s="62"/>
      <c r="BK210" s="267"/>
      <c r="BL210" s="267"/>
      <c r="BM210" s="267" t="s">
        <v>1649</v>
      </c>
      <c r="BN210" s="268"/>
      <c r="BO210" s="62">
        <v>29</v>
      </c>
      <c r="BP210" s="63">
        <v>30035</v>
      </c>
      <c r="BQ210" s="64" t="s">
        <v>1131</v>
      </c>
      <c r="BR210" s="372" t="s">
        <v>2747</v>
      </c>
      <c r="BS210" s="62"/>
      <c r="BT210" s="323"/>
      <c r="BU210" s="62"/>
      <c r="BV210" s="323"/>
      <c r="BW210" s="62"/>
      <c r="BX210" s="336"/>
      <c r="BY210" s="336"/>
    </row>
    <row r="211" spans="1:77" ht="13.15" hidden="1" customHeight="1" outlineLevel="1" x14ac:dyDescent="0.2">
      <c r="A211" s="50">
        <f t="shared" si="55"/>
        <v>206</v>
      </c>
      <c r="B211" s="51">
        <v>36</v>
      </c>
      <c r="C211" s="51">
        <v>46</v>
      </c>
      <c r="D211" s="18" t="s">
        <v>383</v>
      </c>
      <c r="E211" s="18">
        <v>9</v>
      </c>
      <c r="F211" s="18">
        <v>1</v>
      </c>
      <c r="G211" s="52">
        <v>1</v>
      </c>
      <c r="H211" s="237">
        <v>1</v>
      </c>
      <c r="I211" s="65">
        <v>1948</v>
      </c>
      <c r="J211" s="349">
        <v>2</v>
      </c>
      <c r="K211" s="346">
        <f t="shared" si="56"/>
        <v>3</v>
      </c>
      <c r="L211" s="346">
        <v>1</v>
      </c>
      <c r="M211" s="349">
        <v>2</v>
      </c>
      <c r="N211" s="255">
        <f t="shared" si="54"/>
        <v>0</v>
      </c>
      <c r="O211" s="310">
        <v>14</v>
      </c>
      <c r="P211" s="66">
        <v>0</v>
      </c>
      <c r="Q211" s="66"/>
      <c r="R211" s="66">
        <v>2</v>
      </c>
      <c r="S211" s="66">
        <v>8</v>
      </c>
      <c r="T211" s="66">
        <v>4</v>
      </c>
      <c r="U211" s="66">
        <v>0</v>
      </c>
      <c r="V211" s="66">
        <v>0</v>
      </c>
      <c r="W211" s="54">
        <v>0</v>
      </c>
      <c r="X211" s="55">
        <v>14</v>
      </c>
      <c r="Y211" s="56">
        <f t="shared" si="45"/>
        <v>1670.1</v>
      </c>
      <c r="Z211" s="253">
        <f>SUMIFS(Таблица3[Площадь жилая],Таблица3[Адрес МКД],$D211)</f>
        <v>794</v>
      </c>
      <c r="AA211" s="261">
        <f>SUMIFS(Таблица3[Площадь нежилых помещений],Таблица3[Адрес МКД],$D211)</f>
        <v>68.3</v>
      </c>
      <c r="AB211" s="252">
        <f>SUMIFS(Таблица1[1],Таблица1[2],$D211)</f>
        <v>68.3</v>
      </c>
      <c r="AC211" s="57">
        <f t="shared" si="50"/>
        <v>68.3</v>
      </c>
      <c r="AD211" s="57">
        <f t="shared" si="51"/>
        <v>0</v>
      </c>
      <c r="AE211" s="58">
        <f>SUMIFS(Таблица1[8],Таблица1[2],$D211)+SUMIFS(Таблица1[18],Таблица1[2],$D211)</f>
        <v>0</v>
      </c>
      <c r="AF211" s="58">
        <f>SUMIFS(Таблица1[9],Таблица1[2],$D211)+SUMIFS(Таблица1[19],Таблица1[2],$D211)</f>
        <v>0</v>
      </c>
      <c r="AG211" s="59">
        <f t="shared" si="52"/>
        <v>807.8</v>
      </c>
      <c r="AH211" s="59">
        <f t="shared" si="53"/>
        <v>807.8</v>
      </c>
      <c r="AI211" s="60">
        <f>299.2-AM211</f>
        <v>299.2</v>
      </c>
      <c r="AJ211" s="60">
        <f t="shared" si="46"/>
        <v>230.89999999999998</v>
      </c>
      <c r="AK211" s="60">
        <f>SUMIFS(Таблица1[10],Таблица1[2],$D211)</f>
        <v>68.3</v>
      </c>
      <c r="AL211" s="60">
        <f>SUMIFS(Таблица1[11],Таблица1[2],$D211)</f>
        <v>0</v>
      </c>
      <c r="AM211" s="251">
        <v>0</v>
      </c>
      <c r="AN211" s="249">
        <f t="shared" si="47"/>
        <v>0</v>
      </c>
      <c r="AO211" s="249">
        <f>SUMIFS(Таблица1[12],Таблица1[2],$D211)</f>
        <v>0</v>
      </c>
      <c r="AP211" s="249">
        <f>SUMIFS(Таблица1[13],Таблица1[2],$D211)</f>
        <v>0</v>
      </c>
      <c r="AQ211" s="61">
        <v>76</v>
      </c>
      <c r="AR211" s="61">
        <f t="shared" si="48"/>
        <v>76</v>
      </c>
      <c r="AS211" s="60">
        <f>SUMIFS(Таблица1[14],Таблица1[2],$D211)</f>
        <v>0</v>
      </c>
      <c r="AT211" s="60">
        <f>SUMIFS(Таблица1[15],Таблица1[2],$D211)</f>
        <v>0</v>
      </c>
      <c r="AU211" s="61">
        <v>500.9</v>
      </c>
      <c r="AV211" s="61">
        <f t="shared" si="49"/>
        <v>500.9</v>
      </c>
      <c r="AW211" s="60">
        <f>SUMIFS(Таблица1[16],Таблица1[2],$D211)</f>
        <v>0</v>
      </c>
      <c r="AX211" s="60">
        <f>SUMIFS(Таблица1[17],Таблица1[2],$D211)</f>
        <v>0</v>
      </c>
      <c r="AY211" s="263"/>
      <c r="AZ211" s="264"/>
      <c r="BA211" s="296">
        <v>0</v>
      </c>
      <c r="BB211" s="296">
        <f t="shared" si="43"/>
        <v>0</v>
      </c>
      <c r="BC211" s="296">
        <v>0</v>
      </c>
      <c r="BD211" s="296">
        <v>0</v>
      </c>
      <c r="BE211" s="285"/>
      <c r="BF211" s="259">
        <v>1165</v>
      </c>
      <c r="BG211" s="260">
        <v>3687</v>
      </c>
      <c r="BH211" s="62" t="s">
        <v>939</v>
      </c>
      <c r="BI211" s="62" t="s">
        <v>935</v>
      </c>
      <c r="BJ211" s="62"/>
      <c r="BK211" s="267"/>
      <c r="BL211" s="267"/>
      <c r="BM211" s="267" t="s">
        <v>1649</v>
      </c>
      <c r="BN211" s="268"/>
      <c r="BO211" s="62">
        <v>36</v>
      </c>
      <c r="BP211" s="63">
        <v>28607</v>
      </c>
      <c r="BQ211" s="64" t="s">
        <v>1131</v>
      </c>
      <c r="BR211" s="372" t="s">
        <v>2747</v>
      </c>
      <c r="BS211" s="62"/>
      <c r="BT211" s="323"/>
      <c r="BU211" s="62"/>
      <c r="BV211" s="323"/>
      <c r="BW211" s="62"/>
      <c r="BX211" s="336"/>
      <c r="BY211" s="336" t="s">
        <v>1649</v>
      </c>
    </row>
    <row r="212" spans="1:77" ht="13.15" hidden="1" customHeight="1" outlineLevel="1" x14ac:dyDescent="0.2">
      <c r="A212" s="50">
        <f t="shared" si="55"/>
        <v>207</v>
      </c>
      <c r="B212" s="51">
        <v>37</v>
      </c>
      <c r="C212" s="51">
        <v>47</v>
      </c>
      <c r="D212" s="18" t="s">
        <v>384</v>
      </c>
      <c r="E212" s="18">
        <v>9</v>
      </c>
      <c r="F212" s="18">
        <v>1</v>
      </c>
      <c r="G212" s="52">
        <v>1</v>
      </c>
      <c r="H212" s="237">
        <v>1</v>
      </c>
      <c r="I212" s="65">
        <v>1950</v>
      </c>
      <c r="J212" s="349">
        <v>3</v>
      </c>
      <c r="K212" s="346">
        <f t="shared" si="56"/>
        <v>4</v>
      </c>
      <c r="L212" s="346">
        <v>1</v>
      </c>
      <c r="M212" s="349">
        <v>3</v>
      </c>
      <c r="N212" s="255">
        <f t="shared" si="54"/>
        <v>0</v>
      </c>
      <c r="O212" s="310">
        <v>23</v>
      </c>
      <c r="P212" s="66">
        <v>1</v>
      </c>
      <c r="Q212" s="66"/>
      <c r="R212" s="66">
        <v>4</v>
      </c>
      <c r="S212" s="66">
        <v>15</v>
      </c>
      <c r="T212" s="66">
        <v>4</v>
      </c>
      <c r="U212" s="66">
        <v>0</v>
      </c>
      <c r="V212" s="66">
        <v>0</v>
      </c>
      <c r="W212" s="54">
        <v>0</v>
      </c>
      <c r="X212" s="55">
        <f>SUMIFS(Таблица3[Кол-во квартир],Таблица3[Адрес МКД],$D212)</f>
        <v>22</v>
      </c>
      <c r="Y212" s="56">
        <f t="shared" si="45"/>
        <v>2669.1000000000004</v>
      </c>
      <c r="Z212" s="253">
        <f>SUMIFS(Таблица3[Площадь жилая],Таблица3[Адрес МКД],$D212)</f>
        <v>1388.8</v>
      </c>
      <c r="AA212" s="261">
        <f>SUMIFS(Таблица3[Площадь нежилых помещений],Таблица3[Адрес МКД],$D212)</f>
        <v>244</v>
      </c>
      <c r="AB212" s="252">
        <f>SUMIFS(Таблица1[1],Таблица1[2],$D212)</f>
        <v>244</v>
      </c>
      <c r="AC212" s="57">
        <f t="shared" si="50"/>
        <v>243.99999999999997</v>
      </c>
      <c r="AD212" s="57">
        <f t="shared" si="51"/>
        <v>0</v>
      </c>
      <c r="AE212" s="58">
        <f>SUMIFS(Таблица1[8],Таблица1[2],$D212)+SUMIFS(Таблица1[18],Таблица1[2],$D212)</f>
        <v>164.09999999999997</v>
      </c>
      <c r="AF212" s="58">
        <f>SUMIFS(Таблица1[9],Таблица1[2],$D212)+SUMIFS(Таблица1[19],Таблица1[2],$D212)</f>
        <v>0</v>
      </c>
      <c r="AG212" s="59">
        <f t="shared" si="52"/>
        <v>1036.3000000000002</v>
      </c>
      <c r="AH212" s="59">
        <f t="shared" si="53"/>
        <v>1036.3000000000002</v>
      </c>
      <c r="AI212" s="60">
        <f>209.3-AM212</f>
        <v>209.3</v>
      </c>
      <c r="AJ212" s="60">
        <f t="shared" si="46"/>
        <v>129.4</v>
      </c>
      <c r="AK212" s="60">
        <f>SUMIFS(Таблица1[10],Таблица1[2],$D212)</f>
        <v>79.900000000000006</v>
      </c>
      <c r="AL212" s="60">
        <f>SUMIFS(Таблица1[11],Таблица1[2],$D212)</f>
        <v>0</v>
      </c>
      <c r="AM212" s="251">
        <v>0</v>
      </c>
      <c r="AN212" s="249">
        <f t="shared" si="47"/>
        <v>0</v>
      </c>
      <c r="AO212" s="249">
        <f>SUMIFS(Таблица1[12],Таблица1[2],$D212)</f>
        <v>0</v>
      </c>
      <c r="AP212" s="249">
        <f>SUMIFS(Таблица1[13],Таблица1[2],$D212)</f>
        <v>0</v>
      </c>
      <c r="AQ212" s="61">
        <v>189.7</v>
      </c>
      <c r="AR212" s="61">
        <f t="shared" si="48"/>
        <v>189.7</v>
      </c>
      <c r="AS212" s="60">
        <f>SUMIFS(Таблица1[14],Таблица1[2],$D212)</f>
        <v>0</v>
      </c>
      <c r="AT212" s="60">
        <f>SUMIFS(Таблица1[15],Таблица1[2],$D212)</f>
        <v>0</v>
      </c>
      <c r="AU212" s="61">
        <v>717.2</v>
      </c>
      <c r="AV212" s="61">
        <f t="shared" si="49"/>
        <v>717.2</v>
      </c>
      <c r="AW212" s="60">
        <f>SUMIFS(Таблица1[16],Таблица1[2],$D212)</f>
        <v>0</v>
      </c>
      <c r="AX212" s="60">
        <f>SUMIFS(Таблица1[17],Таблица1[2],$D212)</f>
        <v>0</v>
      </c>
      <c r="AY212" s="263"/>
      <c r="AZ212" s="264"/>
      <c r="BA212" s="296">
        <v>0</v>
      </c>
      <c r="BB212" s="296">
        <f t="shared" ref="BB212:BB275" si="57">BA212-BC212-BD212</f>
        <v>0</v>
      </c>
      <c r="BC212" s="296">
        <v>0</v>
      </c>
      <c r="BD212" s="296">
        <v>0</v>
      </c>
      <c r="BE212" s="285"/>
      <c r="BF212" s="259">
        <v>1632</v>
      </c>
      <c r="BG212" s="260">
        <f>2660+2638+1822</f>
        <v>7120</v>
      </c>
      <c r="BH212" s="62" t="s">
        <v>936</v>
      </c>
      <c r="BI212" s="62" t="s">
        <v>935</v>
      </c>
      <c r="BJ212" s="62"/>
      <c r="BK212" s="267"/>
      <c r="BL212" s="267"/>
      <c r="BM212" s="267" t="s">
        <v>1649</v>
      </c>
      <c r="BN212" s="268"/>
      <c r="BO212" s="62">
        <v>29</v>
      </c>
      <c r="BP212" s="63">
        <v>30025</v>
      </c>
      <c r="BQ212" s="64" t="s">
        <v>1131</v>
      </c>
      <c r="BR212" s="372" t="s">
        <v>2747</v>
      </c>
      <c r="BS212" s="62"/>
      <c r="BT212" s="323"/>
      <c r="BU212" s="62"/>
      <c r="BV212" s="323"/>
      <c r="BW212" s="62"/>
      <c r="BX212" s="336"/>
      <c r="BY212" s="336"/>
    </row>
    <row r="213" spans="1:77" ht="13.15" hidden="1" customHeight="1" outlineLevel="1" x14ac:dyDescent="0.2">
      <c r="A213" s="50">
        <f t="shared" si="55"/>
        <v>208</v>
      </c>
      <c r="B213" s="51">
        <v>38</v>
      </c>
      <c r="C213" s="51">
        <v>48</v>
      </c>
      <c r="D213" s="18" t="s">
        <v>385</v>
      </c>
      <c r="E213" s="18">
        <v>9</v>
      </c>
      <c r="F213" s="18">
        <v>1</v>
      </c>
      <c r="G213" s="52">
        <v>1</v>
      </c>
      <c r="H213" s="237">
        <v>1</v>
      </c>
      <c r="I213" s="65">
        <v>1949</v>
      </c>
      <c r="J213" s="349">
        <v>2</v>
      </c>
      <c r="K213" s="346">
        <f t="shared" si="56"/>
        <v>3</v>
      </c>
      <c r="L213" s="346">
        <v>1</v>
      </c>
      <c r="M213" s="349">
        <v>2</v>
      </c>
      <c r="N213" s="255">
        <f t="shared" si="54"/>
        <v>0</v>
      </c>
      <c r="O213" s="310">
        <v>12</v>
      </c>
      <c r="P213" s="66">
        <v>0</v>
      </c>
      <c r="Q213" s="66"/>
      <c r="R213" s="66">
        <v>0</v>
      </c>
      <c r="S213" s="66">
        <v>12</v>
      </c>
      <c r="T213" s="66">
        <v>0</v>
      </c>
      <c r="U213" s="66">
        <v>0</v>
      </c>
      <c r="V213" s="66">
        <v>0</v>
      </c>
      <c r="W213" s="54">
        <v>0</v>
      </c>
      <c r="X213" s="55">
        <f>SUMIFS(Таблица3[Кол-во квартир],Таблица3[Адрес МКД],$D213)</f>
        <v>12</v>
      </c>
      <c r="Y213" s="56">
        <f t="shared" si="45"/>
        <v>1634.7</v>
      </c>
      <c r="Z213" s="253">
        <f>SUMIFS(Таблица3[Площадь жилая],Таблица3[Адрес МКД],$D213)</f>
        <v>728.30000000000007</v>
      </c>
      <c r="AA213" s="261">
        <f>SUMIFS(Таблица3[Площадь нежилых помещений],Таблица3[Адрес МКД],$D213)</f>
        <v>183.7</v>
      </c>
      <c r="AB213" s="252">
        <f>SUMIFS(Таблица1[1],Таблица1[2],$D213)</f>
        <v>183.7</v>
      </c>
      <c r="AC213" s="57">
        <f t="shared" si="50"/>
        <v>183.7</v>
      </c>
      <c r="AD213" s="57">
        <f t="shared" si="51"/>
        <v>0</v>
      </c>
      <c r="AE213" s="58">
        <f>SUMIFS(Таблица1[8],Таблица1[2],$D213)+SUMIFS(Таблица1[18],Таблица1[2],$D213)</f>
        <v>0</v>
      </c>
      <c r="AF213" s="58">
        <f>SUMIFS(Таблица1[9],Таблица1[2],$D213)+SUMIFS(Таблица1[19],Таблица1[2],$D213)</f>
        <v>0</v>
      </c>
      <c r="AG213" s="59">
        <f t="shared" si="52"/>
        <v>722.7</v>
      </c>
      <c r="AH213" s="59">
        <f t="shared" si="53"/>
        <v>722.7</v>
      </c>
      <c r="AI213" s="60">
        <f>377.7-16.1-16-AM213</f>
        <v>161.89999999999998</v>
      </c>
      <c r="AJ213" s="60">
        <f t="shared" si="46"/>
        <v>161.89999999999998</v>
      </c>
      <c r="AK213" s="60">
        <f>SUMIFS(Таблица1[10],Таблица1[2],$D213)</f>
        <v>0</v>
      </c>
      <c r="AL213" s="60">
        <f>SUMIFS(Таблица1[11],Таблица1[2],$D213)</f>
        <v>0</v>
      </c>
      <c r="AM213" s="251">
        <v>183.7</v>
      </c>
      <c r="AN213" s="249">
        <f t="shared" si="47"/>
        <v>0</v>
      </c>
      <c r="AO213" s="249">
        <f>SUMIFS(Таблица1[12],Таблица1[2],$D213)</f>
        <v>183.7</v>
      </c>
      <c r="AP213" s="249">
        <f>SUMIFS(Таблица1[13],Таблица1[2],$D213)</f>
        <v>0</v>
      </c>
      <c r="AQ213" s="61">
        <f>36.2+35.9+16.1+16</f>
        <v>104.19999999999999</v>
      </c>
      <c r="AR213" s="61">
        <f t="shared" si="48"/>
        <v>104.19999999999999</v>
      </c>
      <c r="AS213" s="60">
        <f>SUMIFS(Таблица1[14],Таблица1[2],$D213)</f>
        <v>0</v>
      </c>
      <c r="AT213" s="60">
        <f>SUMIFS(Таблица1[15],Таблица1[2],$D213)</f>
        <v>0</v>
      </c>
      <c r="AU213" s="61">
        <v>456.6</v>
      </c>
      <c r="AV213" s="61">
        <f t="shared" si="49"/>
        <v>456.6</v>
      </c>
      <c r="AW213" s="60">
        <f>SUMIFS(Таблица1[16],Таблица1[2],$D213)</f>
        <v>0</v>
      </c>
      <c r="AX213" s="60">
        <f>SUMIFS(Таблица1[17],Таблица1[2],$D213)</f>
        <v>0</v>
      </c>
      <c r="AY213" s="263"/>
      <c r="AZ213" s="264"/>
      <c r="BA213" s="296">
        <v>0</v>
      </c>
      <c r="BB213" s="296">
        <f t="shared" si="57"/>
        <v>0</v>
      </c>
      <c r="BC213" s="296">
        <v>0</v>
      </c>
      <c r="BD213" s="296">
        <v>0</v>
      </c>
      <c r="BE213" s="285"/>
      <c r="BF213" s="259">
        <v>1489</v>
      </c>
      <c r="BG213" s="260">
        <v>3466</v>
      </c>
      <c r="BH213" s="62" t="s">
        <v>936</v>
      </c>
      <c r="BI213" s="62" t="s">
        <v>935</v>
      </c>
      <c r="BJ213" s="62"/>
      <c r="BK213" s="267"/>
      <c r="BL213" s="267"/>
      <c r="BM213" s="267" t="s">
        <v>1649</v>
      </c>
      <c r="BN213" s="268"/>
      <c r="BO213" s="62">
        <v>41</v>
      </c>
      <c r="BP213" s="63">
        <v>28607</v>
      </c>
      <c r="BQ213" s="64" t="s">
        <v>1131</v>
      </c>
      <c r="BR213" s="372" t="s">
        <v>2747</v>
      </c>
      <c r="BS213" s="62"/>
      <c r="BT213" s="323"/>
      <c r="BU213" s="62"/>
      <c r="BV213" s="323"/>
      <c r="BW213" s="62"/>
      <c r="BX213" s="336"/>
      <c r="BY213" s="336" t="s">
        <v>1649</v>
      </c>
    </row>
    <row r="214" spans="1:77" ht="13.15" hidden="1" customHeight="1" outlineLevel="1" x14ac:dyDescent="0.2">
      <c r="A214" s="50">
        <f t="shared" si="55"/>
        <v>209</v>
      </c>
      <c r="B214" s="51">
        <v>42</v>
      </c>
      <c r="C214" s="51">
        <v>49</v>
      </c>
      <c r="D214" s="18" t="s">
        <v>467</v>
      </c>
      <c r="E214" s="18">
        <v>10</v>
      </c>
      <c r="F214" s="18">
        <v>1</v>
      </c>
      <c r="G214" s="52">
        <v>1</v>
      </c>
      <c r="H214" s="237">
        <v>1</v>
      </c>
      <c r="I214" s="65">
        <v>1950</v>
      </c>
      <c r="J214" s="349">
        <v>3</v>
      </c>
      <c r="K214" s="346">
        <f t="shared" si="56"/>
        <v>4</v>
      </c>
      <c r="L214" s="346">
        <v>1</v>
      </c>
      <c r="M214" s="349">
        <v>3</v>
      </c>
      <c r="N214" s="255">
        <f t="shared" si="54"/>
        <v>2</v>
      </c>
      <c r="O214" s="310">
        <v>30</v>
      </c>
      <c r="P214" s="66">
        <v>1</v>
      </c>
      <c r="Q214" s="66"/>
      <c r="R214" s="66">
        <v>0</v>
      </c>
      <c r="S214" s="66">
        <v>21</v>
      </c>
      <c r="T214" s="66">
        <v>9</v>
      </c>
      <c r="U214" s="66">
        <v>0</v>
      </c>
      <c r="V214" s="66">
        <v>0</v>
      </c>
      <c r="W214" s="54">
        <v>0</v>
      </c>
      <c r="X214" s="55">
        <f>SUMIFS(Таблица3[Кол-во квартир],Таблица3[Адрес МКД],$D214)</f>
        <v>27</v>
      </c>
      <c r="Y214" s="56">
        <f t="shared" si="45"/>
        <v>3259.1</v>
      </c>
      <c r="Z214" s="253">
        <f>SUMIFS(Таблица3[Площадь жилая],Таблица3[Адрес МКД],$D214)</f>
        <v>1699.1</v>
      </c>
      <c r="AA214" s="261">
        <f>SUMIFS(Таблица3[Площадь нежилых помещений],Таблица3[Адрес МКД],$D214)</f>
        <v>277.5</v>
      </c>
      <c r="AB214" s="252">
        <f>SUMIFS(Таблица1[1],Таблица1[2],$D214)</f>
        <v>274.39999999999998</v>
      </c>
      <c r="AC214" s="57">
        <f t="shared" si="50"/>
        <v>274.39999999999998</v>
      </c>
      <c r="AD214" s="57">
        <f t="shared" si="51"/>
        <v>0</v>
      </c>
      <c r="AE214" s="58">
        <f>SUMIFS(Таблица1[8],Таблица1[2],$D214)+SUMIFS(Таблица1[18],Таблица1[2],$D214)</f>
        <v>74.7</v>
      </c>
      <c r="AF214" s="58">
        <f>SUMIFS(Таблица1[9],Таблица1[2],$D214)+SUMIFS(Таблица1[19],Таблица1[2],$D214)</f>
        <v>0</v>
      </c>
      <c r="AG214" s="59">
        <f t="shared" si="52"/>
        <v>1282.5</v>
      </c>
      <c r="AH214" s="59">
        <f t="shared" si="53"/>
        <v>1282.5</v>
      </c>
      <c r="AI214" s="60">
        <f>463.2-AM214</f>
        <v>260.39999999999998</v>
      </c>
      <c r="AJ214" s="60">
        <f t="shared" si="46"/>
        <v>260.39999999999998</v>
      </c>
      <c r="AK214" s="60">
        <f>SUMIFS(Таблица1[10],Таблица1[2],$D214)</f>
        <v>0</v>
      </c>
      <c r="AL214" s="60">
        <f>SUMIFS(Таблица1[11],Таблица1[2],$D214)</f>
        <v>0</v>
      </c>
      <c r="AM214" s="251">
        <v>202.8</v>
      </c>
      <c r="AN214" s="249">
        <f t="shared" si="47"/>
        <v>3.1000000000000227</v>
      </c>
      <c r="AO214" s="249">
        <f>SUMIFS(Таблица1[12],Таблица1[2],$D214)</f>
        <v>199.7</v>
      </c>
      <c r="AP214" s="249">
        <f>SUMIFS(Таблица1[13],Таблица1[2],$D214)</f>
        <v>0</v>
      </c>
      <c r="AQ214" s="61">
        <v>268.39999999999998</v>
      </c>
      <c r="AR214" s="61">
        <f t="shared" si="48"/>
        <v>268.39999999999998</v>
      </c>
      <c r="AS214" s="60">
        <f>SUMIFS(Таблица1[14],Таблица1[2],$D214)</f>
        <v>0</v>
      </c>
      <c r="AT214" s="60">
        <f>SUMIFS(Таблица1[15],Таблица1[2],$D214)</f>
        <v>0</v>
      </c>
      <c r="AU214" s="61">
        <v>753.7</v>
      </c>
      <c r="AV214" s="61">
        <f t="shared" si="49"/>
        <v>753.7</v>
      </c>
      <c r="AW214" s="60">
        <f>SUMIFS(Таблица1[16],Таблица1[2],$D214)</f>
        <v>0</v>
      </c>
      <c r="AX214" s="60">
        <f>SUMIFS(Таблица1[17],Таблица1[2],$D214)</f>
        <v>0</v>
      </c>
      <c r="AY214" s="263"/>
      <c r="AZ214" s="264"/>
      <c r="BA214" s="296">
        <v>0</v>
      </c>
      <c r="BB214" s="296">
        <f t="shared" si="57"/>
        <v>0</v>
      </c>
      <c r="BC214" s="296">
        <v>0</v>
      </c>
      <c r="BD214" s="296">
        <v>0</v>
      </c>
      <c r="BE214" s="285"/>
      <c r="BF214" s="259">
        <v>2035</v>
      </c>
      <c r="BG214" s="260">
        <v>7998</v>
      </c>
      <c r="BH214" s="62" t="s">
        <v>936</v>
      </c>
      <c r="BI214" s="62" t="s">
        <v>935</v>
      </c>
      <c r="BJ214" s="62"/>
      <c r="BK214" s="267"/>
      <c r="BL214" s="267"/>
      <c r="BM214" s="267" t="s">
        <v>1649</v>
      </c>
      <c r="BN214" s="268"/>
      <c r="BO214" s="62">
        <v>38</v>
      </c>
      <c r="BP214" s="63">
        <v>28525</v>
      </c>
      <c r="BQ214" s="64" t="s">
        <v>1131</v>
      </c>
      <c r="BR214" s="372" t="s">
        <v>2747</v>
      </c>
      <c r="BS214" s="62"/>
      <c r="BT214" s="323"/>
      <c r="BU214" s="62"/>
      <c r="BV214" s="323"/>
      <c r="BW214" s="62"/>
      <c r="BX214" s="336"/>
      <c r="BY214" s="336"/>
    </row>
    <row r="215" spans="1:77" ht="13.15" hidden="1" customHeight="1" outlineLevel="1" x14ac:dyDescent="0.2">
      <c r="A215" s="50">
        <f t="shared" si="55"/>
        <v>210</v>
      </c>
      <c r="B215" s="51">
        <v>39</v>
      </c>
      <c r="C215" s="51">
        <v>50</v>
      </c>
      <c r="D215" s="18" t="s">
        <v>386</v>
      </c>
      <c r="E215" s="18">
        <v>9</v>
      </c>
      <c r="F215" s="18">
        <v>1</v>
      </c>
      <c r="G215" s="52">
        <v>1</v>
      </c>
      <c r="H215" s="237">
        <v>1</v>
      </c>
      <c r="I215" s="65">
        <v>1948</v>
      </c>
      <c r="J215" s="349">
        <v>2</v>
      </c>
      <c r="K215" s="346">
        <f t="shared" si="56"/>
        <v>3</v>
      </c>
      <c r="L215" s="346">
        <v>1</v>
      </c>
      <c r="M215" s="349">
        <v>3</v>
      </c>
      <c r="N215" s="255">
        <f t="shared" si="54"/>
        <v>0</v>
      </c>
      <c r="O215" s="310">
        <v>18</v>
      </c>
      <c r="P215" s="66">
        <v>3</v>
      </c>
      <c r="Q215" s="66"/>
      <c r="R215" s="66">
        <v>0</v>
      </c>
      <c r="S215" s="66">
        <v>16</v>
      </c>
      <c r="T215" s="66">
        <v>2</v>
      </c>
      <c r="U215" s="66">
        <v>0</v>
      </c>
      <c r="V215" s="66">
        <v>0</v>
      </c>
      <c r="W215" s="54">
        <v>0</v>
      </c>
      <c r="X215" s="55">
        <f>SUMIFS(Таблица3[Кол-во квартир],Таблица3[Адрес МКД],$D215)</f>
        <v>15</v>
      </c>
      <c r="Y215" s="56">
        <f t="shared" si="45"/>
        <v>2259.6000000000004</v>
      </c>
      <c r="Z215" s="253">
        <f>SUMIFS(Таблица3[Площадь жилая],Таблица3[Адрес МКД],$D215)</f>
        <v>960.6</v>
      </c>
      <c r="AA215" s="261">
        <f>SUMIFS(Таблица3[Площадь нежилых помещений],Таблица3[Адрес МКД],$D215)</f>
        <v>190.1</v>
      </c>
      <c r="AB215" s="252">
        <f>SUMIFS(Таблица1[1],Таблица1[2],$D215)</f>
        <v>237.10000000000002</v>
      </c>
      <c r="AC215" s="57">
        <f t="shared" si="50"/>
        <v>190.10000000000002</v>
      </c>
      <c r="AD215" s="57">
        <f t="shared" si="51"/>
        <v>47</v>
      </c>
      <c r="AE215" s="58">
        <f>SUMIFS(Таблица1[8],Таблица1[2],$D215)+SUMIFS(Таблица1[18],Таблица1[2],$D215)</f>
        <v>190.10000000000002</v>
      </c>
      <c r="AF215" s="58">
        <f>SUMIFS(Таблица1[9],Таблица1[2],$D215)+SUMIFS(Таблица1[19],Таблица1[2],$D215)</f>
        <v>0</v>
      </c>
      <c r="AG215" s="59">
        <f t="shared" si="52"/>
        <v>1061.9000000000001</v>
      </c>
      <c r="AH215" s="59">
        <f t="shared" si="53"/>
        <v>1108.9000000000001</v>
      </c>
      <c r="AI215" s="60">
        <f>292.9-AM215</f>
        <v>292.89999999999998</v>
      </c>
      <c r="AJ215" s="60">
        <f t="shared" si="46"/>
        <v>245.89999999999998</v>
      </c>
      <c r="AK215" s="60">
        <f>SUMIFS(Таблица1[10],Таблица1[2],$D215)</f>
        <v>0</v>
      </c>
      <c r="AL215" s="60">
        <f>SUMIFS(Таблица1[11],Таблица1[2],$D215)</f>
        <v>47</v>
      </c>
      <c r="AM215" s="251">
        <v>0</v>
      </c>
      <c r="AN215" s="249">
        <f t="shared" si="47"/>
        <v>0</v>
      </c>
      <c r="AO215" s="249">
        <f>SUMIFS(Таблица1[12],Таблица1[2],$D215)</f>
        <v>0</v>
      </c>
      <c r="AP215" s="249">
        <f>SUMIFS(Таблица1[13],Таблица1[2],$D215)</f>
        <v>0</v>
      </c>
      <c r="AQ215" s="61">
        <v>104.1</v>
      </c>
      <c r="AR215" s="61">
        <f t="shared" si="48"/>
        <v>104.1</v>
      </c>
      <c r="AS215" s="60">
        <f>SUMIFS(Таблица1[14],Таблица1[2],$D215)</f>
        <v>0</v>
      </c>
      <c r="AT215" s="60">
        <f>SUMIFS(Таблица1[15],Таблица1[2],$D215)</f>
        <v>0</v>
      </c>
      <c r="AU215" s="61">
        <v>711.9</v>
      </c>
      <c r="AV215" s="61">
        <f t="shared" si="49"/>
        <v>711.9</v>
      </c>
      <c r="AW215" s="60">
        <f>SUMIFS(Таблица1[16],Таблица1[2],$D215)</f>
        <v>0</v>
      </c>
      <c r="AX215" s="60">
        <f>SUMIFS(Таблица1[17],Таблица1[2],$D215)</f>
        <v>0</v>
      </c>
      <c r="AY215" s="263"/>
      <c r="AZ215" s="264"/>
      <c r="BA215" s="296">
        <v>0</v>
      </c>
      <c r="BB215" s="296">
        <f t="shared" si="57"/>
        <v>0</v>
      </c>
      <c r="BC215" s="296">
        <v>0</v>
      </c>
      <c r="BD215" s="296">
        <v>0</v>
      </c>
      <c r="BE215" s="285"/>
      <c r="BF215" s="259">
        <v>925</v>
      </c>
      <c r="BG215" s="260">
        <v>5262</v>
      </c>
      <c r="BH215" s="62" t="s">
        <v>936</v>
      </c>
      <c r="BI215" s="62" t="s">
        <v>935</v>
      </c>
      <c r="BJ215" s="62" t="s">
        <v>944</v>
      </c>
      <c r="BK215" s="267"/>
      <c r="BL215" s="267"/>
      <c r="BM215" s="267" t="s">
        <v>1649</v>
      </c>
      <c r="BN215" s="268"/>
      <c r="BO215" s="62">
        <v>35</v>
      </c>
      <c r="BP215" s="63">
        <v>28587</v>
      </c>
      <c r="BQ215" s="64" t="s">
        <v>1131</v>
      </c>
      <c r="BR215" s="372" t="s">
        <v>2747</v>
      </c>
      <c r="BS215" s="62"/>
      <c r="BT215" s="323"/>
      <c r="BU215" s="62"/>
      <c r="BV215" s="323"/>
      <c r="BW215" s="62"/>
      <c r="BX215" s="336"/>
      <c r="BY215" s="336" t="s">
        <v>1649</v>
      </c>
    </row>
    <row r="216" spans="1:77" ht="13.15" hidden="1" customHeight="1" outlineLevel="1" x14ac:dyDescent="0.2">
      <c r="A216" s="50">
        <f t="shared" si="55"/>
        <v>211</v>
      </c>
      <c r="B216" s="51">
        <v>43</v>
      </c>
      <c r="C216" s="51">
        <v>51</v>
      </c>
      <c r="D216" s="18" t="s">
        <v>468</v>
      </c>
      <c r="E216" s="18">
        <v>10</v>
      </c>
      <c r="F216" s="18">
        <v>1</v>
      </c>
      <c r="G216" s="52">
        <v>1</v>
      </c>
      <c r="H216" s="237">
        <v>1</v>
      </c>
      <c r="I216" s="65">
        <v>1950</v>
      </c>
      <c r="J216" s="349">
        <v>3</v>
      </c>
      <c r="K216" s="346">
        <f t="shared" si="56"/>
        <v>4</v>
      </c>
      <c r="L216" s="346">
        <v>1</v>
      </c>
      <c r="M216" s="349">
        <v>3</v>
      </c>
      <c r="N216" s="255">
        <f t="shared" si="54"/>
        <v>0</v>
      </c>
      <c r="O216" s="310">
        <v>26</v>
      </c>
      <c r="P216" s="66">
        <v>0</v>
      </c>
      <c r="Q216" s="66"/>
      <c r="R216" s="66">
        <v>0</v>
      </c>
      <c r="S216" s="66">
        <v>24</v>
      </c>
      <c r="T216" s="66">
        <v>2</v>
      </c>
      <c r="U216" s="66">
        <v>0</v>
      </c>
      <c r="V216" s="66">
        <v>0</v>
      </c>
      <c r="W216" s="54">
        <v>0</v>
      </c>
      <c r="X216" s="55">
        <f>SUMIFS(Таблица3[Кол-во квартир],Таблица3[Адрес МКД],$D216)</f>
        <v>26</v>
      </c>
      <c r="Y216" s="56">
        <f t="shared" si="45"/>
        <v>2644.6000000000004</v>
      </c>
      <c r="Z216" s="253">
        <f>SUMIFS(Таблица3[Площадь жилая],Таблица3[Адрес МКД],$D216)</f>
        <v>1329.6</v>
      </c>
      <c r="AA216" s="261">
        <f>SUMIFS(Таблица3[Площадь нежилых помещений],Таблица3[Адрес МКД],$D216)</f>
        <v>0</v>
      </c>
      <c r="AB216" s="252">
        <f>SUMIFS(Таблица1[1],Таблица1[2],$D216)</f>
        <v>125.7</v>
      </c>
      <c r="AC216" s="57">
        <f t="shared" si="50"/>
        <v>125.7</v>
      </c>
      <c r="AD216" s="57">
        <f t="shared" si="51"/>
        <v>0</v>
      </c>
      <c r="AE216" s="58">
        <f>SUMIFS(Таблица1[8],Таблица1[2],$D216)+SUMIFS(Таблица1[18],Таблица1[2],$D216)</f>
        <v>0</v>
      </c>
      <c r="AF216" s="58">
        <f>SUMIFS(Таблица1[9],Таблица1[2],$D216)+SUMIFS(Таблица1[19],Таблица1[2],$D216)</f>
        <v>0</v>
      </c>
      <c r="AG216" s="59">
        <f t="shared" si="52"/>
        <v>1189.3000000000002</v>
      </c>
      <c r="AH216" s="59">
        <f t="shared" si="53"/>
        <v>1189.3000000000002</v>
      </c>
      <c r="AI216" s="60">
        <f>422.3-AM216</f>
        <v>422.3</v>
      </c>
      <c r="AJ216" s="60">
        <f t="shared" si="46"/>
        <v>296.60000000000002</v>
      </c>
      <c r="AK216" s="60">
        <f>SUMIFS(Таблица1[10],Таблица1[2],$D216)</f>
        <v>125.7</v>
      </c>
      <c r="AL216" s="60">
        <f>SUMIFS(Таблица1[11],Таблица1[2],$D216)</f>
        <v>0</v>
      </c>
      <c r="AM216" s="251">
        <v>0</v>
      </c>
      <c r="AN216" s="249">
        <f t="shared" si="47"/>
        <v>0</v>
      </c>
      <c r="AO216" s="249">
        <f>SUMIFS(Таблица1[12],Таблица1[2],$D216)</f>
        <v>0</v>
      </c>
      <c r="AP216" s="249">
        <f>SUMIFS(Таблица1[13],Таблица1[2],$D216)</f>
        <v>0</v>
      </c>
      <c r="AQ216" s="61">
        <v>288.8</v>
      </c>
      <c r="AR216" s="61">
        <f t="shared" si="48"/>
        <v>288.8</v>
      </c>
      <c r="AS216" s="60">
        <f>SUMIFS(Таблица1[14],Таблица1[2],$D216)</f>
        <v>0</v>
      </c>
      <c r="AT216" s="60">
        <f>SUMIFS(Таблица1[15],Таблица1[2],$D216)</f>
        <v>0</v>
      </c>
      <c r="AU216" s="61">
        <v>603.9</v>
      </c>
      <c r="AV216" s="61">
        <f t="shared" si="49"/>
        <v>603.9</v>
      </c>
      <c r="AW216" s="60">
        <f>SUMIFS(Таблица1[16],Таблица1[2],$D216)</f>
        <v>0</v>
      </c>
      <c r="AX216" s="60">
        <f>SUMIFS(Таблица1[17],Таблица1[2],$D216)</f>
        <v>0</v>
      </c>
      <c r="AY216" s="263">
        <f>Нежилые!G1261</f>
        <v>125.7</v>
      </c>
      <c r="AZ216" s="264"/>
      <c r="BA216" s="296">
        <v>0</v>
      </c>
      <c r="BB216" s="296">
        <f t="shared" si="57"/>
        <v>0</v>
      </c>
      <c r="BC216" s="296">
        <v>0</v>
      </c>
      <c r="BD216" s="296">
        <v>0</v>
      </c>
      <c r="BE216" s="285"/>
      <c r="BF216" s="259">
        <v>1950</v>
      </c>
      <c r="BG216" s="260">
        <f>2105+4401</f>
        <v>6506</v>
      </c>
      <c r="BH216" s="62" t="s">
        <v>936</v>
      </c>
      <c r="BI216" s="62" t="s">
        <v>935</v>
      </c>
      <c r="BJ216" s="62"/>
      <c r="BK216" s="267"/>
      <c r="BL216" s="267"/>
      <c r="BM216" s="267" t="s">
        <v>1649</v>
      </c>
      <c r="BN216" s="268"/>
      <c r="BO216" s="62">
        <v>16</v>
      </c>
      <c r="BP216" s="63">
        <v>27995</v>
      </c>
      <c r="BQ216" s="64" t="s">
        <v>1131</v>
      </c>
      <c r="BR216" s="372" t="s">
        <v>2747</v>
      </c>
      <c r="BS216" s="62"/>
      <c r="BT216" s="323"/>
      <c r="BU216" s="62"/>
      <c r="BV216" s="323"/>
      <c r="BW216" s="62"/>
      <c r="BX216" s="336"/>
      <c r="BY216" s="336"/>
    </row>
    <row r="217" spans="1:77" ht="13.15" hidden="1" customHeight="1" outlineLevel="1" x14ac:dyDescent="0.2">
      <c r="A217" s="50">
        <f t="shared" si="55"/>
        <v>212</v>
      </c>
      <c r="B217" s="51">
        <v>44</v>
      </c>
      <c r="C217" s="51">
        <v>52</v>
      </c>
      <c r="D217" s="18" t="s">
        <v>469</v>
      </c>
      <c r="E217" s="18">
        <v>10</v>
      </c>
      <c r="F217" s="18">
        <v>1</v>
      </c>
      <c r="G217" s="52">
        <v>1</v>
      </c>
      <c r="H217" s="237">
        <v>1</v>
      </c>
      <c r="I217" s="65">
        <v>1950</v>
      </c>
      <c r="J217" s="349">
        <v>3</v>
      </c>
      <c r="K217" s="346">
        <f t="shared" si="56"/>
        <v>4</v>
      </c>
      <c r="L217" s="346">
        <v>1</v>
      </c>
      <c r="M217" s="349">
        <v>2</v>
      </c>
      <c r="N217" s="255">
        <f t="shared" si="54"/>
        <v>1</v>
      </c>
      <c r="O217" s="310">
        <v>24</v>
      </c>
      <c r="P217" s="66">
        <v>0</v>
      </c>
      <c r="Q217" s="66"/>
      <c r="R217" s="66">
        <v>6</v>
      </c>
      <c r="S217" s="66">
        <v>12</v>
      </c>
      <c r="T217" s="66">
        <v>6</v>
      </c>
      <c r="U217" s="66">
        <v>0</v>
      </c>
      <c r="V217" s="66">
        <v>0</v>
      </c>
      <c r="W217" s="54">
        <v>0</v>
      </c>
      <c r="X217" s="55">
        <f>SUMIFS(Таблица3[Кол-во квартир],Таблица3[Адрес МКД],$D217)</f>
        <v>23</v>
      </c>
      <c r="Y217" s="56">
        <f t="shared" si="45"/>
        <v>3199.2</v>
      </c>
      <c r="Z217" s="253">
        <f>SUMIFS(Таблица3[Площадь жилая],Таблица3[Адрес МКД],$D217)</f>
        <v>1371</v>
      </c>
      <c r="AA217" s="261">
        <f>SUMIFS(Таблица3[Площадь нежилых помещений],Таблица3[Адрес МКД],$D217)</f>
        <v>623.6</v>
      </c>
      <c r="AB217" s="252">
        <f>SUMIFS(Таблица1[1],Таблица1[2],$D217)</f>
        <v>622.69999999999993</v>
      </c>
      <c r="AC217" s="57">
        <f t="shared" si="50"/>
        <v>622.69999999999993</v>
      </c>
      <c r="AD217" s="57">
        <f t="shared" si="51"/>
        <v>0</v>
      </c>
      <c r="AE217" s="58">
        <f>SUMIFS(Таблица1[8],Таблица1[2],$D217)+SUMIFS(Таблица1[18],Таблица1[2],$D217)</f>
        <v>382.99999999999994</v>
      </c>
      <c r="AF217" s="58">
        <f>SUMIFS(Таблица1[9],Таблица1[2],$D217)+SUMIFS(Таблица1[19],Таблица1[2],$D217)</f>
        <v>0</v>
      </c>
      <c r="AG217" s="59">
        <f>AJ217+AR217+AV217+AZ217+BB217</f>
        <v>1204.5999999999999</v>
      </c>
      <c r="AH217" s="59">
        <f>AJ217+AL217+AR217+AT217+AV217+AX217+BB217+BD217</f>
        <v>1204.5999999999999</v>
      </c>
      <c r="AI217" s="60">
        <f>514.5-AM217</f>
        <v>273.89999999999998</v>
      </c>
      <c r="AJ217" s="60">
        <f t="shared" si="46"/>
        <v>273.89999999999998</v>
      </c>
      <c r="AK217" s="60">
        <f>SUMIFS(Таблица1[10],Таблица1[2],$D217)</f>
        <v>0</v>
      </c>
      <c r="AL217" s="60">
        <f>SUMIFS(Таблица1[11],Таблица1[2],$D217)</f>
        <v>0</v>
      </c>
      <c r="AM217" s="251">
        <v>240.6</v>
      </c>
      <c r="AN217" s="249">
        <f t="shared" si="47"/>
        <v>0.90000000000000568</v>
      </c>
      <c r="AO217" s="249">
        <f>SUMIFS(Таблица1[12],Таблица1[2],$D217)</f>
        <v>239.7</v>
      </c>
      <c r="AP217" s="249">
        <f>SUMIFS(Таблица1[13],Таблица1[2],$D217)</f>
        <v>0</v>
      </c>
      <c r="AQ217" s="61">
        <v>234.1</v>
      </c>
      <c r="AR217" s="61">
        <f t="shared" si="48"/>
        <v>234.1</v>
      </c>
      <c r="AS217" s="60">
        <f>SUMIFS(Таблица1[14],Таблица1[2],$D217)</f>
        <v>0</v>
      </c>
      <c r="AT217" s="60">
        <f>SUMIFS(Таблица1[15],Таблица1[2],$D217)</f>
        <v>0</v>
      </c>
      <c r="AU217" s="61">
        <v>696.6</v>
      </c>
      <c r="AV217" s="61">
        <f t="shared" si="49"/>
        <v>696.6</v>
      </c>
      <c r="AW217" s="60">
        <f>SUMIFS(Таблица1[16],Таблица1[2],$D217)</f>
        <v>0</v>
      </c>
      <c r="AX217" s="60">
        <f>SUMIFS(Таблица1[17],Таблица1[2],$D217)</f>
        <v>0</v>
      </c>
      <c r="AY217" s="263"/>
      <c r="AZ217" s="264"/>
      <c r="BA217" s="296">
        <v>28.2</v>
      </c>
      <c r="BB217" s="296">
        <f t="shared" si="57"/>
        <v>0</v>
      </c>
      <c r="BC217" s="296">
        <f>Нежилые!I1265</f>
        <v>28.2</v>
      </c>
      <c r="BD217" s="296">
        <v>0</v>
      </c>
      <c r="BE217" s="285"/>
      <c r="BF217" s="259">
        <v>2209</v>
      </c>
      <c r="BG217" s="260">
        <f>737+2068+5121+30</f>
        <v>7956</v>
      </c>
      <c r="BH217" s="62" t="s">
        <v>936</v>
      </c>
      <c r="BI217" s="62" t="s">
        <v>935</v>
      </c>
      <c r="BJ217" s="62"/>
      <c r="BK217" s="267"/>
      <c r="BL217" s="267"/>
      <c r="BM217" s="267" t="s">
        <v>1649</v>
      </c>
      <c r="BN217" s="268"/>
      <c r="BO217" s="62">
        <v>23</v>
      </c>
      <c r="BP217" s="63">
        <v>28726</v>
      </c>
      <c r="BQ217" s="64" t="s">
        <v>1131</v>
      </c>
      <c r="BR217" s="372" t="s">
        <v>2747</v>
      </c>
      <c r="BS217" s="62"/>
      <c r="BT217" s="323"/>
      <c r="BU217" s="62"/>
      <c r="BV217" s="323"/>
      <c r="BW217" s="62"/>
      <c r="BX217" s="336"/>
      <c r="BY217" s="336"/>
    </row>
    <row r="218" spans="1:77" ht="13.15" hidden="1" customHeight="1" outlineLevel="1" x14ac:dyDescent="0.2">
      <c r="A218" s="50">
        <f t="shared" si="55"/>
        <v>213</v>
      </c>
      <c r="B218" s="51">
        <v>20</v>
      </c>
      <c r="C218" s="51">
        <v>53</v>
      </c>
      <c r="D218" s="18" t="s">
        <v>368</v>
      </c>
      <c r="E218" s="18">
        <v>9</v>
      </c>
      <c r="F218" s="18">
        <v>1</v>
      </c>
      <c r="G218" s="52">
        <v>1</v>
      </c>
      <c r="H218" s="237">
        <v>1</v>
      </c>
      <c r="I218" s="65">
        <v>1949</v>
      </c>
      <c r="J218" s="349">
        <v>3</v>
      </c>
      <c r="K218" s="346">
        <f t="shared" si="56"/>
        <v>4</v>
      </c>
      <c r="L218" s="346">
        <v>1</v>
      </c>
      <c r="M218" s="349">
        <v>3</v>
      </c>
      <c r="N218" s="255">
        <f t="shared" si="54"/>
        <v>0</v>
      </c>
      <c r="O218" s="310">
        <v>25</v>
      </c>
      <c r="P218" s="66">
        <v>2</v>
      </c>
      <c r="Q218" s="66"/>
      <c r="R218" s="66">
        <v>0</v>
      </c>
      <c r="S218" s="66">
        <v>21</v>
      </c>
      <c r="T218" s="66">
        <v>4</v>
      </c>
      <c r="U218" s="66">
        <v>0</v>
      </c>
      <c r="V218" s="66">
        <v>0</v>
      </c>
      <c r="W218" s="54">
        <v>0</v>
      </c>
      <c r="X218" s="55">
        <f>SUMIFS(Таблица3[Кол-во квартир],Таблица3[Адрес МКД],$D218)</f>
        <v>23</v>
      </c>
      <c r="Y218" s="56">
        <f t="shared" si="45"/>
        <v>2626.78</v>
      </c>
      <c r="Z218" s="253">
        <f>SUMIFS(Таблица3[Площадь жилая],Таблица3[Адрес МКД],$D218)</f>
        <v>1537.6000000000001</v>
      </c>
      <c r="AA218" s="261">
        <f>SUMIFS(Таблица3[Площадь нежилых помещений],Таблица3[Адрес МКД],$D218)</f>
        <v>132.30000000000001</v>
      </c>
      <c r="AB218" s="252">
        <f>SUMIFS(Таблица1[1],Таблица1[2],$D218)</f>
        <v>132.30000000000001</v>
      </c>
      <c r="AC218" s="57">
        <f t="shared" si="50"/>
        <v>132.30000000000001</v>
      </c>
      <c r="AD218" s="57">
        <f t="shared" si="51"/>
        <v>0</v>
      </c>
      <c r="AE218" s="58">
        <f>SUMIFS(Таблица1[8],Таблица1[2],$D218)+SUMIFS(Таблица1[18],Таблица1[2],$D218)</f>
        <v>132.30000000000001</v>
      </c>
      <c r="AF218" s="58">
        <f>SUMIFS(Таблица1[9],Таблица1[2],$D218)+SUMIFS(Таблица1[19],Таблица1[2],$D218)</f>
        <v>0</v>
      </c>
      <c r="AG218" s="59">
        <f t="shared" si="52"/>
        <v>956.88</v>
      </c>
      <c r="AH218" s="59">
        <f t="shared" si="53"/>
        <v>956.88</v>
      </c>
      <c r="AI218" s="60">
        <f>107.5-AM218</f>
        <v>107.5</v>
      </c>
      <c r="AJ218" s="60">
        <f t="shared" si="46"/>
        <v>107.5</v>
      </c>
      <c r="AK218" s="60">
        <f>SUMIFS(Таблица1[10],Таблица1[2],$D218)</f>
        <v>0</v>
      </c>
      <c r="AL218" s="60">
        <f>SUMIFS(Таблица1[11],Таблица1[2],$D218)</f>
        <v>0</v>
      </c>
      <c r="AM218" s="251">
        <v>0</v>
      </c>
      <c r="AN218" s="249">
        <f t="shared" si="47"/>
        <v>0</v>
      </c>
      <c r="AO218" s="249">
        <f>SUMIFS(Таблица1[12],Таблица1[2],$D218)</f>
        <v>0</v>
      </c>
      <c r="AP218" s="249">
        <f>SUMIFS(Таблица1[13],Таблица1[2],$D218)</f>
        <v>0</v>
      </c>
      <c r="AQ218" s="61">
        <v>147.78</v>
      </c>
      <c r="AR218" s="61">
        <f t="shared" si="48"/>
        <v>147.78</v>
      </c>
      <c r="AS218" s="60">
        <f>SUMIFS(Таблица1[14],Таблица1[2],$D218)</f>
        <v>0</v>
      </c>
      <c r="AT218" s="60">
        <f>SUMIFS(Таблица1[15],Таблица1[2],$D218)</f>
        <v>0</v>
      </c>
      <c r="AU218" s="61">
        <v>701.6</v>
      </c>
      <c r="AV218" s="61">
        <f t="shared" si="49"/>
        <v>701.6</v>
      </c>
      <c r="AW218" s="60">
        <f>SUMIFS(Таблица1[16],Таблица1[2],$D218)</f>
        <v>0</v>
      </c>
      <c r="AX218" s="60">
        <f>SUMIFS(Таблица1[17],Таблица1[2],$D218)</f>
        <v>0</v>
      </c>
      <c r="AY218" s="263"/>
      <c r="AZ218" s="264"/>
      <c r="BA218" s="296">
        <v>0</v>
      </c>
      <c r="BB218" s="296">
        <f t="shared" si="57"/>
        <v>0</v>
      </c>
      <c r="BC218" s="296">
        <v>0</v>
      </c>
      <c r="BD218" s="296">
        <v>0</v>
      </c>
      <c r="BE218" s="285"/>
      <c r="BF218" s="259">
        <v>2360</v>
      </c>
      <c r="BG218" s="260">
        <v>6101</v>
      </c>
      <c r="BH218" s="62" t="s">
        <v>939</v>
      </c>
      <c r="BI218" s="62" t="s">
        <v>935</v>
      </c>
      <c r="BJ218" s="62" t="s">
        <v>944</v>
      </c>
      <c r="BK218" s="267"/>
      <c r="BL218" s="267"/>
      <c r="BM218" s="267" t="s">
        <v>1649</v>
      </c>
      <c r="BN218" s="268"/>
      <c r="BO218" s="62">
        <v>27</v>
      </c>
      <c r="BP218" s="63">
        <v>30117</v>
      </c>
      <c r="BQ218" s="64" t="s">
        <v>1131</v>
      </c>
      <c r="BR218" s="372" t="s">
        <v>2747</v>
      </c>
      <c r="BS218" s="62"/>
      <c r="BT218" s="323"/>
      <c r="BU218" s="62"/>
      <c r="BV218" s="323"/>
      <c r="BW218" s="62"/>
      <c r="BX218" s="336"/>
      <c r="BY218" s="336" t="s">
        <v>1649</v>
      </c>
    </row>
    <row r="219" spans="1:77" ht="13.15" hidden="1" customHeight="1" outlineLevel="1" x14ac:dyDescent="0.2">
      <c r="A219" s="50">
        <f t="shared" si="55"/>
        <v>214</v>
      </c>
      <c r="B219" s="51">
        <v>45</v>
      </c>
      <c r="C219" s="51">
        <v>54</v>
      </c>
      <c r="D219" s="18" t="s">
        <v>470</v>
      </c>
      <c r="E219" s="18">
        <v>10</v>
      </c>
      <c r="F219" s="18">
        <v>1</v>
      </c>
      <c r="G219" s="52">
        <v>1</v>
      </c>
      <c r="H219" s="237">
        <v>1</v>
      </c>
      <c r="I219" s="65">
        <v>1948</v>
      </c>
      <c r="J219" s="349">
        <v>2</v>
      </c>
      <c r="K219" s="346">
        <f t="shared" si="56"/>
        <v>3</v>
      </c>
      <c r="L219" s="346">
        <v>1</v>
      </c>
      <c r="M219" s="349">
        <v>2</v>
      </c>
      <c r="N219" s="255">
        <f t="shared" si="54"/>
        <v>0</v>
      </c>
      <c r="O219" s="310">
        <v>12</v>
      </c>
      <c r="P219" s="66">
        <v>0</v>
      </c>
      <c r="Q219" s="66"/>
      <c r="R219" s="66">
        <v>0</v>
      </c>
      <c r="S219" s="66">
        <v>10</v>
      </c>
      <c r="T219" s="66">
        <v>2</v>
      </c>
      <c r="U219" s="66">
        <v>0</v>
      </c>
      <c r="V219" s="66">
        <v>0</v>
      </c>
      <c r="W219" s="54">
        <v>0</v>
      </c>
      <c r="X219" s="55">
        <f>SUMIFS(Таблица3[Кол-во квартир],Таблица3[Адрес МКД],$D219)</f>
        <v>12</v>
      </c>
      <c r="Y219" s="56">
        <f t="shared" si="45"/>
        <v>1645.4</v>
      </c>
      <c r="Z219" s="253">
        <f>SUMIFS(Таблица3[Площадь жилая],Таблица3[Адрес МКД],$D219)</f>
        <v>804.8</v>
      </c>
      <c r="AA219" s="261">
        <f>SUMIFS(Таблица3[Площадь нежилых помещений],Таблица3[Адрес МКД],$D219)</f>
        <v>0</v>
      </c>
      <c r="AB219" s="252">
        <f>SUMIFS(Таблица1[1],Таблица1[2],$D219)</f>
        <v>0</v>
      </c>
      <c r="AC219" s="57">
        <f t="shared" si="50"/>
        <v>0</v>
      </c>
      <c r="AD219" s="57">
        <f t="shared" si="51"/>
        <v>0</v>
      </c>
      <c r="AE219" s="58">
        <f>SUMIFS(Таблица1[8],Таблица1[2],$D219)+SUMIFS(Таблица1[18],Таблица1[2],$D219)</f>
        <v>0</v>
      </c>
      <c r="AF219" s="58">
        <f>SUMIFS(Таблица1[9],Таблица1[2],$D219)+SUMIFS(Таблица1[19],Таблица1[2],$D219)</f>
        <v>0</v>
      </c>
      <c r="AG219" s="59">
        <f t="shared" si="52"/>
        <v>840.6</v>
      </c>
      <c r="AH219" s="59">
        <f t="shared" si="53"/>
        <v>840.6</v>
      </c>
      <c r="AI219" s="60">
        <f>271.8-AM219</f>
        <v>271.8</v>
      </c>
      <c r="AJ219" s="60">
        <f t="shared" si="46"/>
        <v>271.8</v>
      </c>
      <c r="AK219" s="60">
        <f>SUMIFS(Таблица1[10],Таблица1[2],$D219)</f>
        <v>0</v>
      </c>
      <c r="AL219" s="60">
        <f>SUMIFS(Таблица1[11],Таблица1[2],$D219)</f>
        <v>0</v>
      </c>
      <c r="AM219" s="251">
        <v>0</v>
      </c>
      <c r="AN219" s="249">
        <f t="shared" si="47"/>
        <v>0</v>
      </c>
      <c r="AO219" s="249">
        <f>SUMIFS(Таблица1[12],Таблица1[2],$D219)</f>
        <v>0</v>
      </c>
      <c r="AP219" s="249">
        <f>SUMIFS(Таблица1[13],Таблица1[2],$D219)</f>
        <v>0</v>
      </c>
      <c r="AQ219" s="61">
        <v>68.8</v>
      </c>
      <c r="AR219" s="61">
        <f t="shared" si="48"/>
        <v>68.8</v>
      </c>
      <c r="AS219" s="60">
        <f>SUMIFS(Таблица1[14],Таблица1[2],$D219)</f>
        <v>0</v>
      </c>
      <c r="AT219" s="60">
        <f>SUMIFS(Таблица1[15],Таблица1[2],$D219)</f>
        <v>0</v>
      </c>
      <c r="AU219" s="61">
        <v>500</v>
      </c>
      <c r="AV219" s="61">
        <f t="shared" si="49"/>
        <v>500</v>
      </c>
      <c r="AW219" s="60">
        <f>SUMIFS(Таблица1[16],Таблица1[2],$D219)</f>
        <v>0</v>
      </c>
      <c r="AX219" s="60">
        <f>SUMIFS(Таблица1[17],Таблица1[2],$D219)</f>
        <v>0</v>
      </c>
      <c r="AY219" s="263"/>
      <c r="AZ219" s="264"/>
      <c r="BA219" s="296">
        <v>0</v>
      </c>
      <c r="BB219" s="296">
        <f t="shared" si="57"/>
        <v>0</v>
      </c>
      <c r="BC219" s="296">
        <v>0</v>
      </c>
      <c r="BD219" s="296">
        <v>0</v>
      </c>
      <c r="BE219" s="285"/>
      <c r="BF219" s="259">
        <v>1133</v>
      </c>
      <c r="BG219" s="260">
        <f>3606+12</f>
        <v>3618</v>
      </c>
      <c r="BH219" s="62" t="s">
        <v>936</v>
      </c>
      <c r="BI219" s="62" t="s">
        <v>935</v>
      </c>
      <c r="BJ219" s="62"/>
      <c r="BK219" s="267"/>
      <c r="BL219" s="267"/>
      <c r="BM219" s="267" t="s">
        <v>1649</v>
      </c>
      <c r="BN219" s="268"/>
      <c r="BO219" s="62">
        <v>30</v>
      </c>
      <c r="BP219" s="63">
        <v>30333</v>
      </c>
      <c r="BQ219" s="64" t="s">
        <v>1131</v>
      </c>
      <c r="BR219" s="372" t="s">
        <v>2747</v>
      </c>
      <c r="BS219" s="62"/>
      <c r="BT219" s="323"/>
      <c r="BU219" s="62"/>
      <c r="BV219" s="323"/>
      <c r="BW219" s="62"/>
      <c r="BX219" s="336"/>
      <c r="BY219" s="336" t="s">
        <v>1649</v>
      </c>
    </row>
    <row r="220" spans="1:77" ht="13.15" hidden="1" customHeight="1" outlineLevel="1" x14ac:dyDescent="0.2">
      <c r="A220" s="50">
        <f t="shared" si="55"/>
        <v>215</v>
      </c>
      <c r="B220" s="51">
        <v>46</v>
      </c>
      <c r="C220" s="51">
        <v>55</v>
      </c>
      <c r="D220" s="18" t="s">
        <v>471</v>
      </c>
      <c r="E220" s="18">
        <v>10</v>
      </c>
      <c r="F220" s="18">
        <v>1</v>
      </c>
      <c r="G220" s="52">
        <v>1</v>
      </c>
      <c r="H220" s="333"/>
      <c r="I220" s="65">
        <v>1949</v>
      </c>
      <c r="J220" s="349">
        <v>2</v>
      </c>
      <c r="K220" s="346">
        <f t="shared" si="56"/>
        <v>3</v>
      </c>
      <c r="L220" s="346">
        <v>1</v>
      </c>
      <c r="M220" s="349">
        <v>2</v>
      </c>
      <c r="N220" s="255">
        <f t="shared" si="54"/>
        <v>0</v>
      </c>
      <c r="O220" s="310">
        <v>16</v>
      </c>
      <c r="P220" s="66">
        <v>0</v>
      </c>
      <c r="Q220" s="66"/>
      <c r="R220" s="66">
        <v>4</v>
      </c>
      <c r="S220" s="66">
        <v>8</v>
      </c>
      <c r="T220" s="66">
        <v>4</v>
      </c>
      <c r="U220" s="66">
        <v>0</v>
      </c>
      <c r="V220" s="66">
        <v>0</v>
      </c>
      <c r="W220" s="54">
        <v>0</v>
      </c>
      <c r="X220" s="55">
        <f>SUMIFS(Таблица3[Кол-во квартир],Таблица3[Адрес МКД],$D220)</f>
        <v>16</v>
      </c>
      <c r="Y220" s="56">
        <f t="shared" si="45"/>
        <v>1747.3</v>
      </c>
      <c r="Z220" s="253">
        <f>SUMIFS(Таблица3[Площадь жилая],Таблица3[Адрес МКД],$D220)</f>
        <v>762.3</v>
      </c>
      <c r="AA220" s="261">
        <f>SUMIFS(Таблица3[Площадь нежилых помещений],Таблица3[Адрес МКД],$D220)</f>
        <v>218.5</v>
      </c>
      <c r="AB220" s="252">
        <f>SUMIFS(Таблица1[1],Таблица1[2],$D220)</f>
        <v>218.5</v>
      </c>
      <c r="AC220" s="57">
        <f t="shared" si="50"/>
        <v>218.5</v>
      </c>
      <c r="AD220" s="57">
        <f t="shared" si="51"/>
        <v>0</v>
      </c>
      <c r="AE220" s="58">
        <f>SUMIFS(Таблица1[8],Таблица1[2],$D220)+SUMIFS(Таблица1[18],Таблица1[2],$D220)</f>
        <v>0</v>
      </c>
      <c r="AF220" s="58">
        <f>SUMIFS(Таблица1[9],Таблица1[2],$D220)+SUMIFS(Таблица1[19],Таблица1[2],$D220)</f>
        <v>0</v>
      </c>
      <c r="AG220" s="59">
        <f t="shared" si="52"/>
        <v>766.5</v>
      </c>
      <c r="AH220" s="59">
        <f t="shared" si="53"/>
        <v>766.5</v>
      </c>
      <c r="AI220" s="60">
        <f>387-AM220</f>
        <v>168.5</v>
      </c>
      <c r="AJ220" s="60">
        <f t="shared" si="46"/>
        <v>168.5</v>
      </c>
      <c r="AK220" s="60">
        <f>SUMIFS(Таблица1[10],Таблица1[2],$D220)</f>
        <v>0</v>
      </c>
      <c r="AL220" s="60">
        <f>SUMIFS(Таблица1[11],Таблица1[2],$D220)</f>
        <v>0</v>
      </c>
      <c r="AM220" s="251">
        <v>218.5</v>
      </c>
      <c r="AN220" s="249">
        <f t="shared" si="47"/>
        <v>0</v>
      </c>
      <c r="AO220" s="249">
        <f>SUMIFS(Таблица1[12],Таблица1[2],$D220)</f>
        <v>218.5</v>
      </c>
      <c r="AP220" s="249">
        <f>SUMIFS(Таблица1[13],Таблица1[2],$D220)</f>
        <v>0</v>
      </c>
      <c r="AQ220" s="61">
        <v>120</v>
      </c>
      <c r="AR220" s="61">
        <f t="shared" si="48"/>
        <v>120</v>
      </c>
      <c r="AS220" s="60">
        <f>SUMIFS(Таблица1[14],Таблица1[2],$D220)</f>
        <v>0</v>
      </c>
      <c r="AT220" s="60">
        <f>SUMIFS(Таблица1[15],Таблица1[2],$D220)</f>
        <v>0</v>
      </c>
      <c r="AU220" s="61">
        <v>478</v>
      </c>
      <c r="AV220" s="61">
        <f t="shared" si="49"/>
        <v>478</v>
      </c>
      <c r="AW220" s="60">
        <f>SUMIFS(Таблица1[16],Таблица1[2],$D220)</f>
        <v>0</v>
      </c>
      <c r="AX220" s="60">
        <f>SUMIFS(Таблица1[17],Таблица1[2],$D220)</f>
        <v>0</v>
      </c>
      <c r="AY220" s="263"/>
      <c r="AZ220" s="264"/>
      <c r="BA220" s="296">
        <v>0</v>
      </c>
      <c r="BB220" s="296">
        <f t="shared" si="57"/>
        <v>0</v>
      </c>
      <c r="BC220" s="296">
        <v>0</v>
      </c>
      <c r="BD220" s="296">
        <v>0</v>
      </c>
      <c r="BE220" s="285"/>
      <c r="BF220" s="259">
        <v>942</v>
      </c>
      <c r="BG220" s="260">
        <v>1770</v>
      </c>
      <c r="BH220" s="62" t="s">
        <v>939</v>
      </c>
      <c r="BI220" s="62" t="s">
        <v>935</v>
      </c>
      <c r="BJ220" s="62"/>
      <c r="BK220" s="267"/>
      <c r="BL220" s="267"/>
      <c r="BM220" s="267" t="s">
        <v>1649</v>
      </c>
      <c r="BN220" s="268"/>
      <c r="BO220" s="62">
        <v>30</v>
      </c>
      <c r="BP220" s="63">
        <v>30404</v>
      </c>
      <c r="BQ220" s="64" t="s">
        <v>1131</v>
      </c>
      <c r="BR220" s="372" t="s">
        <v>2747</v>
      </c>
      <c r="BS220" s="62"/>
      <c r="BT220" s="323"/>
      <c r="BU220" s="62"/>
      <c r="BV220" s="323"/>
      <c r="BW220" s="62"/>
      <c r="BX220" s="336"/>
      <c r="BY220" s="336" t="s">
        <v>1649</v>
      </c>
    </row>
    <row r="221" spans="1:77" ht="13.15" hidden="1" customHeight="1" outlineLevel="1" x14ac:dyDescent="0.2">
      <c r="A221" s="50">
        <f t="shared" si="55"/>
        <v>216</v>
      </c>
      <c r="B221" s="51">
        <v>47</v>
      </c>
      <c r="C221" s="51">
        <v>56</v>
      </c>
      <c r="D221" s="18" t="s">
        <v>472</v>
      </c>
      <c r="E221" s="18">
        <v>10</v>
      </c>
      <c r="F221" s="18">
        <v>1</v>
      </c>
      <c r="G221" s="52">
        <v>1</v>
      </c>
      <c r="H221" s="237"/>
      <c r="I221" s="65">
        <v>1950</v>
      </c>
      <c r="J221" s="349">
        <v>3</v>
      </c>
      <c r="K221" s="346">
        <f t="shared" si="56"/>
        <v>4</v>
      </c>
      <c r="L221" s="346">
        <v>1</v>
      </c>
      <c r="M221" s="349">
        <v>3</v>
      </c>
      <c r="N221" s="255">
        <f t="shared" si="54"/>
        <v>0</v>
      </c>
      <c r="O221" s="310">
        <v>26</v>
      </c>
      <c r="P221" s="66">
        <v>1</v>
      </c>
      <c r="Q221" s="66"/>
      <c r="R221" s="66">
        <v>0</v>
      </c>
      <c r="S221" s="66">
        <v>24</v>
      </c>
      <c r="T221" s="66">
        <v>2</v>
      </c>
      <c r="U221" s="66">
        <v>0</v>
      </c>
      <c r="V221" s="66">
        <v>0</v>
      </c>
      <c r="W221" s="54">
        <v>0</v>
      </c>
      <c r="X221" s="55">
        <f>SUMIFS(Таблица3[Кол-во квартир],Таблица3[Адрес МКД],$D221)</f>
        <v>25</v>
      </c>
      <c r="Y221" s="56">
        <f t="shared" ref="Y221:Y252" si="58">Z221+AB221+AG221+AN221</f>
        <v>2696.5</v>
      </c>
      <c r="Z221" s="253">
        <f>SUMIFS(Таблица3[Площадь жилая],Таблица3[Адрес МКД],$D221)</f>
        <v>1281.5999999999999</v>
      </c>
      <c r="AA221" s="261">
        <f>SUMIFS(Таблица3[Площадь нежилых помещений],Таблица3[Адрес МКД],$D221)</f>
        <v>46.8</v>
      </c>
      <c r="AB221" s="252">
        <f>SUMIFS(Таблица1[1],Таблица1[2],$D221)</f>
        <v>46.8</v>
      </c>
      <c r="AC221" s="57">
        <f t="shared" si="50"/>
        <v>46.8</v>
      </c>
      <c r="AD221" s="57">
        <f t="shared" si="51"/>
        <v>0</v>
      </c>
      <c r="AE221" s="58">
        <f>SUMIFS(Таблица1[8],Таблица1[2],$D221)+SUMIFS(Таблица1[18],Таблица1[2],$D221)</f>
        <v>46.8</v>
      </c>
      <c r="AF221" s="58">
        <f>SUMIFS(Таблица1[9],Таблица1[2],$D221)+SUMIFS(Таблица1[19],Таблица1[2],$D221)</f>
        <v>0</v>
      </c>
      <c r="AG221" s="59">
        <f t="shared" si="52"/>
        <v>1368.1</v>
      </c>
      <c r="AH221" s="59">
        <f t="shared" si="53"/>
        <v>1368.1</v>
      </c>
      <c r="AI221" s="60">
        <f>443-AM221</f>
        <v>443</v>
      </c>
      <c r="AJ221" s="60">
        <f t="shared" si="46"/>
        <v>443</v>
      </c>
      <c r="AK221" s="60">
        <f>SUMIFS(Таблица1[10],Таблица1[2],$D221)</f>
        <v>0</v>
      </c>
      <c r="AL221" s="60">
        <f>SUMIFS(Таблица1[11],Таблица1[2],$D221)</f>
        <v>0</v>
      </c>
      <c r="AM221" s="251">
        <v>0</v>
      </c>
      <c r="AN221" s="249">
        <f t="shared" si="47"/>
        <v>0</v>
      </c>
      <c r="AO221" s="249">
        <f>SUMIFS(Таблица1[12],Таблица1[2],$D221)</f>
        <v>0</v>
      </c>
      <c r="AP221" s="249">
        <f>SUMIFS(Таблица1[13],Таблица1[2],$D221)</f>
        <v>0</v>
      </c>
      <c r="AQ221" s="61">
        <v>315.10000000000002</v>
      </c>
      <c r="AR221" s="61">
        <f t="shared" si="48"/>
        <v>315.10000000000002</v>
      </c>
      <c r="AS221" s="60">
        <f>SUMIFS(Таблица1[14],Таблица1[2],$D221)</f>
        <v>0</v>
      </c>
      <c r="AT221" s="60">
        <f>SUMIFS(Таблица1[15],Таблица1[2],$D221)</f>
        <v>0</v>
      </c>
      <c r="AU221" s="61">
        <v>610</v>
      </c>
      <c r="AV221" s="61">
        <f t="shared" si="49"/>
        <v>610</v>
      </c>
      <c r="AW221" s="60">
        <f>SUMIFS(Таблица1[16],Таблица1[2],$D221)</f>
        <v>0</v>
      </c>
      <c r="AX221" s="60">
        <f>SUMIFS(Таблица1[17],Таблица1[2],$D221)</f>
        <v>0</v>
      </c>
      <c r="AY221" s="263"/>
      <c r="AZ221" s="264"/>
      <c r="BA221" s="296">
        <v>0</v>
      </c>
      <c r="BB221" s="296">
        <f t="shared" si="57"/>
        <v>0</v>
      </c>
      <c r="BC221" s="296">
        <v>0</v>
      </c>
      <c r="BD221" s="296">
        <v>0</v>
      </c>
      <c r="BE221" s="285"/>
      <c r="BF221" s="259">
        <v>1499</v>
      </c>
      <c r="BG221" s="260">
        <f>6363+37</f>
        <v>6400</v>
      </c>
      <c r="BH221" s="62" t="s">
        <v>936</v>
      </c>
      <c r="BI221" s="62" t="s">
        <v>935</v>
      </c>
      <c r="BJ221" s="62"/>
      <c r="BK221" s="267"/>
      <c r="BL221" s="267"/>
      <c r="BM221" s="267" t="s">
        <v>1649</v>
      </c>
      <c r="BN221" s="268"/>
      <c r="BO221" s="62">
        <v>35</v>
      </c>
      <c r="BP221" s="63">
        <v>27995</v>
      </c>
      <c r="BQ221" s="64" t="s">
        <v>1131</v>
      </c>
      <c r="BR221" s="372" t="s">
        <v>2747</v>
      </c>
      <c r="BS221" s="62"/>
      <c r="BT221" s="323"/>
      <c r="BU221" s="62"/>
      <c r="BV221" s="323"/>
      <c r="BW221" s="62"/>
      <c r="BX221" s="336"/>
      <c r="BY221" s="336"/>
    </row>
    <row r="222" spans="1:77" ht="13.15" hidden="1" customHeight="1" outlineLevel="1" x14ac:dyDescent="0.2">
      <c r="A222" s="50">
        <f t="shared" si="55"/>
        <v>217</v>
      </c>
      <c r="B222" s="51">
        <v>48</v>
      </c>
      <c r="C222" s="51">
        <v>57</v>
      </c>
      <c r="D222" s="18" t="s">
        <v>473</v>
      </c>
      <c r="E222" s="18">
        <v>10</v>
      </c>
      <c r="F222" s="18">
        <v>1</v>
      </c>
      <c r="G222" s="52">
        <v>1</v>
      </c>
      <c r="H222" s="237">
        <v>1</v>
      </c>
      <c r="I222" s="65">
        <v>1950</v>
      </c>
      <c r="J222" s="349">
        <v>3</v>
      </c>
      <c r="K222" s="346">
        <f t="shared" si="56"/>
        <v>4</v>
      </c>
      <c r="L222" s="346">
        <v>1</v>
      </c>
      <c r="M222" s="349">
        <v>2</v>
      </c>
      <c r="N222" s="255">
        <f t="shared" si="54"/>
        <v>1</v>
      </c>
      <c r="O222" s="310">
        <v>24</v>
      </c>
      <c r="P222" s="66">
        <v>0</v>
      </c>
      <c r="Q222" s="66"/>
      <c r="R222" s="66">
        <v>6</v>
      </c>
      <c r="S222" s="66">
        <v>12</v>
      </c>
      <c r="T222" s="66">
        <v>6</v>
      </c>
      <c r="U222" s="66">
        <v>0</v>
      </c>
      <c r="V222" s="66">
        <v>0</v>
      </c>
      <c r="W222" s="54">
        <v>0</v>
      </c>
      <c r="X222" s="55">
        <f>SUMIFS(Таблица3[Кол-во квартир],Таблица3[Адрес МКД],$D222)</f>
        <v>23</v>
      </c>
      <c r="Y222" s="56">
        <f t="shared" si="58"/>
        <v>3123.1000000000004</v>
      </c>
      <c r="Z222" s="253">
        <f>SUMIFS(Таблица3[Площадь жилая],Таблица3[Адрес МКД],$D222)</f>
        <v>1370.4</v>
      </c>
      <c r="AA222" s="261">
        <f>SUMIFS(Таблица3[Площадь нежилых помещений],Таблица3[Адрес МКД],$D222)</f>
        <v>611.70000000000005</v>
      </c>
      <c r="AB222" s="252">
        <f>SUMIFS(Таблица1[1],Таблица1[2],$D222)</f>
        <v>611.70000000000005</v>
      </c>
      <c r="AC222" s="57">
        <f t="shared" si="50"/>
        <v>611.70000000000005</v>
      </c>
      <c r="AD222" s="57">
        <f t="shared" si="51"/>
        <v>0</v>
      </c>
      <c r="AE222" s="58">
        <f>SUMIFS(Таблица1[8],Таблица1[2],$D222)+SUMIFS(Таблица1[18],Таблица1[2],$D222)</f>
        <v>304.60000000000002</v>
      </c>
      <c r="AF222" s="58">
        <f>SUMIFS(Таблица1[9],Таблица1[2],$D222)+SUMIFS(Таблица1[19],Таблица1[2],$D222)</f>
        <v>0</v>
      </c>
      <c r="AG222" s="59">
        <f>AJ222+AR222+AV222+AZ222+BB222</f>
        <v>1141</v>
      </c>
      <c r="AH222" s="59">
        <f>AJ222+AL222+AR222+AT222+AV222+AX222+BB222+BD222</f>
        <v>1141</v>
      </c>
      <c r="AI222" s="60">
        <f>509.9-AM222</f>
        <v>267.5</v>
      </c>
      <c r="AJ222" s="60">
        <f t="shared" si="46"/>
        <v>202.8</v>
      </c>
      <c r="AK222" s="60">
        <f>SUMIFS(Таблица1[10],Таблица1[2],$D222)</f>
        <v>64.7</v>
      </c>
      <c r="AL222" s="60">
        <f>SUMIFS(Таблица1[11],Таблица1[2],$D222)</f>
        <v>0</v>
      </c>
      <c r="AM222" s="251">
        <v>242.4</v>
      </c>
      <c r="AN222" s="249">
        <f t="shared" si="47"/>
        <v>0</v>
      </c>
      <c r="AO222" s="249">
        <f>SUMIFS(Таблица1[12],Таблица1[2],$D222)</f>
        <v>242.4</v>
      </c>
      <c r="AP222" s="249">
        <f>SUMIFS(Таблица1[13],Таблица1[2],$D222)</f>
        <v>0</v>
      </c>
      <c r="AQ222" s="61">
        <v>230.2</v>
      </c>
      <c r="AR222" s="61">
        <f t="shared" si="48"/>
        <v>230.2</v>
      </c>
      <c r="AS222" s="60">
        <f>SUMIFS(Таблица1[14],Таблица1[2],$D222)</f>
        <v>0</v>
      </c>
      <c r="AT222" s="60">
        <f>SUMIFS(Таблица1[15],Таблица1[2],$D222)</f>
        <v>0</v>
      </c>
      <c r="AU222" s="61">
        <v>708</v>
      </c>
      <c r="AV222" s="61">
        <f t="shared" si="49"/>
        <v>708</v>
      </c>
      <c r="AW222" s="60">
        <f>SUMIFS(Таблица1[16],Таблица1[2],$D222)</f>
        <v>0</v>
      </c>
      <c r="AX222" s="60">
        <f>SUMIFS(Таблица1[17],Таблица1[2],$D222)</f>
        <v>0</v>
      </c>
      <c r="AY222" s="263"/>
      <c r="AZ222" s="264"/>
      <c r="BA222" s="296">
        <v>29</v>
      </c>
      <c r="BB222" s="296">
        <f t="shared" si="57"/>
        <v>0</v>
      </c>
      <c r="BC222" s="296">
        <f>Нежилые!I1276</f>
        <v>29</v>
      </c>
      <c r="BD222" s="296">
        <v>0</v>
      </c>
      <c r="BE222" s="285"/>
      <c r="BF222" s="259">
        <v>2282</v>
      </c>
      <c r="BG222" s="260">
        <f>7865+38</f>
        <v>7903</v>
      </c>
      <c r="BH222" s="62" t="s">
        <v>936</v>
      </c>
      <c r="BI222" s="62" t="s">
        <v>935</v>
      </c>
      <c r="BJ222" s="62"/>
      <c r="BK222" s="267"/>
      <c r="BL222" s="267"/>
      <c r="BM222" s="267" t="s">
        <v>1649</v>
      </c>
      <c r="BN222" s="268"/>
      <c r="BO222" s="62">
        <v>35</v>
      </c>
      <c r="BP222" s="63">
        <v>27995</v>
      </c>
      <c r="BQ222" s="64" t="s">
        <v>1131</v>
      </c>
      <c r="BR222" s="372" t="s">
        <v>2747</v>
      </c>
      <c r="BS222" s="62"/>
      <c r="BT222" s="323"/>
      <c r="BU222" s="62"/>
      <c r="BV222" s="323"/>
      <c r="BW222" s="62"/>
      <c r="BX222" s="336"/>
      <c r="BY222" s="336"/>
    </row>
    <row r="223" spans="1:77" ht="13.15" hidden="1" customHeight="1" outlineLevel="1" x14ac:dyDescent="0.2">
      <c r="A223" s="50">
        <f t="shared" si="55"/>
        <v>218</v>
      </c>
      <c r="B223" s="51">
        <v>49</v>
      </c>
      <c r="C223" s="51">
        <v>58</v>
      </c>
      <c r="D223" s="18" t="s">
        <v>474</v>
      </c>
      <c r="E223" s="18">
        <v>10</v>
      </c>
      <c r="F223" s="18">
        <v>1</v>
      </c>
      <c r="G223" s="52">
        <v>1</v>
      </c>
      <c r="H223" s="237">
        <v>1</v>
      </c>
      <c r="I223" s="65">
        <v>1948</v>
      </c>
      <c r="J223" s="349">
        <v>2</v>
      </c>
      <c r="K223" s="346">
        <f t="shared" si="56"/>
        <v>3</v>
      </c>
      <c r="L223" s="346">
        <v>1</v>
      </c>
      <c r="M223" s="349">
        <v>2</v>
      </c>
      <c r="N223" s="255">
        <f t="shared" si="54"/>
        <v>0</v>
      </c>
      <c r="O223" s="310">
        <v>12</v>
      </c>
      <c r="P223" s="66">
        <v>0</v>
      </c>
      <c r="Q223" s="66"/>
      <c r="R223" s="66">
        <v>0</v>
      </c>
      <c r="S223" s="66">
        <v>10</v>
      </c>
      <c r="T223" s="66">
        <v>2</v>
      </c>
      <c r="U223" s="66">
        <v>0</v>
      </c>
      <c r="V223" s="66">
        <v>0</v>
      </c>
      <c r="W223" s="54">
        <v>0</v>
      </c>
      <c r="X223" s="55">
        <f>SUMIFS(Таблица3[Кол-во квартир],Таблица3[Адрес МКД],$D223)</f>
        <v>12</v>
      </c>
      <c r="Y223" s="56">
        <f t="shared" si="58"/>
        <v>1425.8</v>
      </c>
      <c r="Z223" s="253">
        <f>SUMIFS(Таблица3[Площадь жилая],Таблица3[Адрес МКД],$D223)</f>
        <v>778</v>
      </c>
      <c r="AA223" s="261">
        <f>SUMIFS(Таблица3[Площадь нежилых помещений],Таблица3[Адрес МКД],$D223)</f>
        <v>0</v>
      </c>
      <c r="AB223" s="252">
        <f>SUMIFS(Таблица1[1],Таблица1[2],$D223)</f>
        <v>0</v>
      </c>
      <c r="AC223" s="57">
        <f t="shared" si="50"/>
        <v>0</v>
      </c>
      <c r="AD223" s="57">
        <f t="shared" si="51"/>
        <v>0</v>
      </c>
      <c r="AE223" s="58">
        <f>SUMIFS(Таблица1[8],Таблица1[2],$D223)+SUMIFS(Таблица1[18],Таблица1[2],$D223)</f>
        <v>0</v>
      </c>
      <c r="AF223" s="58">
        <f>SUMIFS(Таблица1[9],Таблица1[2],$D223)+SUMIFS(Таблица1[19],Таблица1[2],$D223)</f>
        <v>0</v>
      </c>
      <c r="AG223" s="59">
        <f t="shared" si="52"/>
        <v>647.79999999999995</v>
      </c>
      <c r="AH223" s="59">
        <f t="shared" si="53"/>
        <v>647.79999999999995</v>
      </c>
      <c r="AI223" s="60">
        <f>229.9-AM223</f>
        <v>229.9</v>
      </c>
      <c r="AJ223" s="60">
        <f t="shared" si="46"/>
        <v>229.9</v>
      </c>
      <c r="AK223" s="60">
        <f>SUMIFS(Таблица1[10],Таблица1[2],$D223)</f>
        <v>0</v>
      </c>
      <c r="AL223" s="60">
        <f>SUMIFS(Таблица1[11],Таблица1[2],$D223)</f>
        <v>0</v>
      </c>
      <c r="AM223" s="251">
        <v>0</v>
      </c>
      <c r="AN223" s="249">
        <f t="shared" si="47"/>
        <v>0</v>
      </c>
      <c r="AO223" s="249">
        <f>SUMIFS(Таблица1[12],Таблица1[2],$D223)</f>
        <v>0</v>
      </c>
      <c r="AP223" s="249">
        <f>SUMIFS(Таблица1[13],Таблица1[2],$D223)</f>
        <v>0</v>
      </c>
      <c r="AQ223" s="61">
        <v>66.900000000000006</v>
      </c>
      <c r="AR223" s="61">
        <f t="shared" si="48"/>
        <v>66.900000000000006</v>
      </c>
      <c r="AS223" s="60">
        <f>SUMIFS(Таблица1[14],Таблица1[2],$D223)</f>
        <v>0</v>
      </c>
      <c r="AT223" s="60">
        <f>SUMIFS(Таблица1[15],Таблица1[2],$D223)</f>
        <v>0</v>
      </c>
      <c r="AU223" s="61">
        <v>351</v>
      </c>
      <c r="AV223" s="61">
        <f t="shared" si="49"/>
        <v>351</v>
      </c>
      <c r="AW223" s="60">
        <f>SUMIFS(Таблица1[16],Таблица1[2],$D223)</f>
        <v>0</v>
      </c>
      <c r="AX223" s="60">
        <f>SUMIFS(Таблица1[17],Таблица1[2],$D223)</f>
        <v>0</v>
      </c>
      <c r="AY223" s="263"/>
      <c r="AZ223" s="264"/>
      <c r="BA223" s="296">
        <v>0</v>
      </c>
      <c r="BB223" s="296">
        <f t="shared" si="57"/>
        <v>0</v>
      </c>
      <c r="BC223" s="296">
        <v>0</v>
      </c>
      <c r="BD223" s="296">
        <v>0</v>
      </c>
      <c r="BE223" s="285"/>
      <c r="BF223" s="259">
        <f>873+414</f>
        <v>1287</v>
      </c>
      <c r="BG223" s="260">
        <v>3607</v>
      </c>
      <c r="BH223" s="62" t="s">
        <v>936</v>
      </c>
      <c r="BI223" s="62" t="s">
        <v>935</v>
      </c>
      <c r="BJ223" s="62"/>
      <c r="BK223" s="267"/>
      <c r="BL223" s="267"/>
      <c r="BM223" s="267" t="s">
        <v>1649</v>
      </c>
      <c r="BN223" s="268"/>
      <c r="BO223" s="62">
        <v>32</v>
      </c>
      <c r="BP223" s="63">
        <v>30138</v>
      </c>
      <c r="BQ223" s="64" t="s">
        <v>1131</v>
      </c>
      <c r="BR223" s="372" t="s">
        <v>2747</v>
      </c>
      <c r="BS223" s="62"/>
      <c r="BT223" s="323"/>
      <c r="BU223" s="62"/>
      <c r="BV223" s="323"/>
      <c r="BW223" s="62"/>
      <c r="BX223" s="336"/>
      <c r="BY223" s="336" t="s">
        <v>1649</v>
      </c>
    </row>
    <row r="224" spans="1:77" ht="13.15" hidden="1" customHeight="1" outlineLevel="1" x14ac:dyDescent="0.2">
      <c r="A224" s="50">
        <f t="shared" si="55"/>
        <v>219</v>
      </c>
      <c r="B224" s="51">
        <v>50</v>
      </c>
      <c r="C224" s="51">
        <v>59</v>
      </c>
      <c r="D224" s="18" t="s">
        <v>475</v>
      </c>
      <c r="E224" s="18">
        <v>10</v>
      </c>
      <c r="F224" s="18">
        <v>1</v>
      </c>
      <c r="G224" s="52">
        <v>1</v>
      </c>
      <c r="H224" s="333"/>
      <c r="I224" s="65">
        <v>1949</v>
      </c>
      <c r="J224" s="349">
        <v>2</v>
      </c>
      <c r="K224" s="346">
        <f t="shared" si="56"/>
        <v>3</v>
      </c>
      <c r="L224" s="346">
        <v>1</v>
      </c>
      <c r="M224" s="349">
        <v>2</v>
      </c>
      <c r="N224" s="255">
        <f t="shared" si="54"/>
        <v>0</v>
      </c>
      <c r="O224" s="310">
        <v>16</v>
      </c>
      <c r="P224" s="66">
        <v>0</v>
      </c>
      <c r="Q224" s="66"/>
      <c r="R224" s="66">
        <v>4</v>
      </c>
      <c r="S224" s="66">
        <v>8</v>
      </c>
      <c r="T224" s="66">
        <v>4</v>
      </c>
      <c r="U224" s="66">
        <v>0</v>
      </c>
      <c r="V224" s="66">
        <v>0</v>
      </c>
      <c r="W224" s="54">
        <v>0</v>
      </c>
      <c r="X224" s="55">
        <f>SUMIFS(Таблица3[Кол-во квартир],Таблица3[Адрес МКД],$D224)</f>
        <v>16</v>
      </c>
      <c r="Y224" s="56">
        <f t="shared" si="58"/>
        <v>1749.6</v>
      </c>
      <c r="Z224" s="253">
        <f>SUMIFS(Таблица3[Площадь жилая],Таблица3[Адрес МКД],$D224)</f>
        <v>761.6</v>
      </c>
      <c r="AA224" s="261">
        <f>SUMIFS(Таблица3[Площадь нежилых помещений],Таблица3[Адрес МКД],$D224)</f>
        <v>105.1</v>
      </c>
      <c r="AB224" s="252">
        <f>SUMIFS(Таблица1[1],Таблица1[2],$D224)</f>
        <v>105.1</v>
      </c>
      <c r="AC224" s="57">
        <f t="shared" si="50"/>
        <v>105.1</v>
      </c>
      <c r="AD224" s="57">
        <f t="shared" si="51"/>
        <v>0</v>
      </c>
      <c r="AE224" s="58">
        <f>SUMIFS(Таблица1[8],Таблица1[2],$D224)+SUMIFS(Таблица1[18],Таблица1[2],$D224)</f>
        <v>0</v>
      </c>
      <c r="AF224" s="58">
        <f>SUMIFS(Таблица1[9],Таблица1[2],$D224)+SUMIFS(Таблица1[19],Таблица1[2],$D224)</f>
        <v>0</v>
      </c>
      <c r="AG224" s="59">
        <f t="shared" si="52"/>
        <v>882.9</v>
      </c>
      <c r="AH224" s="59">
        <f t="shared" si="53"/>
        <v>882.9</v>
      </c>
      <c r="AI224" s="60">
        <f>387.9-AM224</f>
        <v>282.79999999999995</v>
      </c>
      <c r="AJ224" s="60">
        <f t="shared" si="46"/>
        <v>282.79999999999995</v>
      </c>
      <c r="AK224" s="60">
        <f>SUMIFS(Таблица1[10],Таблица1[2],$D224)</f>
        <v>0</v>
      </c>
      <c r="AL224" s="60">
        <f>SUMIFS(Таблица1[11],Таблица1[2],$D224)</f>
        <v>0</v>
      </c>
      <c r="AM224" s="251">
        <v>105.1</v>
      </c>
      <c r="AN224" s="249">
        <f t="shared" si="47"/>
        <v>0</v>
      </c>
      <c r="AO224" s="249">
        <f>SUMIFS(Таблица1[12],Таблица1[2],$D224)</f>
        <v>105.1</v>
      </c>
      <c r="AP224" s="249">
        <f>SUMIFS(Таблица1[13],Таблица1[2],$D224)</f>
        <v>0</v>
      </c>
      <c r="AQ224" s="61">
        <v>115.1</v>
      </c>
      <c r="AR224" s="61">
        <f t="shared" si="48"/>
        <v>115.1</v>
      </c>
      <c r="AS224" s="60">
        <f>SUMIFS(Таблица1[14],Таблица1[2],$D224)</f>
        <v>0</v>
      </c>
      <c r="AT224" s="60">
        <f>SUMIFS(Таблица1[15],Таблица1[2],$D224)</f>
        <v>0</v>
      </c>
      <c r="AU224" s="61">
        <v>485</v>
      </c>
      <c r="AV224" s="61">
        <f t="shared" si="49"/>
        <v>485</v>
      </c>
      <c r="AW224" s="60">
        <f>SUMIFS(Таблица1[16],Таблица1[2],$D224)</f>
        <v>0</v>
      </c>
      <c r="AX224" s="60">
        <f>SUMIFS(Таблица1[17],Таблица1[2],$D224)</f>
        <v>0</v>
      </c>
      <c r="AY224" s="263"/>
      <c r="AZ224" s="264"/>
      <c r="BA224" s="296">
        <v>0</v>
      </c>
      <c r="BB224" s="296">
        <f t="shared" si="57"/>
        <v>0</v>
      </c>
      <c r="BC224" s="296">
        <v>0</v>
      </c>
      <c r="BD224" s="296">
        <v>0</v>
      </c>
      <c r="BE224" s="285"/>
      <c r="BF224" s="259">
        <v>915</v>
      </c>
      <c r="BG224" s="260">
        <f>1769+1763</f>
        <v>3532</v>
      </c>
      <c r="BH224" s="62" t="s">
        <v>936</v>
      </c>
      <c r="BI224" s="62" t="s">
        <v>935</v>
      </c>
      <c r="BJ224" s="62"/>
      <c r="BK224" s="267"/>
      <c r="BL224" s="267"/>
      <c r="BM224" s="267" t="s">
        <v>1649</v>
      </c>
      <c r="BN224" s="268"/>
      <c r="BO224" s="62">
        <v>30</v>
      </c>
      <c r="BP224" s="63">
        <v>30404</v>
      </c>
      <c r="BQ224" s="64" t="s">
        <v>1131</v>
      </c>
      <c r="BR224" s="372" t="s">
        <v>2747</v>
      </c>
      <c r="BS224" s="62"/>
      <c r="BT224" s="323"/>
      <c r="BU224" s="62"/>
      <c r="BV224" s="323"/>
      <c r="BW224" s="62"/>
      <c r="BX224" s="336"/>
      <c r="BY224" s="336" t="s">
        <v>1649</v>
      </c>
    </row>
    <row r="225" spans="1:77" ht="13.15" hidden="1" customHeight="1" outlineLevel="1" x14ac:dyDescent="0.2">
      <c r="A225" s="50">
        <f t="shared" si="55"/>
        <v>220</v>
      </c>
      <c r="B225" s="51">
        <v>51</v>
      </c>
      <c r="C225" s="51">
        <v>60</v>
      </c>
      <c r="D225" s="18" t="s">
        <v>476</v>
      </c>
      <c r="E225" s="18">
        <v>10</v>
      </c>
      <c r="F225" s="18">
        <v>1</v>
      </c>
      <c r="G225" s="69"/>
      <c r="H225" s="333"/>
      <c r="I225" s="65">
        <v>1949</v>
      </c>
      <c r="J225" s="349">
        <v>2</v>
      </c>
      <c r="K225" s="346">
        <f t="shared" si="56"/>
        <v>3</v>
      </c>
      <c r="L225" s="346">
        <v>1</v>
      </c>
      <c r="M225" s="349">
        <v>2</v>
      </c>
      <c r="N225" s="255">
        <f t="shared" si="54"/>
        <v>1</v>
      </c>
      <c r="O225" s="310">
        <v>16</v>
      </c>
      <c r="P225" s="66">
        <v>0</v>
      </c>
      <c r="Q225" s="66"/>
      <c r="R225" s="66">
        <v>2</v>
      </c>
      <c r="S225" s="66">
        <v>10</v>
      </c>
      <c r="T225" s="66">
        <v>4</v>
      </c>
      <c r="U225" s="66">
        <v>0</v>
      </c>
      <c r="V225" s="66">
        <v>0</v>
      </c>
      <c r="W225" s="54">
        <v>0</v>
      </c>
      <c r="X225" s="55">
        <f>SUMIFS(Таблица3[Кол-во квартир],Таблица3[Адрес МКД],$D225)</f>
        <v>15</v>
      </c>
      <c r="Y225" s="56">
        <f t="shared" si="58"/>
        <v>1790.1999999999998</v>
      </c>
      <c r="Z225" s="253">
        <f>SUMIFS(Таблица3[Площадь жилая],Таблица3[Адрес МКД],$D225)</f>
        <v>794.8</v>
      </c>
      <c r="AA225" s="261">
        <f>SUMIFS(Таблица3[Площадь нежилых помещений],Таблица3[Адрес МКД],$D225)</f>
        <v>80.099999999999994</v>
      </c>
      <c r="AB225" s="252">
        <f>SUMIFS(Таблица1[1],Таблица1[2],$D225)</f>
        <v>80.099999999999994</v>
      </c>
      <c r="AC225" s="57">
        <f t="shared" si="50"/>
        <v>80.099999999999994</v>
      </c>
      <c r="AD225" s="57">
        <f t="shared" si="51"/>
        <v>0</v>
      </c>
      <c r="AE225" s="58">
        <f>SUMIFS(Таблица1[8],Таблица1[2],$D225)+SUMIFS(Таблица1[18],Таблица1[2],$D225)</f>
        <v>0</v>
      </c>
      <c r="AF225" s="58">
        <f>SUMIFS(Таблица1[9],Таблица1[2],$D225)+SUMIFS(Таблица1[19],Таблица1[2],$D225)</f>
        <v>0</v>
      </c>
      <c r="AG225" s="59">
        <f t="shared" si="52"/>
        <v>915.3</v>
      </c>
      <c r="AH225" s="59">
        <f t="shared" si="53"/>
        <v>915.3</v>
      </c>
      <c r="AI225" s="60">
        <f>387.9-AM225</f>
        <v>387.9</v>
      </c>
      <c r="AJ225" s="60">
        <f t="shared" si="46"/>
        <v>307.79999999999995</v>
      </c>
      <c r="AK225" s="60">
        <f>SUMIFS(Таблица1[10],Таблица1[2],$D225)</f>
        <v>80.099999999999994</v>
      </c>
      <c r="AL225" s="60">
        <f>SUMIFS(Таблица1[11],Таблица1[2],$D225)</f>
        <v>0</v>
      </c>
      <c r="AM225" s="251">
        <v>0</v>
      </c>
      <c r="AN225" s="249">
        <f t="shared" si="47"/>
        <v>0</v>
      </c>
      <c r="AO225" s="249">
        <f>SUMIFS(Таблица1[12],Таблица1[2],$D225)</f>
        <v>0</v>
      </c>
      <c r="AP225" s="249">
        <f>SUMIFS(Таблица1[13],Таблица1[2],$D225)</f>
        <v>0</v>
      </c>
      <c r="AQ225" s="61">
        <v>115.1</v>
      </c>
      <c r="AR225" s="61">
        <f t="shared" si="48"/>
        <v>115.1</v>
      </c>
      <c r="AS225" s="60">
        <f>SUMIFS(Таблица1[14],Таблица1[2],$D225)</f>
        <v>0</v>
      </c>
      <c r="AT225" s="60">
        <f>SUMIFS(Таблица1[15],Таблица1[2],$D225)</f>
        <v>0</v>
      </c>
      <c r="AU225" s="61">
        <v>492.4</v>
      </c>
      <c r="AV225" s="61">
        <f t="shared" si="49"/>
        <v>492.4</v>
      </c>
      <c r="AW225" s="60">
        <f>SUMIFS(Таблица1[16],Таблица1[2],$D225)</f>
        <v>0</v>
      </c>
      <c r="AX225" s="60">
        <f>SUMIFS(Таблица1[17],Таблица1[2],$D225)</f>
        <v>0</v>
      </c>
      <c r="AY225" s="263"/>
      <c r="AZ225" s="264"/>
      <c r="BA225" s="296">
        <v>0</v>
      </c>
      <c r="BB225" s="296">
        <f t="shared" si="57"/>
        <v>0</v>
      </c>
      <c r="BC225" s="296">
        <v>0</v>
      </c>
      <c r="BD225" s="296">
        <v>0</v>
      </c>
      <c r="BE225" s="285"/>
      <c r="BF225" s="259">
        <v>922</v>
      </c>
      <c r="BG225" s="260">
        <f>1836+1842</f>
        <v>3678</v>
      </c>
      <c r="BH225" s="62" t="s">
        <v>936</v>
      </c>
      <c r="BI225" s="62" t="s">
        <v>935</v>
      </c>
      <c r="BJ225" s="62"/>
      <c r="BK225" s="267"/>
      <c r="BL225" s="267"/>
      <c r="BM225" s="267" t="s">
        <v>1649</v>
      </c>
      <c r="BN225" s="268"/>
      <c r="BO225" s="62">
        <v>30</v>
      </c>
      <c r="BP225" s="63">
        <v>30404</v>
      </c>
      <c r="BQ225" s="64" t="s">
        <v>1131</v>
      </c>
      <c r="BR225" s="372" t="s">
        <v>2747</v>
      </c>
      <c r="BS225" s="62"/>
      <c r="BT225" s="323"/>
      <c r="BU225" s="62"/>
      <c r="BV225" s="323"/>
      <c r="BW225" s="62"/>
      <c r="BX225" s="336"/>
      <c r="BY225" s="336" t="s">
        <v>1649</v>
      </c>
    </row>
    <row r="226" spans="1:77" ht="13.15" hidden="1" customHeight="1" outlineLevel="1" x14ac:dyDescent="0.2">
      <c r="A226" s="50">
        <f t="shared" si="55"/>
        <v>221</v>
      </c>
      <c r="B226" s="51">
        <v>52</v>
      </c>
      <c r="C226" s="51">
        <v>61</v>
      </c>
      <c r="D226" s="18" t="s">
        <v>477</v>
      </c>
      <c r="E226" s="18">
        <v>10</v>
      </c>
      <c r="F226" s="18">
        <v>1</v>
      </c>
      <c r="G226" s="52">
        <v>1</v>
      </c>
      <c r="H226" s="237">
        <v>1</v>
      </c>
      <c r="I226" s="65">
        <v>1949</v>
      </c>
      <c r="J226" s="349">
        <v>3</v>
      </c>
      <c r="K226" s="346">
        <f t="shared" si="56"/>
        <v>4</v>
      </c>
      <c r="L226" s="346">
        <v>1</v>
      </c>
      <c r="M226" s="349">
        <v>2</v>
      </c>
      <c r="N226" s="255">
        <f t="shared" si="54"/>
        <v>0</v>
      </c>
      <c r="O226" s="310">
        <v>18</v>
      </c>
      <c r="P226" s="66">
        <v>1</v>
      </c>
      <c r="Q226" s="66"/>
      <c r="R226" s="66">
        <v>0</v>
      </c>
      <c r="S226" s="66">
        <v>18</v>
      </c>
      <c r="T226" s="66">
        <v>0</v>
      </c>
      <c r="U226" s="66">
        <v>0</v>
      </c>
      <c r="V226" s="66">
        <v>0</v>
      </c>
      <c r="W226" s="54">
        <v>0</v>
      </c>
      <c r="X226" s="55">
        <f>SUMIFS(Таблица3[Кол-во квартир],Таблица3[Адрес МКД],$D226)</f>
        <v>17</v>
      </c>
      <c r="Y226" s="56">
        <f t="shared" si="58"/>
        <v>2046.9</v>
      </c>
      <c r="Z226" s="253">
        <f>SUMIFS(Таблица3[Площадь жилая],Таблица3[Адрес МКД],$D226)</f>
        <v>1042.4000000000001</v>
      </c>
      <c r="AA226" s="261">
        <f>SUMIFS(Таблица3[Площадь нежилых помещений],Таблица3[Адрес МКД],$D226)</f>
        <v>232.2</v>
      </c>
      <c r="AB226" s="252">
        <f>SUMIFS(Таблица1[1],Таблица1[2],$D226)</f>
        <v>232.2</v>
      </c>
      <c r="AC226" s="57">
        <f t="shared" si="50"/>
        <v>232.2</v>
      </c>
      <c r="AD226" s="57">
        <f t="shared" si="51"/>
        <v>0</v>
      </c>
      <c r="AE226" s="58">
        <f>SUMIFS(Таблица1[8],Таблица1[2],$D226)+SUMIFS(Таблица1[18],Таблица1[2],$D226)</f>
        <v>60.5</v>
      </c>
      <c r="AF226" s="58">
        <f>SUMIFS(Таблица1[9],Таблица1[2],$D226)+SUMIFS(Таблица1[19],Таблица1[2],$D226)</f>
        <v>0</v>
      </c>
      <c r="AG226" s="59">
        <f t="shared" si="52"/>
        <v>772.3</v>
      </c>
      <c r="AH226" s="59">
        <f t="shared" si="53"/>
        <v>772.3</v>
      </c>
      <c r="AI226" s="60">
        <f>345.7-AM226</f>
        <v>174</v>
      </c>
      <c r="AJ226" s="60">
        <f t="shared" si="46"/>
        <v>174</v>
      </c>
      <c r="AK226" s="60">
        <f>SUMIFS(Таблица1[10],Таблица1[2],$D226)</f>
        <v>0</v>
      </c>
      <c r="AL226" s="60">
        <f>SUMIFS(Таблица1[11],Таблица1[2],$D226)</f>
        <v>0</v>
      </c>
      <c r="AM226" s="251">
        <v>171.7</v>
      </c>
      <c r="AN226" s="249">
        <f t="shared" si="47"/>
        <v>0</v>
      </c>
      <c r="AO226" s="249">
        <f>SUMIFS(Таблица1[12],Таблица1[2],$D226)</f>
        <v>171.7</v>
      </c>
      <c r="AP226" s="249">
        <f>SUMIFS(Таблица1[13],Таблица1[2],$D226)</f>
        <v>0</v>
      </c>
      <c r="AQ226" s="61">
        <v>132.6</v>
      </c>
      <c r="AR226" s="61">
        <f t="shared" si="48"/>
        <v>132.6</v>
      </c>
      <c r="AS226" s="60">
        <f>SUMIFS(Таблица1[14],Таблица1[2],$D226)</f>
        <v>0</v>
      </c>
      <c r="AT226" s="60">
        <f>SUMIFS(Таблица1[15],Таблица1[2],$D226)</f>
        <v>0</v>
      </c>
      <c r="AU226" s="61">
        <v>465.7</v>
      </c>
      <c r="AV226" s="61">
        <f t="shared" si="49"/>
        <v>465.7</v>
      </c>
      <c r="AW226" s="60">
        <f>SUMIFS(Таблица1[16],Таблица1[2],$D226)</f>
        <v>0</v>
      </c>
      <c r="AX226" s="60">
        <f>SUMIFS(Таблица1[17],Таблица1[2],$D226)</f>
        <v>0</v>
      </c>
      <c r="AY226" s="263"/>
      <c r="AZ226" s="264"/>
      <c r="BA226" s="296">
        <v>0</v>
      </c>
      <c r="BB226" s="296">
        <f t="shared" si="57"/>
        <v>0</v>
      </c>
      <c r="BC226" s="296">
        <v>0</v>
      </c>
      <c r="BD226" s="296">
        <v>0</v>
      </c>
      <c r="BE226" s="285"/>
      <c r="BF226" s="259">
        <v>1484</v>
      </c>
      <c r="BG226" s="260">
        <v>5312</v>
      </c>
      <c r="BH226" s="62" t="s">
        <v>936</v>
      </c>
      <c r="BI226" s="62" t="s">
        <v>935</v>
      </c>
      <c r="BJ226" s="62"/>
      <c r="BK226" s="267"/>
      <c r="BL226" s="267"/>
      <c r="BM226" s="267" t="s">
        <v>1649</v>
      </c>
      <c r="BN226" s="268"/>
      <c r="BO226" s="62">
        <v>33</v>
      </c>
      <c r="BP226" s="63">
        <v>31599</v>
      </c>
      <c r="BQ226" s="64" t="s">
        <v>1131</v>
      </c>
      <c r="BR226" s="372" t="s">
        <v>2747</v>
      </c>
      <c r="BS226" s="62"/>
      <c r="BT226" s="323"/>
      <c r="BU226" s="62"/>
      <c r="BV226" s="323"/>
      <c r="BW226" s="62"/>
      <c r="BX226" s="336"/>
      <c r="BY226" s="336" t="s">
        <v>1649</v>
      </c>
    </row>
    <row r="227" spans="1:77" ht="13.15" hidden="1" customHeight="1" outlineLevel="1" x14ac:dyDescent="0.2">
      <c r="A227" s="50">
        <f t="shared" si="55"/>
        <v>222</v>
      </c>
      <c r="B227" s="51">
        <v>21</v>
      </c>
      <c r="C227" s="51">
        <v>62</v>
      </c>
      <c r="D227" s="18" t="s">
        <v>369</v>
      </c>
      <c r="E227" s="18">
        <v>9</v>
      </c>
      <c r="F227" s="18">
        <v>1</v>
      </c>
      <c r="G227" s="52">
        <v>1</v>
      </c>
      <c r="H227" s="237">
        <v>1</v>
      </c>
      <c r="I227" s="65">
        <v>1949</v>
      </c>
      <c r="J227" s="349">
        <v>3</v>
      </c>
      <c r="K227" s="346">
        <f t="shared" si="56"/>
        <v>4</v>
      </c>
      <c r="L227" s="346">
        <v>1</v>
      </c>
      <c r="M227" s="349">
        <v>3</v>
      </c>
      <c r="N227" s="255">
        <f t="shared" si="54"/>
        <v>1</v>
      </c>
      <c r="O227" s="310">
        <v>27</v>
      </c>
      <c r="P227" s="66">
        <v>1</v>
      </c>
      <c r="Q227" s="66"/>
      <c r="R227" s="66">
        <v>6</v>
      </c>
      <c r="S227" s="66">
        <v>18</v>
      </c>
      <c r="T227" s="66">
        <v>3</v>
      </c>
      <c r="U227" s="66">
        <v>0</v>
      </c>
      <c r="V227" s="66">
        <v>0</v>
      </c>
      <c r="W227" s="54">
        <v>0</v>
      </c>
      <c r="X227" s="55">
        <f>SUMIFS(Таблица3[Кол-во квартир],Таблица3[Адрес МКД],$D227)</f>
        <v>25</v>
      </c>
      <c r="Y227" s="56">
        <f t="shared" si="58"/>
        <v>2806.1</v>
      </c>
      <c r="Z227" s="253">
        <f>SUMIFS(Таблица3[Площадь жилая],Таблица3[Адрес МКД],$D227)</f>
        <v>1445.8</v>
      </c>
      <c r="AA227" s="261">
        <f>SUMIFS(Таблица3[Площадь нежилых помещений],Таблица3[Адрес МКД],$D227)</f>
        <v>232.7</v>
      </c>
      <c r="AB227" s="252">
        <f>SUMIFS(Таблица1[1],Таблица1[2],$D227)</f>
        <v>232.7</v>
      </c>
      <c r="AC227" s="57">
        <f t="shared" si="50"/>
        <v>232.7</v>
      </c>
      <c r="AD227" s="57">
        <f t="shared" si="51"/>
        <v>0</v>
      </c>
      <c r="AE227" s="58">
        <f>SUMIFS(Таблица1[8],Таблица1[2],$D227)+SUMIFS(Таблица1[18],Таблица1[2],$D227)</f>
        <v>157.4</v>
      </c>
      <c r="AF227" s="58">
        <f>SUMIFS(Таблица1[9],Таблица1[2],$D227)+SUMIFS(Таблица1[19],Таблица1[2],$D227)</f>
        <v>0</v>
      </c>
      <c r="AG227" s="59">
        <f t="shared" si="52"/>
        <v>1127.5999999999999</v>
      </c>
      <c r="AH227" s="59">
        <f t="shared" si="53"/>
        <v>1127.5999999999999</v>
      </c>
      <c r="AI227" s="60">
        <f>324-AM227</f>
        <v>324</v>
      </c>
      <c r="AJ227" s="60">
        <f t="shared" si="46"/>
        <v>248.7</v>
      </c>
      <c r="AK227" s="60">
        <f>SUMIFS(Таблица1[10],Таблица1[2],$D227)</f>
        <v>75.3</v>
      </c>
      <c r="AL227" s="60">
        <f>SUMIFS(Таблица1[11],Таблица1[2],$D227)</f>
        <v>0</v>
      </c>
      <c r="AM227" s="251">
        <v>0</v>
      </c>
      <c r="AN227" s="249">
        <f t="shared" si="47"/>
        <v>0</v>
      </c>
      <c r="AO227" s="249">
        <f>SUMIFS(Таблица1[12],Таблица1[2],$D227)</f>
        <v>0</v>
      </c>
      <c r="AP227" s="249">
        <f>SUMIFS(Таблица1[13],Таблица1[2],$D227)</f>
        <v>0</v>
      </c>
      <c r="AQ227" s="61">
        <v>203.8</v>
      </c>
      <c r="AR227" s="61">
        <f t="shared" si="48"/>
        <v>203.8</v>
      </c>
      <c r="AS227" s="60">
        <f>SUMIFS(Таблица1[14],Таблица1[2],$D227)</f>
        <v>0</v>
      </c>
      <c r="AT227" s="60">
        <f>SUMIFS(Таблица1[15],Таблица1[2],$D227)</f>
        <v>0</v>
      </c>
      <c r="AU227" s="61">
        <v>675.1</v>
      </c>
      <c r="AV227" s="61">
        <f t="shared" si="49"/>
        <v>675.1</v>
      </c>
      <c r="AW227" s="60">
        <f>SUMIFS(Таблица1[16],Таблица1[2],$D227)</f>
        <v>0</v>
      </c>
      <c r="AX227" s="60">
        <f>SUMIFS(Таблица1[17],Таблица1[2],$D227)</f>
        <v>0</v>
      </c>
      <c r="AY227" s="263"/>
      <c r="AZ227" s="264"/>
      <c r="BA227" s="296">
        <v>0</v>
      </c>
      <c r="BB227" s="296">
        <f t="shared" si="57"/>
        <v>0</v>
      </c>
      <c r="BC227" s="296">
        <v>0</v>
      </c>
      <c r="BD227" s="296">
        <v>0</v>
      </c>
      <c r="BE227" s="285"/>
      <c r="BF227" s="259">
        <v>1095</v>
      </c>
      <c r="BG227" s="260">
        <v>7393</v>
      </c>
      <c r="BH227" s="62" t="s">
        <v>936</v>
      </c>
      <c r="BI227" s="62" t="s">
        <v>935</v>
      </c>
      <c r="BJ227" s="62"/>
      <c r="BK227" s="267"/>
      <c r="BL227" s="267"/>
      <c r="BM227" s="267" t="s">
        <v>1649</v>
      </c>
      <c r="BN227" s="268"/>
      <c r="BO227" s="62">
        <v>26</v>
      </c>
      <c r="BP227" s="63">
        <v>29976</v>
      </c>
      <c r="BQ227" s="64" t="s">
        <v>1131</v>
      </c>
      <c r="BR227" s="372" t="s">
        <v>2747</v>
      </c>
      <c r="BS227" s="62"/>
      <c r="BT227" s="323"/>
      <c r="BU227" s="62"/>
      <c r="BV227" s="323"/>
      <c r="BW227" s="62"/>
      <c r="BX227" s="336"/>
      <c r="BY227" s="336" t="s">
        <v>1649</v>
      </c>
    </row>
    <row r="228" spans="1:77" ht="13.15" hidden="1" customHeight="1" outlineLevel="1" x14ac:dyDescent="0.2">
      <c r="A228" s="50">
        <f t="shared" si="55"/>
        <v>223</v>
      </c>
      <c r="B228" s="51">
        <v>22</v>
      </c>
      <c r="C228" s="51">
        <v>63</v>
      </c>
      <c r="D228" s="18" t="s">
        <v>370</v>
      </c>
      <c r="E228" s="18">
        <v>9</v>
      </c>
      <c r="F228" s="18">
        <v>1</v>
      </c>
      <c r="G228" s="52">
        <v>1</v>
      </c>
      <c r="H228" s="237">
        <v>1</v>
      </c>
      <c r="I228" s="65">
        <v>1949</v>
      </c>
      <c r="J228" s="349">
        <v>3</v>
      </c>
      <c r="K228" s="346">
        <f t="shared" si="56"/>
        <v>4</v>
      </c>
      <c r="L228" s="346">
        <v>1</v>
      </c>
      <c r="M228" s="349">
        <v>3</v>
      </c>
      <c r="N228" s="255">
        <f t="shared" si="54"/>
        <v>0</v>
      </c>
      <c r="O228" s="310">
        <v>30</v>
      </c>
      <c r="P228" s="66">
        <v>0</v>
      </c>
      <c r="Q228" s="66"/>
      <c r="R228" s="66">
        <v>6</v>
      </c>
      <c r="S228" s="66">
        <v>18</v>
      </c>
      <c r="T228" s="66">
        <v>6</v>
      </c>
      <c r="U228" s="66">
        <v>0</v>
      </c>
      <c r="V228" s="66">
        <v>0</v>
      </c>
      <c r="W228" s="54">
        <v>0</v>
      </c>
      <c r="X228" s="55">
        <f>SUMIFS(Таблица3[Кол-во квартир],Таблица3[Адрес МКД],$D228)</f>
        <v>30</v>
      </c>
      <c r="Y228" s="56">
        <f t="shared" si="58"/>
        <v>2913.6</v>
      </c>
      <c r="Z228" s="253">
        <f>SUMIFS(Таблица3[Площадь жилая],Таблица3[Адрес МКД],$D228)</f>
        <v>1693.3</v>
      </c>
      <c r="AA228" s="261">
        <f>SUMIFS(Таблица3[Площадь нежилых помещений],Таблица3[Адрес МКД],$D228)</f>
        <v>0</v>
      </c>
      <c r="AB228" s="252">
        <f>SUMIFS(Таблица1[1],Таблица1[2],$D228)</f>
        <v>87.5</v>
      </c>
      <c r="AC228" s="57">
        <f t="shared" si="50"/>
        <v>0</v>
      </c>
      <c r="AD228" s="57">
        <f t="shared" si="51"/>
        <v>87.5</v>
      </c>
      <c r="AE228" s="58">
        <f>SUMIFS(Таблица1[8],Таблица1[2],$D228)+SUMIFS(Таблица1[18],Таблица1[2],$D228)</f>
        <v>0</v>
      </c>
      <c r="AF228" s="58">
        <f>SUMIFS(Таблица1[9],Таблица1[2],$D228)+SUMIFS(Таблица1[19],Таблица1[2],$D228)</f>
        <v>0</v>
      </c>
      <c r="AG228" s="59">
        <f t="shared" si="52"/>
        <v>1132.8</v>
      </c>
      <c r="AH228" s="59">
        <f t="shared" si="53"/>
        <v>1220.3</v>
      </c>
      <c r="AI228" s="60">
        <f>326.1-AM228</f>
        <v>326.10000000000002</v>
      </c>
      <c r="AJ228" s="60">
        <f t="shared" si="46"/>
        <v>238.60000000000002</v>
      </c>
      <c r="AK228" s="60">
        <f>SUMIFS(Таблица1[10],Таблица1[2],$D228)</f>
        <v>0</v>
      </c>
      <c r="AL228" s="60">
        <f>SUMIFS(Таблица1[11],Таблица1[2],$D228)</f>
        <v>87.5</v>
      </c>
      <c r="AM228" s="251">
        <v>0</v>
      </c>
      <c r="AN228" s="249">
        <f t="shared" si="47"/>
        <v>0</v>
      </c>
      <c r="AO228" s="249">
        <f>SUMIFS(Таблица1[12],Таблица1[2],$D228)</f>
        <v>0</v>
      </c>
      <c r="AP228" s="249">
        <f>SUMIFS(Таблица1[13],Таблица1[2],$D228)</f>
        <v>0</v>
      </c>
      <c r="AQ228" s="61">
        <v>188.9</v>
      </c>
      <c r="AR228" s="61">
        <f t="shared" si="48"/>
        <v>188.9</v>
      </c>
      <c r="AS228" s="60">
        <f>SUMIFS(Таблица1[14],Таблица1[2],$D228)</f>
        <v>0</v>
      </c>
      <c r="AT228" s="60">
        <f>SUMIFS(Таблица1[15],Таблица1[2],$D228)</f>
        <v>0</v>
      </c>
      <c r="AU228" s="61">
        <v>705.3</v>
      </c>
      <c r="AV228" s="61">
        <f t="shared" si="49"/>
        <v>705.3</v>
      </c>
      <c r="AW228" s="60">
        <f>SUMIFS(Таблица1[16],Таблица1[2],$D228)</f>
        <v>0</v>
      </c>
      <c r="AX228" s="60">
        <f>SUMIFS(Таблица1[17],Таблица1[2],$D228)</f>
        <v>0</v>
      </c>
      <c r="AY228" s="263"/>
      <c r="AZ228" s="264"/>
      <c r="BA228" s="296">
        <v>0</v>
      </c>
      <c r="BB228" s="296">
        <f t="shared" si="57"/>
        <v>0</v>
      </c>
      <c r="BC228" s="296">
        <v>0</v>
      </c>
      <c r="BD228" s="296">
        <v>0</v>
      </c>
      <c r="BE228" s="285"/>
      <c r="BF228" s="259">
        <v>1952</v>
      </c>
      <c r="BG228" s="260">
        <v>7817</v>
      </c>
      <c r="BH228" s="62" t="s">
        <v>936</v>
      </c>
      <c r="BI228" s="62" t="s">
        <v>935</v>
      </c>
      <c r="BJ228" s="62" t="s">
        <v>944</v>
      </c>
      <c r="BK228" s="267"/>
      <c r="BL228" s="267"/>
      <c r="BM228" s="267" t="s">
        <v>1649</v>
      </c>
      <c r="BN228" s="268"/>
      <c r="BO228" s="62">
        <v>32</v>
      </c>
      <c r="BP228" s="63">
        <v>30996</v>
      </c>
      <c r="BQ228" s="64" t="s">
        <v>1131</v>
      </c>
      <c r="BR228" s="372" t="s">
        <v>2747</v>
      </c>
      <c r="BS228" s="62"/>
      <c r="BT228" s="323"/>
      <c r="BU228" s="62"/>
      <c r="BV228" s="323"/>
      <c r="BW228" s="62"/>
      <c r="BX228" s="336"/>
      <c r="BY228" s="336" t="s">
        <v>1649</v>
      </c>
    </row>
    <row r="229" spans="1:77" ht="13.15" hidden="1" customHeight="1" outlineLevel="1" x14ac:dyDescent="0.2">
      <c r="A229" s="50">
        <f t="shared" si="55"/>
        <v>224</v>
      </c>
      <c r="B229" s="51">
        <v>23</v>
      </c>
      <c r="C229" s="51">
        <v>64</v>
      </c>
      <c r="D229" s="18" t="s">
        <v>371</v>
      </c>
      <c r="E229" s="18">
        <v>9</v>
      </c>
      <c r="F229" s="18">
        <v>1</v>
      </c>
      <c r="G229" s="52">
        <v>1</v>
      </c>
      <c r="H229" s="366">
        <v>1</v>
      </c>
      <c r="I229" s="65">
        <v>1949</v>
      </c>
      <c r="J229" s="349">
        <v>3</v>
      </c>
      <c r="K229" s="346">
        <f t="shared" si="56"/>
        <v>4</v>
      </c>
      <c r="L229" s="346">
        <v>1</v>
      </c>
      <c r="M229" s="349">
        <v>2</v>
      </c>
      <c r="N229" s="255">
        <f t="shared" si="54"/>
        <v>0</v>
      </c>
      <c r="O229" s="310">
        <v>24</v>
      </c>
      <c r="P229" s="66">
        <v>0</v>
      </c>
      <c r="Q229" s="66"/>
      <c r="R229" s="66">
        <v>9</v>
      </c>
      <c r="S229" s="66">
        <v>9</v>
      </c>
      <c r="T229" s="66">
        <v>6</v>
      </c>
      <c r="U229" s="66">
        <v>0</v>
      </c>
      <c r="V229" s="66">
        <v>0</v>
      </c>
      <c r="W229" s="54">
        <v>0</v>
      </c>
      <c r="X229" s="55">
        <f>SUMIFS(Таблица3[Кол-во квартир],Таблица3[Адрес МКД],$D229)</f>
        <v>24</v>
      </c>
      <c r="Y229" s="56">
        <f t="shared" si="58"/>
        <v>2015.58</v>
      </c>
      <c r="Z229" s="253">
        <f>SUMIFS(Таблица3[Площадь жилая],Таблица3[Адрес МКД],$D229)</f>
        <v>1079.78</v>
      </c>
      <c r="AA229" s="261">
        <f>SUMIFS(Таблица3[Площадь нежилых помещений],Таблица3[Адрес МКД],$D229)</f>
        <v>261.89999999999998</v>
      </c>
      <c r="AB229" s="252">
        <f>SUMIFS(Таблица1[1],Таблица1[2],$D229)</f>
        <v>213.2</v>
      </c>
      <c r="AC229" s="57">
        <f t="shared" si="50"/>
        <v>213.2</v>
      </c>
      <c r="AD229" s="57">
        <f t="shared" si="51"/>
        <v>0</v>
      </c>
      <c r="AE229" s="58">
        <f>SUMIFS(Таблица1[8],Таблица1[2],$D229)+SUMIFS(Таблица1[18],Таблица1[2],$D229)</f>
        <v>0</v>
      </c>
      <c r="AF229" s="58">
        <f>SUMIFS(Таблица1[9],Таблица1[2],$D229)+SUMIFS(Таблица1[19],Таблица1[2],$D229)</f>
        <v>0</v>
      </c>
      <c r="AG229" s="59">
        <f t="shared" si="52"/>
        <v>722.6</v>
      </c>
      <c r="AH229" s="59">
        <f t="shared" si="53"/>
        <v>722.6</v>
      </c>
      <c r="AI229" s="60">
        <f>323.7-AM229</f>
        <v>110.5</v>
      </c>
      <c r="AJ229" s="60">
        <f t="shared" si="46"/>
        <v>110.5</v>
      </c>
      <c r="AK229" s="60">
        <f>SUMIFS(Таблица1[10],Таблица1[2],$D229)</f>
        <v>0</v>
      </c>
      <c r="AL229" s="60">
        <f>SUMIFS(Таблица1[11],Таблица1[2],$D229)</f>
        <v>0</v>
      </c>
      <c r="AM229" s="251">
        <v>213.2</v>
      </c>
      <c r="AN229" s="249">
        <f t="shared" si="47"/>
        <v>0</v>
      </c>
      <c r="AO229" s="249">
        <f>SUMIFS(Таблица1[12],Таблица1[2],$D229)</f>
        <v>213.2</v>
      </c>
      <c r="AP229" s="249">
        <f>SUMIFS(Таблица1[13],Таблица1[2],$D229)</f>
        <v>0</v>
      </c>
      <c r="AQ229" s="61">
        <v>161.80000000000001</v>
      </c>
      <c r="AR229" s="61">
        <f t="shared" si="48"/>
        <v>161.80000000000001</v>
      </c>
      <c r="AS229" s="60">
        <f>SUMIFS(Таблица1[14],Таблица1[2],$D229)</f>
        <v>0</v>
      </c>
      <c r="AT229" s="60">
        <f>SUMIFS(Таблица1[15],Таблица1[2],$D229)</f>
        <v>0</v>
      </c>
      <c r="AU229" s="61">
        <v>450.3</v>
      </c>
      <c r="AV229" s="61">
        <f t="shared" si="49"/>
        <v>450.3</v>
      </c>
      <c r="AW229" s="60">
        <f>SUMIFS(Таблица1[16],Таблица1[2],$D229)</f>
        <v>0</v>
      </c>
      <c r="AX229" s="60">
        <f>SUMIFS(Таблица1[17],Таблица1[2],$D229)</f>
        <v>0</v>
      </c>
      <c r="AY229" s="263"/>
      <c r="AZ229" s="264"/>
      <c r="BA229" s="296">
        <v>0</v>
      </c>
      <c r="BB229" s="296">
        <f t="shared" si="57"/>
        <v>0</v>
      </c>
      <c r="BC229" s="296">
        <v>0</v>
      </c>
      <c r="BD229" s="296">
        <v>0</v>
      </c>
      <c r="BE229" s="285"/>
      <c r="BF229" s="259">
        <v>999</v>
      </c>
      <c r="BG229" s="260">
        <v>5076</v>
      </c>
      <c r="BH229" s="62" t="s">
        <v>936</v>
      </c>
      <c r="BI229" s="62" t="s">
        <v>935</v>
      </c>
      <c r="BJ229" s="62" t="s">
        <v>944</v>
      </c>
      <c r="BK229" s="267"/>
      <c r="BL229" s="267"/>
      <c r="BM229" s="267" t="s">
        <v>1649</v>
      </c>
      <c r="BN229" s="268"/>
      <c r="BO229" s="62">
        <v>26</v>
      </c>
      <c r="BP229" s="63">
        <v>29976</v>
      </c>
      <c r="BQ229" s="64" t="s">
        <v>1131</v>
      </c>
      <c r="BR229" s="372" t="s">
        <v>2747</v>
      </c>
      <c r="BS229" s="62"/>
      <c r="BT229" s="323"/>
      <c r="BU229" s="62"/>
      <c r="BV229" s="323"/>
      <c r="BW229" s="62"/>
      <c r="BX229" s="336"/>
      <c r="BY229" s="336" t="s">
        <v>1649</v>
      </c>
    </row>
    <row r="230" spans="1:77" ht="13.15" hidden="1" customHeight="1" outlineLevel="1" x14ac:dyDescent="0.2">
      <c r="A230" s="50">
        <f t="shared" si="55"/>
        <v>225</v>
      </c>
      <c r="B230" s="51">
        <v>53</v>
      </c>
      <c r="C230" s="51">
        <v>65</v>
      </c>
      <c r="D230" s="18" t="s">
        <v>478</v>
      </c>
      <c r="E230" s="18">
        <v>10</v>
      </c>
      <c r="F230" s="18">
        <v>1</v>
      </c>
      <c r="G230" s="52">
        <v>1</v>
      </c>
      <c r="H230" s="237">
        <v>1</v>
      </c>
      <c r="I230" s="65">
        <v>1958</v>
      </c>
      <c r="J230" s="349">
        <v>4</v>
      </c>
      <c r="K230" s="346">
        <f t="shared" si="56"/>
        <v>5</v>
      </c>
      <c r="L230" s="346">
        <v>1</v>
      </c>
      <c r="M230" s="349">
        <v>4</v>
      </c>
      <c r="N230" s="255">
        <f t="shared" si="54"/>
        <v>0</v>
      </c>
      <c r="O230" s="310">
        <v>64</v>
      </c>
      <c r="P230" s="327">
        <v>3</v>
      </c>
      <c r="Q230" s="66"/>
      <c r="R230" s="66">
        <v>10</v>
      </c>
      <c r="S230" s="66">
        <v>30</v>
      </c>
      <c r="T230" s="66">
        <v>24</v>
      </c>
      <c r="U230" s="66">
        <v>0</v>
      </c>
      <c r="V230" s="66">
        <v>0</v>
      </c>
      <c r="W230" s="54">
        <v>0</v>
      </c>
      <c r="X230" s="55">
        <f>SUMIFS(Таблица3[Кол-во квартир],Таблица3[Адрес МКД],$D230)</f>
        <v>61</v>
      </c>
      <c r="Y230" s="56">
        <f t="shared" si="58"/>
        <v>6146.2</v>
      </c>
      <c r="Z230" s="253">
        <f>SUMIFS(Таблица3[Площадь жилая],Таблица3[Адрес МКД],$D230)</f>
        <v>3627.6</v>
      </c>
      <c r="AA230" s="261">
        <f>SUMIFS(Таблица3[Площадь нежилых помещений],Таблица3[Адрес МКД],$D230)</f>
        <v>188.2</v>
      </c>
      <c r="AB230" s="252">
        <f>SUMIFS(Таблица1[1],Таблица1[2],$D230)</f>
        <v>188.2</v>
      </c>
      <c r="AC230" s="57">
        <f t="shared" si="50"/>
        <v>188.2</v>
      </c>
      <c r="AD230" s="57">
        <f t="shared" si="51"/>
        <v>0</v>
      </c>
      <c r="AE230" s="58">
        <f>SUMIFS(Таблица1[8],Таблица1[2],$D230)+SUMIFS(Таблица1[18],Таблица1[2],$D230)</f>
        <v>104.1</v>
      </c>
      <c r="AF230" s="58">
        <f>SUMIFS(Таблица1[9],Таблица1[2],$D230)+SUMIFS(Таблица1[19],Таблица1[2],$D230)</f>
        <v>0</v>
      </c>
      <c r="AG230" s="59">
        <f t="shared" si="52"/>
        <v>2330.4</v>
      </c>
      <c r="AH230" s="59">
        <f t="shared" si="53"/>
        <v>2330.4</v>
      </c>
      <c r="AI230" s="60">
        <f>907.7-AM230</f>
        <v>907.7</v>
      </c>
      <c r="AJ230" s="60">
        <f t="shared" si="46"/>
        <v>823.6</v>
      </c>
      <c r="AK230" s="60">
        <f>SUMIFS(Таблица1[10],Таблица1[2],$D230)</f>
        <v>84.1</v>
      </c>
      <c r="AL230" s="60">
        <f>SUMIFS(Таблица1[11],Таблица1[2],$D230)</f>
        <v>0</v>
      </c>
      <c r="AM230" s="251">
        <v>0</v>
      </c>
      <c r="AN230" s="249">
        <f t="shared" si="47"/>
        <v>0</v>
      </c>
      <c r="AO230" s="249">
        <f>SUMIFS(Таблица1[12],Таблица1[2],$D230)</f>
        <v>0</v>
      </c>
      <c r="AP230" s="249">
        <f>SUMIFS(Таблица1[13],Таблица1[2],$D230)</f>
        <v>0</v>
      </c>
      <c r="AQ230" s="61">
        <f>426.8</f>
        <v>426.8</v>
      </c>
      <c r="AR230" s="61">
        <f t="shared" si="48"/>
        <v>426.8</v>
      </c>
      <c r="AS230" s="60">
        <f>SUMIFS(Таблица1[14],Таблица1[2],$D230)</f>
        <v>0</v>
      </c>
      <c r="AT230" s="60">
        <f>SUMIFS(Таблица1[15],Таблица1[2],$D230)</f>
        <v>0</v>
      </c>
      <c r="AU230" s="61">
        <v>1080</v>
      </c>
      <c r="AV230" s="61">
        <f t="shared" si="49"/>
        <v>1080</v>
      </c>
      <c r="AW230" s="60">
        <f>SUMIFS(Таблица1[16],Таблица1[2],$D230)</f>
        <v>0</v>
      </c>
      <c r="AX230" s="60">
        <f>SUMIFS(Таблица1[17],Таблица1[2],$D230)</f>
        <v>0</v>
      </c>
      <c r="AY230" s="263"/>
      <c r="AZ230" s="264"/>
      <c r="BA230" s="296">
        <v>0</v>
      </c>
      <c r="BB230" s="296">
        <f t="shared" si="57"/>
        <v>0</v>
      </c>
      <c r="BC230" s="296">
        <v>0</v>
      </c>
      <c r="BD230" s="296">
        <v>0</v>
      </c>
      <c r="BE230" s="285"/>
      <c r="BF230" s="259">
        <v>3556</v>
      </c>
      <c r="BG230" s="260">
        <v>15733</v>
      </c>
      <c r="BH230" s="62" t="s">
        <v>940</v>
      </c>
      <c r="BI230" s="62" t="s">
        <v>935</v>
      </c>
      <c r="BJ230" s="62"/>
      <c r="BK230" s="267"/>
      <c r="BL230" s="267"/>
      <c r="BM230" s="267" t="s">
        <v>1649</v>
      </c>
      <c r="BN230" s="268"/>
      <c r="BO230" s="62">
        <v>27</v>
      </c>
      <c r="BP230" s="63">
        <v>31876</v>
      </c>
      <c r="BQ230" s="64" t="s">
        <v>1131</v>
      </c>
      <c r="BR230" s="372" t="s">
        <v>2747</v>
      </c>
      <c r="BS230" s="62"/>
      <c r="BT230" s="323"/>
      <c r="BU230" s="62"/>
      <c r="BV230" s="323"/>
      <c r="BW230" s="62"/>
      <c r="BX230" s="336"/>
      <c r="BY230" s="336"/>
    </row>
    <row r="231" spans="1:77" ht="13.15" hidden="1" customHeight="1" outlineLevel="1" x14ac:dyDescent="0.2">
      <c r="A231" s="50">
        <f t="shared" si="55"/>
        <v>226</v>
      </c>
      <c r="B231" s="51">
        <v>24</v>
      </c>
      <c r="C231" s="51">
        <v>66</v>
      </c>
      <c r="D231" s="18" t="s">
        <v>372</v>
      </c>
      <c r="E231" s="18">
        <v>9</v>
      </c>
      <c r="F231" s="18">
        <v>1</v>
      </c>
      <c r="G231" s="52">
        <v>1</v>
      </c>
      <c r="H231" s="237">
        <v>1</v>
      </c>
      <c r="I231" s="65">
        <v>1949</v>
      </c>
      <c r="J231" s="349">
        <v>2</v>
      </c>
      <c r="K231" s="346">
        <f t="shared" si="56"/>
        <v>3</v>
      </c>
      <c r="L231" s="346">
        <v>1</v>
      </c>
      <c r="M231" s="349">
        <v>3</v>
      </c>
      <c r="N231" s="255">
        <f t="shared" si="54"/>
        <v>0</v>
      </c>
      <c r="O231" s="310">
        <v>20</v>
      </c>
      <c r="P231" s="66">
        <v>0</v>
      </c>
      <c r="Q231" s="66"/>
      <c r="R231" s="66">
        <v>0</v>
      </c>
      <c r="S231" s="66">
        <v>20</v>
      </c>
      <c r="T231" s="66">
        <v>0</v>
      </c>
      <c r="U231" s="66">
        <v>0</v>
      </c>
      <c r="V231" s="66">
        <v>0</v>
      </c>
      <c r="W231" s="54">
        <v>0</v>
      </c>
      <c r="X231" s="55">
        <f>SUMIFS(Таблица3[Кол-во квартир],Таблица3[Адрес МКД],$D231)</f>
        <v>20</v>
      </c>
      <c r="Y231" s="56">
        <f t="shared" si="58"/>
        <v>2496.6000000000004</v>
      </c>
      <c r="Z231" s="253">
        <f>SUMIFS(Таблица3[Площадь жилая],Таблица3[Адрес МКД],$D231)</f>
        <v>1226</v>
      </c>
      <c r="AA231" s="261">
        <f>SUMIFS(Таблица3[Площадь нежилых помещений],Таблица3[Адрес МКД],$D231)</f>
        <v>337.4</v>
      </c>
      <c r="AB231" s="252">
        <f>SUMIFS(Таблица1[1],Таблица1[2],$D231)</f>
        <v>337.4</v>
      </c>
      <c r="AC231" s="57">
        <f t="shared" si="50"/>
        <v>337.4</v>
      </c>
      <c r="AD231" s="57">
        <f t="shared" si="51"/>
        <v>0</v>
      </c>
      <c r="AE231" s="58">
        <f>SUMIFS(Таблица1[8],Таблица1[2],$D231)+SUMIFS(Таблица1[18],Таблица1[2],$D231)</f>
        <v>0</v>
      </c>
      <c r="AF231" s="58">
        <f>SUMIFS(Таблица1[9],Таблица1[2],$D231)+SUMIFS(Таблица1[19],Таблица1[2],$D231)</f>
        <v>0</v>
      </c>
      <c r="AG231" s="59">
        <f t="shared" si="52"/>
        <v>933.2</v>
      </c>
      <c r="AH231" s="59">
        <f t="shared" si="53"/>
        <v>933.2</v>
      </c>
      <c r="AI231" s="60">
        <f>442.6-AM231</f>
        <v>256.60000000000002</v>
      </c>
      <c r="AJ231" s="60">
        <f t="shared" si="46"/>
        <v>105.20000000000002</v>
      </c>
      <c r="AK231" s="60">
        <f>SUMIFS(Таблица1[10],Таблица1[2],$D231)</f>
        <v>151.4</v>
      </c>
      <c r="AL231" s="60">
        <f>SUMIFS(Таблица1[11],Таблица1[2],$D231)</f>
        <v>0</v>
      </c>
      <c r="AM231" s="251">
        <v>186</v>
      </c>
      <c r="AN231" s="249">
        <f t="shared" si="47"/>
        <v>0</v>
      </c>
      <c r="AO231" s="249">
        <f>SUMIFS(Таблица1[12],Таблица1[2],$D231)</f>
        <v>186</v>
      </c>
      <c r="AP231" s="249">
        <f>SUMIFS(Таблица1[13],Таблица1[2],$D231)</f>
        <v>0</v>
      </c>
      <c r="AQ231" s="61">
        <v>152.30000000000001</v>
      </c>
      <c r="AR231" s="61">
        <f t="shared" si="48"/>
        <v>152.30000000000001</v>
      </c>
      <c r="AS231" s="60">
        <f>SUMIFS(Таблица1[14],Таблица1[2],$D231)</f>
        <v>0</v>
      </c>
      <c r="AT231" s="60">
        <f>SUMIFS(Таблица1[15],Таблица1[2],$D231)</f>
        <v>0</v>
      </c>
      <c r="AU231" s="61">
        <v>675.7</v>
      </c>
      <c r="AV231" s="61">
        <f t="shared" si="49"/>
        <v>675.7</v>
      </c>
      <c r="AW231" s="60">
        <f>SUMIFS(Таблица1[16],Таблица1[2],$D231)</f>
        <v>0</v>
      </c>
      <c r="AX231" s="60">
        <f>SUMIFS(Таблица1[17],Таблица1[2],$D231)</f>
        <v>0</v>
      </c>
      <c r="AY231" s="263"/>
      <c r="AZ231" s="264"/>
      <c r="BA231" s="296">
        <v>0</v>
      </c>
      <c r="BB231" s="296">
        <f t="shared" si="57"/>
        <v>0</v>
      </c>
      <c r="BC231" s="296">
        <v>0</v>
      </c>
      <c r="BD231" s="296">
        <v>0</v>
      </c>
      <c r="BE231" s="285"/>
      <c r="BF231" s="259">
        <v>2322</v>
      </c>
      <c r="BG231" s="260">
        <v>4846</v>
      </c>
      <c r="BH231" s="62" t="s">
        <v>939</v>
      </c>
      <c r="BI231" s="62" t="s">
        <v>935</v>
      </c>
      <c r="BJ231" s="62" t="s">
        <v>944</v>
      </c>
      <c r="BK231" s="267"/>
      <c r="BL231" s="267"/>
      <c r="BM231" s="267" t="s">
        <v>1649</v>
      </c>
      <c r="BN231" s="268"/>
      <c r="BO231" s="62">
        <v>28</v>
      </c>
      <c r="BP231" s="63">
        <v>29998</v>
      </c>
      <c r="BQ231" s="64" t="s">
        <v>1131</v>
      </c>
      <c r="BR231" s="372" t="s">
        <v>2747</v>
      </c>
      <c r="BS231" s="62"/>
      <c r="BT231" s="323"/>
      <c r="BU231" s="62"/>
      <c r="BV231" s="323"/>
      <c r="BW231" s="62"/>
      <c r="BX231" s="336"/>
      <c r="BY231" s="336" t="s">
        <v>1649</v>
      </c>
    </row>
    <row r="232" spans="1:77" ht="13.15" hidden="1" customHeight="1" outlineLevel="1" x14ac:dyDescent="0.2">
      <c r="A232" s="50">
        <f t="shared" si="55"/>
        <v>227</v>
      </c>
      <c r="B232" s="51">
        <v>25</v>
      </c>
      <c r="C232" s="51">
        <v>67</v>
      </c>
      <c r="D232" s="18" t="s">
        <v>373</v>
      </c>
      <c r="E232" s="18">
        <v>9</v>
      </c>
      <c r="F232" s="18">
        <v>1</v>
      </c>
      <c r="G232" s="52">
        <v>1</v>
      </c>
      <c r="H232" s="237">
        <v>1</v>
      </c>
      <c r="I232" s="65">
        <v>1950</v>
      </c>
      <c r="J232" s="349">
        <v>3</v>
      </c>
      <c r="K232" s="346">
        <f t="shared" si="56"/>
        <v>4</v>
      </c>
      <c r="L232" s="346">
        <v>1</v>
      </c>
      <c r="M232" s="349">
        <v>3</v>
      </c>
      <c r="N232" s="255">
        <f t="shared" si="54"/>
        <v>0</v>
      </c>
      <c r="O232" s="310">
        <v>30</v>
      </c>
      <c r="P232" s="66">
        <v>3</v>
      </c>
      <c r="Q232" s="66"/>
      <c r="R232" s="66">
        <v>5</v>
      </c>
      <c r="S232" s="66">
        <v>23</v>
      </c>
      <c r="T232" s="66">
        <v>2</v>
      </c>
      <c r="U232" s="66">
        <v>0</v>
      </c>
      <c r="V232" s="66">
        <v>0</v>
      </c>
      <c r="W232" s="54">
        <v>0</v>
      </c>
      <c r="X232" s="55">
        <f>SUMIFS(Таблица3[Кол-во квартир],Таблица3[Адрес МКД],$D232)</f>
        <v>27</v>
      </c>
      <c r="Y232" s="56">
        <f t="shared" si="58"/>
        <v>2932.5</v>
      </c>
      <c r="Z232" s="253">
        <f>SUMIFS(Таблица3[Площадь жилая],Таблица3[Адрес МКД],$D232)</f>
        <v>1493.5</v>
      </c>
      <c r="AA232" s="261">
        <f>SUMIFS(Таблица3[Площадь нежилых помещений],Таблица3[Адрес МКД],$D232)</f>
        <v>289.7</v>
      </c>
      <c r="AB232" s="252">
        <f>SUMIFS(Таблица1[1],Таблица1[2],$D232)</f>
        <v>289.7</v>
      </c>
      <c r="AC232" s="57">
        <f t="shared" si="50"/>
        <v>289.7</v>
      </c>
      <c r="AD232" s="57">
        <f t="shared" si="51"/>
        <v>0</v>
      </c>
      <c r="AE232" s="58">
        <f>SUMIFS(Таблица1[8],Таблица1[2],$D232)+SUMIFS(Таблица1[18],Таблица1[2],$D232)</f>
        <v>191.79999999999998</v>
      </c>
      <c r="AF232" s="58">
        <f>SUMIFS(Таблица1[9],Таблица1[2],$D232)+SUMIFS(Таблица1[19],Таблица1[2],$D232)</f>
        <v>0</v>
      </c>
      <c r="AG232" s="59">
        <f t="shared" si="52"/>
        <v>1149.3</v>
      </c>
      <c r="AH232" s="59">
        <f t="shared" si="53"/>
        <v>1149.3</v>
      </c>
      <c r="AI232" s="60">
        <f>328.3-AM232</f>
        <v>328.3</v>
      </c>
      <c r="AJ232" s="60">
        <f t="shared" si="46"/>
        <v>230.4</v>
      </c>
      <c r="AK232" s="60">
        <f>SUMIFS(Таблица1[10],Таблица1[2],$D232)</f>
        <v>97.9</v>
      </c>
      <c r="AL232" s="60">
        <f>SUMIFS(Таблица1[11],Таблица1[2],$D232)</f>
        <v>0</v>
      </c>
      <c r="AM232" s="251">
        <v>0</v>
      </c>
      <c r="AN232" s="249">
        <f t="shared" si="47"/>
        <v>0</v>
      </c>
      <c r="AO232" s="249">
        <f>SUMIFS(Таблица1[12],Таблица1[2],$D232)</f>
        <v>0</v>
      </c>
      <c r="AP232" s="249">
        <f>SUMIFS(Таблица1[13],Таблица1[2],$D232)</f>
        <v>0</v>
      </c>
      <c r="AQ232" s="61">
        <v>192.9</v>
      </c>
      <c r="AR232" s="61">
        <f t="shared" si="48"/>
        <v>192.9</v>
      </c>
      <c r="AS232" s="60">
        <f>SUMIFS(Таблица1[14],Таблица1[2],$D232)</f>
        <v>0</v>
      </c>
      <c r="AT232" s="60">
        <f>SUMIFS(Таблица1[15],Таблица1[2],$D232)</f>
        <v>0</v>
      </c>
      <c r="AU232" s="61">
        <v>726</v>
      </c>
      <c r="AV232" s="61">
        <f t="shared" si="49"/>
        <v>726</v>
      </c>
      <c r="AW232" s="60">
        <f>SUMIFS(Таблица1[16],Таблица1[2],$D232)</f>
        <v>0</v>
      </c>
      <c r="AX232" s="60">
        <f>SUMIFS(Таблица1[17],Таблица1[2],$D232)</f>
        <v>0</v>
      </c>
      <c r="AY232" s="263"/>
      <c r="AZ232" s="264"/>
      <c r="BA232" s="296">
        <v>0</v>
      </c>
      <c r="BB232" s="296">
        <f t="shared" si="57"/>
        <v>0</v>
      </c>
      <c r="BC232" s="296">
        <v>0</v>
      </c>
      <c r="BD232" s="296">
        <v>0</v>
      </c>
      <c r="BE232" s="285"/>
      <c r="BF232" s="259">
        <v>1346</v>
      </c>
      <c r="BG232" s="260">
        <v>7854</v>
      </c>
      <c r="BH232" s="62" t="s">
        <v>936</v>
      </c>
      <c r="BI232" s="62" t="s">
        <v>935</v>
      </c>
      <c r="BJ232" s="62"/>
      <c r="BK232" s="267"/>
      <c r="BL232" s="267"/>
      <c r="BM232" s="267" t="s">
        <v>1649</v>
      </c>
      <c r="BN232" s="268"/>
      <c r="BO232" s="62">
        <v>49</v>
      </c>
      <c r="BP232" s="63">
        <v>44085</v>
      </c>
      <c r="BQ232" s="64" t="s">
        <v>1131</v>
      </c>
      <c r="BR232" s="372" t="s">
        <v>2747</v>
      </c>
      <c r="BS232" s="62"/>
      <c r="BT232" s="323"/>
      <c r="BU232" s="62"/>
      <c r="BV232" s="323"/>
      <c r="BW232" s="62"/>
      <c r="BX232" s="336"/>
      <c r="BY232" s="336"/>
    </row>
    <row r="233" spans="1:77" ht="13.15" hidden="1" customHeight="1" outlineLevel="1" x14ac:dyDescent="0.2">
      <c r="A233" s="50">
        <f t="shared" si="55"/>
        <v>228</v>
      </c>
      <c r="B233" s="51">
        <v>26</v>
      </c>
      <c r="C233" s="51">
        <v>68</v>
      </c>
      <c r="D233" s="18" t="s">
        <v>374</v>
      </c>
      <c r="E233" s="18">
        <v>9</v>
      </c>
      <c r="F233" s="18">
        <v>1</v>
      </c>
      <c r="G233" s="52">
        <v>1</v>
      </c>
      <c r="H233" s="237">
        <v>1</v>
      </c>
      <c r="I233" s="65">
        <v>1949</v>
      </c>
      <c r="J233" s="349">
        <v>2</v>
      </c>
      <c r="K233" s="346">
        <f t="shared" si="56"/>
        <v>3</v>
      </c>
      <c r="L233" s="346">
        <v>1</v>
      </c>
      <c r="M233" s="349">
        <v>4</v>
      </c>
      <c r="N233" s="255">
        <f t="shared" si="54"/>
        <v>0</v>
      </c>
      <c r="O233" s="310">
        <v>24</v>
      </c>
      <c r="P233" s="66">
        <v>2</v>
      </c>
      <c r="Q233" s="66"/>
      <c r="R233" s="66">
        <v>0</v>
      </c>
      <c r="S233" s="66">
        <v>22</v>
      </c>
      <c r="T233" s="66">
        <v>2</v>
      </c>
      <c r="U233" s="66">
        <v>0</v>
      </c>
      <c r="V233" s="66">
        <v>0</v>
      </c>
      <c r="W233" s="54">
        <v>0</v>
      </c>
      <c r="X233" s="55">
        <f>SUMIFS(Таблица3[Кол-во квартир],Таблица3[Адрес МКД],$D233)</f>
        <v>22</v>
      </c>
      <c r="Y233" s="56">
        <f t="shared" si="58"/>
        <v>3283.6</v>
      </c>
      <c r="Z233" s="253">
        <f>SUMIFS(Таблица3[Площадь жилая],Таблица3[Адрес МКД],$D233)</f>
        <v>1429.5</v>
      </c>
      <c r="AA233" s="261">
        <f>SUMIFS(Таблица3[Площадь нежилых помещений],Таблица3[Адрес МКД],$D233)</f>
        <v>221.1</v>
      </c>
      <c r="AB233" s="252">
        <f>SUMIFS(Таблица1[1],Таблица1[2],$D233)</f>
        <v>221.10000000000002</v>
      </c>
      <c r="AC233" s="57">
        <f t="shared" si="50"/>
        <v>221.10000000000002</v>
      </c>
      <c r="AD233" s="57">
        <f t="shared" si="51"/>
        <v>0</v>
      </c>
      <c r="AE233" s="58">
        <f>SUMIFS(Таблица1[8],Таблица1[2],$D233)+SUMIFS(Таблица1[18],Таблица1[2],$D233)</f>
        <v>143.9</v>
      </c>
      <c r="AF233" s="58">
        <f>SUMIFS(Таблица1[9],Таблица1[2],$D233)+SUMIFS(Таблица1[19],Таблица1[2],$D233)</f>
        <v>0</v>
      </c>
      <c r="AG233" s="59">
        <f t="shared" si="52"/>
        <v>1633</v>
      </c>
      <c r="AH233" s="59">
        <f t="shared" si="53"/>
        <v>1633</v>
      </c>
      <c r="AI233" s="60">
        <f>623.1-AM233</f>
        <v>623.1</v>
      </c>
      <c r="AJ233" s="60">
        <f t="shared" si="46"/>
        <v>545.9</v>
      </c>
      <c r="AK233" s="60">
        <f>SUMIFS(Таблица1[10],Таблица1[2],$D233)</f>
        <v>77.2</v>
      </c>
      <c r="AL233" s="60">
        <f>SUMIFS(Таблица1[11],Таблица1[2],$D233)</f>
        <v>0</v>
      </c>
      <c r="AM233" s="251">
        <v>0</v>
      </c>
      <c r="AN233" s="249">
        <f t="shared" si="47"/>
        <v>0</v>
      </c>
      <c r="AO233" s="249">
        <f>SUMIFS(Таблица1[12],Таблица1[2],$D233)</f>
        <v>0</v>
      </c>
      <c r="AP233" s="249">
        <f>SUMIFS(Таблица1[13],Таблица1[2],$D233)</f>
        <v>0</v>
      </c>
      <c r="AQ233" s="61">
        <f>69.8+69.7</f>
        <v>139.5</v>
      </c>
      <c r="AR233" s="61">
        <f t="shared" si="48"/>
        <v>139.5</v>
      </c>
      <c r="AS233" s="60">
        <f>SUMIFS(Таблица1[14],Таблица1[2],$D233)</f>
        <v>0</v>
      </c>
      <c r="AT233" s="60">
        <f>SUMIFS(Таблица1[15],Таблица1[2],$D233)</f>
        <v>0</v>
      </c>
      <c r="AU233" s="61">
        <v>947.6</v>
      </c>
      <c r="AV233" s="61">
        <f t="shared" si="49"/>
        <v>947.6</v>
      </c>
      <c r="AW233" s="60">
        <f>SUMIFS(Таблица1[16],Таблица1[2],$D233)</f>
        <v>0</v>
      </c>
      <c r="AX233" s="60">
        <f>SUMIFS(Таблица1[17],Таблица1[2],$D233)</f>
        <v>0</v>
      </c>
      <c r="AY233" s="263"/>
      <c r="AZ233" s="264"/>
      <c r="BA233" s="296">
        <v>0</v>
      </c>
      <c r="BB233" s="296">
        <f t="shared" si="57"/>
        <v>0</v>
      </c>
      <c r="BC233" s="296">
        <v>0</v>
      </c>
      <c r="BD233" s="296">
        <v>0</v>
      </c>
      <c r="BE233" s="285"/>
      <c r="BF233" s="259">
        <v>2384</v>
      </c>
      <c r="BG233" s="260">
        <v>7059</v>
      </c>
      <c r="BH233" s="62" t="s">
        <v>936</v>
      </c>
      <c r="BI233" s="62" t="s">
        <v>935</v>
      </c>
      <c r="BJ233" s="62" t="s">
        <v>944</v>
      </c>
      <c r="BK233" s="267"/>
      <c r="BL233" s="267"/>
      <c r="BM233" s="267" t="s">
        <v>1649</v>
      </c>
      <c r="BN233" s="268"/>
      <c r="BO233" s="62">
        <v>36</v>
      </c>
      <c r="BP233" s="63">
        <v>30060</v>
      </c>
      <c r="BQ233" s="64" t="s">
        <v>1131</v>
      </c>
      <c r="BR233" s="372" t="s">
        <v>2747</v>
      </c>
      <c r="BS233" s="62"/>
      <c r="BT233" s="323"/>
      <c r="BU233" s="62"/>
      <c r="BV233" s="323"/>
      <c r="BW233" s="62"/>
      <c r="BX233" s="336"/>
      <c r="BY233" s="336" t="s">
        <v>1649</v>
      </c>
    </row>
    <row r="234" spans="1:77" ht="13.15" hidden="1" customHeight="1" outlineLevel="1" x14ac:dyDescent="0.2">
      <c r="A234" s="50">
        <f t="shared" si="55"/>
        <v>229</v>
      </c>
      <c r="B234" s="51">
        <v>27</v>
      </c>
      <c r="C234" s="51">
        <v>69</v>
      </c>
      <c r="D234" s="18" t="s">
        <v>1325</v>
      </c>
      <c r="E234" s="18">
        <v>9</v>
      </c>
      <c r="F234" s="18">
        <v>1</v>
      </c>
      <c r="G234" s="52">
        <v>1</v>
      </c>
      <c r="H234" s="237">
        <v>1</v>
      </c>
      <c r="I234" s="65">
        <v>1950</v>
      </c>
      <c r="J234" s="349">
        <v>3</v>
      </c>
      <c r="K234" s="346">
        <f t="shared" si="56"/>
        <v>4</v>
      </c>
      <c r="L234" s="346">
        <v>1</v>
      </c>
      <c r="M234" s="349">
        <v>3</v>
      </c>
      <c r="N234" s="255">
        <f t="shared" si="54"/>
        <v>0</v>
      </c>
      <c r="O234" s="310">
        <v>24</v>
      </c>
      <c r="P234" s="66">
        <v>0</v>
      </c>
      <c r="Q234" s="66"/>
      <c r="R234" s="66">
        <v>4</v>
      </c>
      <c r="S234" s="66">
        <v>18</v>
      </c>
      <c r="T234" s="66">
        <v>2</v>
      </c>
      <c r="U234" s="66">
        <v>0</v>
      </c>
      <c r="V234" s="66">
        <v>0</v>
      </c>
      <c r="W234" s="54">
        <v>0</v>
      </c>
      <c r="X234" s="55">
        <f>SUMIFS(Таблица3[Кол-во квартир],Таблица3[Адрес МКД],$D234)</f>
        <v>24</v>
      </c>
      <c r="Y234" s="56">
        <f t="shared" si="58"/>
        <v>2610.4</v>
      </c>
      <c r="Z234" s="253">
        <f>SUMIFS(Таблица3[Площадь жилая],Таблица3[Адрес МКД],$D234)</f>
        <v>1512</v>
      </c>
      <c r="AA234" s="261">
        <f>SUMIFS(Таблица3[Площадь нежилых помещений],Таблица3[Адрес МКД],$D234)</f>
        <v>68.2</v>
      </c>
      <c r="AB234" s="252">
        <f>SUMIFS(Таблица1[1],Таблица1[2],$D234)</f>
        <v>68.2</v>
      </c>
      <c r="AC234" s="57">
        <f t="shared" si="50"/>
        <v>68.2</v>
      </c>
      <c r="AD234" s="57">
        <f t="shared" si="51"/>
        <v>0</v>
      </c>
      <c r="AE234" s="58">
        <f>SUMIFS(Таблица1[8],Таблица1[2],$D234)+SUMIFS(Таблица1[18],Таблица1[2],$D234)</f>
        <v>4.5999999999999996</v>
      </c>
      <c r="AF234" s="58">
        <f>SUMIFS(Таблица1[9],Таблица1[2],$D234)+SUMIFS(Таблица1[19],Таблица1[2],$D234)</f>
        <v>0</v>
      </c>
      <c r="AG234" s="59">
        <f t="shared" si="52"/>
        <v>1030.2</v>
      </c>
      <c r="AH234" s="59">
        <f t="shared" si="53"/>
        <v>1030.2</v>
      </c>
      <c r="AI234" s="60">
        <f>228.1-AM234</f>
        <v>228.1</v>
      </c>
      <c r="AJ234" s="60">
        <f t="shared" si="46"/>
        <v>164.5</v>
      </c>
      <c r="AK234" s="60">
        <f>SUMIFS(Таблица1[10],Таблица1[2],$D234)</f>
        <v>63.6</v>
      </c>
      <c r="AL234" s="60">
        <f>SUMIFS(Таблица1[11],Таблица1[2],$D234)</f>
        <v>0</v>
      </c>
      <c r="AM234" s="251">
        <v>0</v>
      </c>
      <c r="AN234" s="249">
        <f t="shared" si="47"/>
        <v>0</v>
      </c>
      <c r="AO234" s="249">
        <f>SUMIFS(Таблица1[12],Таблица1[2],$D234)</f>
        <v>0</v>
      </c>
      <c r="AP234" s="249">
        <f>SUMIFS(Таблица1[13],Таблица1[2],$D234)</f>
        <v>0</v>
      </c>
      <c r="AQ234" s="61">
        <v>164.3</v>
      </c>
      <c r="AR234" s="61">
        <f t="shared" si="48"/>
        <v>164.3</v>
      </c>
      <c r="AS234" s="60">
        <f>SUMIFS(Таблица1[14],Таблица1[2],$D234)</f>
        <v>0</v>
      </c>
      <c r="AT234" s="60">
        <f>SUMIFS(Таблица1[15],Таблица1[2],$D234)</f>
        <v>0</v>
      </c>
      <c r="AU234" s="61">
        <v>701.4</v>
      </c>
      <c r="AV234" s="61">
        <f t="shared" si="49"/>
        <v>701.4</v>
      </c>
      <c r="AW234" s="60">
        <f>SUMIFS(Таблица1[16],Таблица1[2],$D234)</f>
        <v>0</v>
      </c>
      <c r="AX234" s="60">
        <f>SUMIFS(Таблица1[17],Таблица1[2],$D234)</f>
        <v>0</v>
      </c>
      <c r="AY234" s="263"/>
      <c r="AZ234" s="264"/>
      <c r="BA234" s="296">
        <v>0</v>
      </c>
      <c r="BB234" s="296">
        <f t="shared" si="57"/>
        <v>0</v>
      </c>
      <c r="BC234" s="296">
        <v>0</v>
      </c>
      <c r="BD234" s="296">
        <v>0</v>
      </c>
      <c r="BE234" s="285"/>
      <c r="BF234" s="259">
        <v>1471</v>
      </c>
      <c r="BG234" s="260">
        <f>2542+2541+1735</f>
        <v>6818</v>
      </c>
      <c r="BH234" s="62" t="s">
        <v>936</v>
      </c>
      <c r="BI234" s="62" t="s">
        <v>935</v>
      </c>
      <c r="BJ234" s="62"/>
      <c r="BK234" s="267"/>
      <c r="BL234" s="267"/>
      <c r="BM234" s="267" t="s">
        <v>1649</v>
      </c>
      <c r="BN234" s="268"/>
      <c r="BO234" s="62">
        <v>29</v>
      </c>
      <c r="BP234" s="63">
        <v>30025</v>
      </c>
      <c r="BQ234" s="64" t="s">
        <v>1131</v>
      </c>
      <c r="BR234" s="372" t="s">
        <v>2747</v>
      </c>
      <c r="BS234" s="62"/>
      <c r="BT234" s="323"/>
      <c r="BU234" s="62"/>
      <c r="BV234" s="323"/>
      <c r="BW234" s="62"/>
      <c r="BX234" s="336"/>
      <c r="BY234" s="336"/>
    </row>
    <row r="235" spans="1:77" ht="13.15" hidden="1" customHeight="1" outlineLevel="1" x14ac:dyDescent="0.2">
      <c r="A235" s="50">
        <f t="shared" si="55"/>
        <v>230</v>
      </c>
      <c r="B235" s="51">
        <v>28</v>
      </c>
      <c r="C235" s="51">
        <v>70</v>
      </c>
      <c r="D235" s="18" t="s">
        <v>375</v>
      </c>
      <c r="E235" s="18">
        <v>9</v>
      </c>
      <c r="F235" s="18">
        <v>1</v>
      </c>
      <c r="G235" s="52">
        <v>1</v>
      </c>
      <c r="H235" s="237">
        <v>1</v>
      </c>
      <c r="I235" s="65">
        <v>1949</v>
      </c>
      <c r="J235" s="349">
        <v>2</v>
      </c>
      <c r="K235" s="346">
        <f t="shared" si="56"/>
        <v>3</v>
      </c>
      <c r="L235" s="346">
        <v>1</v>
      </c>
      <c r="M235" s="349">
        <v>2</v>
      </c>
      <c r="N235" s="255">
        <f t="shared" si="54"/>
        <v>0</v>
      </c>
      <c r="O235" s="310">
        <v>12</v>
      </c>
      <c r="P235" s="66">
        <v>0</v>
      </c>
      <c r="Q235" s="66">
        <v>1</v>
      </c>
      <c r="R235" s="66">
        <v>0</v>
      </c>
      <c r="S235" s="66">
        <v>10</v>
      </c>
      <c r="T235" s="66">
        <v>2</v>
      </c>
      <c r="U235" s="66">
        <v>0</v>
      </c>
      <c r="V235" s="66">
        <v>0</v>
      </c>
      <c r="W235" s="54">
        <v>0</v>
      </c>
      <c r="X235" s="55">
        <f>SUMIFS(Таблица3[Кол-во квартир],Таблица3[Адрес МКД],$D235)</f>
        <v>11</v>
      </c>
      <c r="Y235" s="56">
        <f t="shared" si="58"/>
        <v>1531.5</v>
      </c>
      <c r="Z235" s="253">
        <f>SUMIFS(Таблица3[Площадь жилая],Таблица3[Адрес МКД],$D235)</f>
        <v>796.5</v>
      </c>
      <c r="AA235" s="261">
        <f>SUMIFS(Таблица3[Площадь нежилых помещений],Таблица3[Адрес МКД],$D235)</f>
        <v>0</v>
      </c>
      <c r="AB235" s="252">
        <f>SUMIFS(Таблица1[1],Таблица1[2],$D235)</f>
        <v>0</v>
      </c>
      <c r="AC235" s="57">
        <f t="shared" si="50"/>
        <v>0</v>
      </c>
      <c r="AD235" s="57">
        <f t="shared" si="51"/>
        <v>0</v>
      </c>
      <c r="AE235" s="58">
        <f>SUMIFS(Таблица1[8],Таблица1[2],$D235)+SUMIFS(Таблица1[18],Таблица1[2],$D235)</f>
        <v>0</v>
      </c>
      <c r="AF235" s="58">
        <f>SUMIFS(Таблица1[9],Таблица1[2],$D235)+SUMIFS(Таблица1[19],Таблица1[2],$D235)</f>
        <v>0</v>
      </c>
      <c r="AG235" s="59">
        <f t="shared" si="52"/>
        <v>735</v>
      </c>
      <c r="AH235" s="59">
        <f t="shared" si="53"/>
        <v>735</v>
      </c>
      <c r="AI235" s="60">
        <f>182-AM235</f>
        <v>182</v>
      </c>
      <c r="AJ235" s="60">
        <f t="shared" si="46"/>
        <v>182</v>
      </c>
      <c r="AK235" s="60">
        <f>SUMIFS(Таблица1[10],Таблица1[2],$D235)</f>
        <v>0</v>
      </c>
      <c r="AL235" s="60">
        <f>SUMIFS(Таблица1[11],Таблица1[2],$D235)</f>
        <v>0</v>
      </c>
      <c r="AM235" s="251">
        <v>0</v>
      </c>
      <c r="AN235" s="249">
        <f t="shared" si="47"/>
        <v>0</v>
      </c>
      <c r="AO235" s="249">
        <f>SUMIFS(Таблица1[12],Таблица1[2],$D235)</f>
        <v>0</v>
      </c>
      <c r="AP235" s="249">
        <f>SUMIFS(Таблица1[13],Таблица1[2],$D235)</f>
        <v>0</v>
      </c>
      <c r="AQ235" s="61">
        <v>66.900000000000006</v>
      </c>
      <c r="AR235" s="61">
        <f t="shared" si="48"/>
        <v>66.900000000000006</v>
      </c>
      <c r="AS235" s="60">
        <f>SUMIFS(Таблица1[14],Таблица1[2],$D235)</f>
        <v>0</v>
      </c>
      <c r="AT235" s="60">
        <f>SUMIFS(Таблица1[15],Таблица1[2],$D235)</f>
        <v>0</v>
      </c>
      <c r="AU235" s="61">
        <v>486.1</v>
      </c>
      <c r="AV235" s="61">
        <f t="shared" si="49"/>
        <v>486.1</v>
      </c>
      <c r="AW235" s="60">
        <f>SUMIFS(Таблица1[16],Таблица1[2],$D235)</f>
        <v>0</v>
      </c>
      <c r="AX235" s="60">
        <f>SUMIFS(Таблица1[17],Таблица1[2],$D235)</f>
        <v>0</v>
      </c>
      <c r="AY235" s="263"/>
      <c r="AZ235" s="264"/>
      <c r="BA235" s="296">
        <v>0</v>
      </c>
      <c r="BB235" s="296">
        <f t="shared" si="57"/>
        <v>0</v>
      </c>
      <c r="BC235" s="296">
        <v>0</v>
      </c>
      <c r="BD235" s="296">
        <v>0</v>
      </c>
      <c r="BE235" s="285"/>
      <c r="BF235" s="259">
        <v>695</v>
      </c>
      <c r="BG235" s="260">
        <v>3497</v>
      </c>
      <c r="BH235" s="62" t="s">
        <v>936</v>
      </c>
      <c r="BI235" s="62" t="s">
        <v>935</v>
      </c>
      <c r="BJ235" s="62"/>
      <c r="BK235" s="267"/>
      <c r="BL235" s="267"/>
      <c r="BM235" s="267" t="s">
        <v>1649</v>
      </c>
      <c r="BN235" s="268"/>
      <c r="BO235" s="62">
        <v>39</v>
      </c>
      <c r="BP235" s="63">
        <v>28607</v>
      </c>
      <c r="BQ235" s="64" t="s">
        <v>1131</v>
      </c>
      <c r="BR235" s="372" t="s">
        <v>2747</v>
      </c>
      <c r="BS235" s="62"/>
      <c r="BT235" s="323"/>
      <c r="BU235" s="62"/>
      <c r="BV235" s="323"/>
      <c r="BW235" s="62"/>
      <c r="BX235" s="336"/>
      <c r="BY235" s="336" t="s">
        <v>1649</v>
      </c>
    </row>
    <row r="236" spans="1:77" ht="13.15" hidden="1" customHeight="1" outlineLevel="1" x14ac:dyDescent="0.2">
      <c r="A236" s="50">
        <f t="shared" si="55"/>
        <v>231</v>
      </c>
      <c r="B236" s="51">
        <v>29</v>
      </c>
      <c r="C236" s="51">
        <v>71</v>
      </c>
      <c r="D236" s="18" t="s">
        <v>376</v>
      </c>
      <c r="E236" s="18">
        <v>9</v>
      </c>
      <c r="F236" s="18">
        <v>1</v>
      </c>
      <c r="G236" s="52">
        <v>1</v>
      </c>
      <c r="H236" s="237">
        <v>1</v>
      </c>
      <c r="I236" s="65">
        <v>1950</v>
      </c>
      <c r="J236" s="349">
        <v>3</v>
      </c>
      <c r="K236" s="346">
        <f t="shared" si="56"/>
        <v>4</v>
      </c>
      <c r="L236" s="346">
        <v>1</v>
      </c>
      <c r="M236" s="349">
        <v>3</v>
      </c>
      <c r="N236" s="255">
        <f t="shared" si="54"/>
        <v>0</v>
      </c>
      <c r="O236" s="310">
        <v>27</v>
      </c>
      <c r="P236" s="66">
        <v>0</v>
      </c>
      <c r="Q236" s="66"/>
      <c r="R236" s="66">
        <v>8</v>
      </c>
      <c r="S236" s="66">
        <v>6</v>
      </c>
      <c r="T236" s="66">
        <v>13</v>
      </c>
      <c r="U236" s="66">
        <v>0</v>
      </c>
      <c r="V236" s="66">
        <v>0</v>
      </c>
      <c r="W236" s="54">
        <v>0</v>
      </c>
      <c r="X236" s="55">
        <f>SUMIFS(Таблица3[Кол-во квартир],Таблица3[Адрес МКД],$D236)</f>
        <v>27</v>
      </c>
      <c r="Y236" s="56">
        <f t="shared" si="58"/>
        <v>2632.3</v>
      </c>
      <c r="Z236" s="253">
        <f>SUMIFS(Таблица3[Площадь жилая],Таблица3[Адрес МКД],$D236)</f>
        <v>1512.8</v>
      </c>
      <c r="AA236" s="261">
        <f>SUMIFS(Таблица3[Площадь нежилых помещений],Таблица3[Адрес МКД],$D236)</f>
        <v>82.1</v>
      </c>
      <c r="AB236" s="252">
        <f>SUMIFS(Таблица1[1],Таблица1[2],$D236)</f>
        <v>82.1</v>
      </c>
      <c r="AC236" s="57">
        <f t="shared" si="50"/>
        <v>82.1</v>
      </c>
      <c r="AD236" s="57">
        <f t="shared" si="51"/>
        <v>0</v>
      </c>
      <c r="AE236" s="58">
        <f>SUMIFS(Таблица1[8],Таблица1[2],$D236)+SUMIFS(Таблица1[18],Таблица1[2],$D236)</f>
        <v>0</v>
      </c>
      <c r="AF236" s="58">
        <f>SUMIFS(Таблица1[9],Таблица1[2],$D236)+SUMIFS(Таблица1[19],Таблица1[2],$D236)</f>
        <v>0</v>
      </c>
      <c r="AG236" s="59">
        <f t="shared" si="52"/>
        <v>1037.4000000000001</v>
      </c>
      <c r="AH236" s="59">
        <f t="shared" si="53"/>
        <v>1037.4000000000001</v>
      </c>
      <c r="AI236" s="60">
        <f>231.3-AM236</f>
        <v>231.3</v>
      </c>
      <c r="AJ236" s="60">
        <f t="shared" si="46"/>
        <v>149.20000000000002</v>
      </c>
      <c r="AK236" s="60">
        <f>SUMIFS(Таблица1[10],Таблица1[2],$D236)</f>
        <v>82.1</v>
      </c>
      <c r="AL236" s="60">
        <f>SUMIFS(Таблица1[11],Таблица1[2],$D236)</f>
        <v>0</v>
      </c>
      <c r="AM236" s="251">
        <v>0</v>
      </c>
      <c r="AN236" s="249">
        <f t="shared" si="47"/>
        <v>0</v>
      </c>
      <c r="AO236" s="249">
        <f>SUMIFS(Таблица1[12],Таблица1[2],$D236)</f>
        <v>0</v>
      </c>
      <c r="AP236" s="249">
        <f>SUMIFS(Таблица1[13],Таблица1[2],$D236)</f>
        <v>0</v>
      </c>
      <c r="AQ236" s="61">
        <v>177.2</v>
      </c>
      <c r="AR236" s="61">
        <f t="shared" si="48"/>
        <v>177.2</v>
      </c>
      <c r="AS236" s="60">
        <f>SUMIFS(Таблица1[14],Таблица1[2],$D236)</f>
        <v>0</v>
      </c>
      <c r="AT236" s="60">
        <f>SUMIFS(Таблица1[15],Таблица1[2],$D236)</f>
        <v>0</v>
      </c>
      <c r="AU236" s="61">
        <v>711</v>
      </c>
      <c r="AV236" s="61">
        <f t="shared" si="49"/>
        <v>711</v>
      </c>
      <c r="AW236" s="60">
        <f>SUMIFS(Таблица1[16],Таблица1[2],$D236)</f>
        <v>0</v>
      </c>
      <c r="AX236" s="60">
        <f>SUMIFS(Таблица1[17],Таблица1[2],$D236)</f>
        <v>0</v>
      </c>
      <c r="AY236" s="263"/>
      <c r="AZ236" s="264"/>
      <c r="BA236" s="296">
        <v>0</v>
      </c>
      <c r="BB236" s="296">
        <f t="shared" si="57"/>
        <v>0</v>
      </c>
      <c r="BC236" s="296">
        <v>0</v>
      </c>
      <c r="BD236" s="296">
        <v>0</v>
      </c>
      <c r="BE236" s="285"/>
      <c r="BF236" s="259">
        <v>1184</v>
      </c>
      <c r="BG236" s="260">
        <f>5174+1741</f>
        <v>6915</v>
      </c>
      <c r="BH236" s="62" t="s">
        <v>936</v>
      </c>
      <c r="BI236" s="62" t="s">
        <v>935</v>
      </c>
      <c r="BJ236" s="62"/>
      <c r="BK236" s="267"/>
      <c r="BL236" s="267"/>
      <c r="BM236" s="267" t="s">
        <v>1649</v>
      </c>
      <c r="BN236" s="268"/>
      <c r="BO236" s="62">
        <v>28</v>
      </c>
      <c r="BP236" s="63">
        <v>28564</v>
      </c>
      <c r="BQ236" s="64" t="s">
        <v>1131</v>
      </c>
      <c r="BR236" s="372" t="s">
        <v>2747</v>
      </c>
      <c r="BS236" s="62"/>
      <c r="BT236" s="323"/>
      <c r="BU236" s="62"/>
      <c r="BV236" s="323"/>
      <c r="BW236" s="62"/>
      <c r="BX236" s="336"/>
      <c r="BY236" s="336"/>
    </row>
    <row r="237" spans="1:77" ht="13.15" hidden="1" customHeight="1" outlineLevel="1" x14ac:dyDescent="0.2">
      <c r="A237" s="50">
        <f t="shared" si="55"/>
        <v>232</v>
      </c>
      <c r="B237" s="51">
        <v>30</v>
      </c>
      <c r="C237" s="51">
        <v>72</v>
      </c>
      <c r="D237" s="18" t="s">
        <v>377</v>
      </c>
      <c r="E237" s="18">
        <v>9</v>
      </c>
      <c r="F237" s="18">
        <v>1</v>
      </c>
      <c r="G237" s="52">
        <v>1</v>
      </c>
      <c r="H237" s="237">
        <v>1</v>
      </c>
      <c r="I237" s="65">
        <v>1950</v>
      </c>
      <c r="J237" s="349">
        <v>3</v>
      </c>
      <c r="K237" s="346">
        <f t="shared" si="56"/>
        <v>4</v>
      </c>
      <c r="L237" s="346">
        <v>1</v>
      </c>
      <c r="M237" s="349">
        <v>2</v>
      </c>
      <c r="N237" s="255">
        <f t="shared" si="54"/>
        <v>0</v>
      </c>
      <c r="O237" s="310">
        <v>24</v>
      </c>
      <c r="P237" s="66">
        <v>0</v>
      </c>
      <c r="Q237" s="66"/>
      <c r="R237" s="66">
        <v>9</v>
      </c>
      <c r="S237" s="66">
        <v>15</v>
      </c>
      <c r="T237" s="66">
        <v>0</v>
      </c>
      <c r="U237" s="66">
        <v>0</v>
      </c>
      <c r="V237" s="66">
        <v>0</v>
      </c>
      <c r="W237" s="54">
        <v>0</v>
      </c>
      <c r="X237" s="55">
        <f>SUMIFS(Таблица3[Кол-во квартир],Таблица3[Адрес МКД],$D237)</f>
        <v>24</v>
      </c>
      <c r="Y237" s="56">
        <f t="shared" si="58"/>
        <v>2087.6999999999998</v>
      </c>
      <c r="Z237" s="253">
        <f>SUMIFS(Таблица3[Площадь жилая],Таблица3[Адрес МКД],$D237)</f>
        <v>1106.8</v>
      </c>
      <c r="AA237" s="261">
        <f>SUMIFS(Таблица3[Площадь нежилых помещений],Таблица3[Адрес МКД],$D237)</f>
        <v>218</v>
      </c>
      <c r="AB237" s="252">
        <f>SUMIFS(Таблица1[1],Таблица1[2],$D237)</f>
        <v>218</v>
      </c>
      <c r="AC237" s="57">
        <f t="shared" si="50"/>
        <v>218</v>
      </c>
      <c r="AD237" s="57">
        <f t="shared" si="51"/>
        <v>0</v>
      </c>
      <c r="AE237" s="58">
        <f>SUMIFS(Таблица1[8],Таблица1[2],$D237)+SUMIFS(Таблица1[18],Таблица1[2],$D237)</f>
        <v>0</v>
      </c>
      <c r="AF237" s="58">
        <f>SUMIFS(Таблица1[9],Таблица1[2],$D237)+SUMIFS(Таблица1[19],Таблица1[2],$D237)</f>
        <v>0</v>
      </c>
      <c r="AG237" s="59">
        <f t="shared" si="52"/>
        <v>762.90000000000009</v>
      </c>
      <c r="AH237" s="59">
        <f t="shared" si="53"/>
        <v>762.90000000000009</v>
      </c>
      <c r="AI237" s="60">
        <f>364.6-AM237</f>
        <v>146.60000000000002</v>
      </c>
      <c r="AJ237" s="60">
        <f t="shared" si="46"/>
        <v>146.60000000000002</v>
      </c>
      <c r="AK237" s="60">
        <f>SUMIFS(Таблица1[10],Таблица1[2],$D237)</f>
        <v>0</v>
      </c>
      <c r="AL237" s="60">
        <f>SUMIFS(Таблица1[11],Таблица1[2],$D237)</f>
        <v>0</v>
      </c>
      <c r="AM237" s="251">
        <v>218</v>
      </c>
      <c r="AN237" s="249">
        <f t="shared" si="47"/>
        <v>0</v>
      </c>
      <c r="AO237" s="249">
        <f>SUMIFS(Таблица1[12],Таблица1[2],$D237)</f>
        <v>218</v>
      </c>
      <c r="AP237" s="249">
        <f>SUMIFS(Таблица1[13],Таблица1[2],$D237)</f>
        <v>0</v>
      </c>
      <c r="AQ237" s="61">
        <v>148.1</v>
      </c>
      <c r="AR237" s="61">
        <f t="shared" si="48"/>
        <v>148.1</v>
      </c>
      <c r="AS237" s="60">
        <f>SUMIFS(Таблица1[14],Таблица1[2],$D237)</f>
        <v>0</v>
      </c>
      <c r="AT237" s="60">
        <f>SUMIFS(Таблица1[15],Таблица1[2],$D237)</f>
        <v>0</v>
      </c>
      <c r="AU237" s="61">
        <v>468.2</v>
      </c>
      <c r="AV237" s="61">
        <f t="shared" si="49"/>
        <v>468.2</v>
      </c>
      <c r="AW237" s="60">
        <f>SUMIFS(Таблица1[16],Таблица1[2],$D237)</f>
        <v>0</v>
      </c>
      <c r="AX237" s="60">
        <f>SUMIFS(Таблица1[17],Таблица1[2],$D237)</f>
        <v>0</v>
      </c>
      <c r="AY237" s="263"/>
      <c r="AZ237" s="264"/>
      <c r="BA237" s="296">
        <v>0</v>
      </c>
      <c r="BB237" s="296">
        <f t="shared" si="57"/>
        <v>0</v>
      </c>
      <c r="BC237" s="296">
        <v>0</v>
      </c>
      <c r="BD237" s="296">
        <v>0</v>
      </c>
      <c r="BE237" s="285"/>
      <c r="BF237" s="259">
        <v>1322</v>
      </c>
      <c r="BG237" s="260">
        <f>1746+1739+1710</f>
        <v>5195</v>
      </c>
      <c r="BH237" s="62" t="s">
        <v>936</v>
      </c>
      <c r="BI237" s="62" t="s">
        <v>935</v>
      </c>
      <c r="BJ237" s="62"/>
      <c r="BK237" s="267"/>
      <c r="BL237" s="267"/>
      <c r="BM237" s="267" t="s">
        <v>1649</v>
      </c>
      <c r="BN237" s="268"/>
      <c r="BO237" s="62">
        <v>39</v>
      </c>
      <c r="BP237" s="63">
        <v>28444</v>
      </c>
      <c r="BQ237" s="64" t="s">
        <v>1131</v>
      </c>
      <c r="BR237" s="372" t="s">
        <v>2747</v>
      </c>
      <c r="BS237" s="62"/>
      <c r="BT237" s="323"/>
      <c r="BU237" s="62"/>
      <c r="BV237" s="323"/>
      <c r="BW237" s="62"/>
      <c r="BX237" s="336"/>
      <c r="BY237" s="336"/>
    </row>
    <row r="238" spans="1:77" ht="13.15" hidden="1" customHeight="1" outlineLevel="1" x14ac:dyDescent="0.2">
      <c r="A238" s="50">
        <f t="shared" si="55"/>
        <v>233</v>
      </c>
      <c r="B238" s="51">
        <v>4</v>
      </c>
      <c r="C238" s="51">
        <v>1</v>
      </c>
      <c r="D238" s="18" t="s">
        <v>714</v>
      </c>
      <c r="E238" s="299" t="s">
        <v>888</v>
      </c>
      <c r="F238" s="299">
        <v>5</v>
      </c>
      <c r="G238" s="52">
        <v>1</v>
      </c>
      <c r="H238" s="333"/>
      <c r="I238" s="65">
        <v>1946</v>
      </c>
      <c r="J238" s="349">
        <v>2</v>
      </c>
      <c r="K238" s="346">
        <f t="shared" si="56"/>
        <v>3</v>
      </c>
      <c r="L238" s="346">
        <v>1</v>
      </c>
      <c r="M238" s="349">
        <v>2</v>
      </c>
      <c r="N238" s="255">
        <f t="shared" si="54"/>
        <v>0</v>
      </c>
      <c r="O238" s="310">
        <v>16</v>
      </c>
      <c r="P238" s="66">
        <v>0</v>
      </c>
      <c r="Q238" s="66"/>
      <c r="R238" s="66">
        <v>12</v>
      </c>
      <c r="S238" s="66">
        <v>4</v>
      </c>
      <c r="T238" s="66">
        <v>0</v>
      </c>
      <c r="U238" s="66">
        <v>0</v>
      </c>
      <c r="V238" s="66">
        <v>0</v>
      </c>
      <c r="W238" s="54">
        <v>0</v>
      </c>
      <c r="X238" s="55">
        <f>SUMIFS(Таблица3[Кол-во квартир],Таблица3[Адрес МКД],$D238)</f>
        <v>16</v>
      </c>
      <c r="Y238" s="56">
        <f t="shared" si="58"/>
        <v>816.74</v>
      </c>
      <c r="Z238" s="253">
        <f>SUMIFS(Таблица3[Площадь жилая],Таблица3[Адрес МКД],$D238)</f>
        <v>524.70000000000005</v>
      </c>
      <c r="AA238" s="261">
        <f>SUMIFS(Таблица3[Площадь нежилых помещений],Таблица3[Адрес МКД],$D238)</f>
        <v>0</v>
      </c>
      <c r="AB238" s="252">
        <f>SUMIFS(Таблица1[1],Таблица1[2],$D238)</f>
        <v>0</v>
      </c>
      <c r="AC238" s="57">
        <f t="shared" si="50"/>
        <v>0</v>
      </c>
      <c r="AD238" s="57">
        <f t="shared" si="51"/>
        <v>0</v>
      </c>
      <c r="AE238" s="58">
        <f>SUMIFS(Таблица1[8],Таблица1[2],$D238)+SUMIFS(Таблица1[18],Таблица1[2],$D238)</f>
        <v>0</v>
      </c>
      <c r="AF238" s="58">
        <f>SUMIFS(Таблица1[9],Таблица1[2],$D238)+SUMIFS(Таблица1[19],Таблица1[2],$D238)</f>
        <v>0</v>
      </c>
      <c r="AG238" s="59">
        <f t="shared" si="52"/>
        <v>292.03999999999996</v>
      </c>
      <c r="AH238" s="59">
        <f>AJ238+AL238+AR238+AT238+AV238+AX238+AZ238</f>
        <v>292.03999999999996</v>
      </c>
      <c r="AI238" s="60">
        <f>130.2-AM238</f>
        <v>130.19999999999999</v>
      </c>
      <c r="AJ238" s="60">
        <f t="shared" si="46"/>
        <v>130.19999999999999</v>
      </c>
      <c r="AK238" s="60">
        <f>SUMIFS(Таблица1[10],Таблица1[2],$D238)</f>
        <v>0</v>
      </c>
      <c r="AL238" s="60">
        <f>SUMIFS(Таблица1[11],Таблица1[2],$D238)</f>
        <v>0</v>
      </c>
      <c r="AM238" s="251">
        <v>0</v>
      </c>
      <c r="AN238" s="249">
        <f t="shared" si="47"/>
        <v>0</v>
      </c>
      <c r="AO238" s="249">
        <f>SUMIFS(Таблица1[12],Таблица1[2],$D238)</f>
        <v>0</v>
      </c>
      <c r="AP238" s="249">
        <f>SUMIFS(Таблица1[13],Таблица1[2],$D238)</f>
        <v>0</v>
      </c>
      <c r="AQ238" s="61">
        <v>31.7</v>
      </c>
      <c r="AR238" s="61">
        <f t="shared" si="48"/>
        <v>31.7</v>
      </c>
      <c r="AS238" s="60">
        <f>SUMIFS(Таблица1[14],Таблица1[2],$D238)</f>
        <v>0</v>
      </c>
      <c r="AT238" s="60">
        <f>SUMIFS(Таблица1[15],Таблица1[2],$D238)</f>
        <v>0</v>
      </c>
      <c r="AU238" s="61">
        <v>116.44</v>
      </c>
      <c r="AV238" s="61">
        <f t="shared" si="49"/>
        <v>116.44</v>
      </c>
      <c r="AW238" s="60">
        <f>SUMIFS(Таблица1[16],Таблица1[2],$D238)</f>
        <v>0</v>
      </c>
      <c r="AX238" s="60">
        <f>SUMIFS(Таблица1[17],Таблица1[2],$D238)</f>
        <v>0</v>
      </c>
      <c r="AY238" s="263"/>
      <c r="AZ238" s="264">
        <v>13.7</v>
      </c>
      <c r="BA238" s="296">
        <v>0</v>
      </c>
      <c r="BB238" s="296">
        <f t="shared" si="57"/>
        <v>0</v>
      </c>
      <c r="BC238" s="296">
        <v>0</v>
      </c>
      <c r="BD238" s="296">
        <v>0</v>
      </c>
      <c r="BE238" s="285"/>
      <c r="BF238" s="259">
        <v>1063</v>
      </c>
      <c r="BG238" s="260">
        <v>2518</v>
      </c>
      <c r="BH238" s="62" t="s">
        <v>936</v>
      </c>
      <c r="BI238" s="62" t="s">
        <v>935</v>
      </c>
      <c r="BJ238" s="62" t="s">
        <v>935</v>
      </c>
      <c r="BK238" s="267"/>
      <c r="BL238" s="267" t="s">
        <v>1649</v>
      </c>
      <c r="BM238" s="267"/>
      <c r="BN238" s="268"/>
      <c r="BO238" s="62">
        <v>44</v>
      </c>
      <c r="BP238" s="63">
        <v>35612</v>
      </c>
      <c r="BQ238" s="64" t="s">
        <v>1131</v>
      </c>
      <c r="BR238" s="372" t="s">
        <v>2747</v>
      </c>
      <c r="BS238" s="62"/>
      <c r="BT238" s="323"/>
      <c r="BU238" s="62"/>
      <c r="BV238" s="323"/>
      <c r="BW238" s="62"/>
      <c r="BX238" s="336">
        <v>14</v>
      </c>
      <c r="BY238" s="336" t="s">
        <v>1649</v>
      </c>
    </row>
    <row r="239" spans="1:77" ht="13.15" hidden="1" customHeight="1" outlineLevel="1" x14ac:dyDescent="0.2">
      <c r="A239" s="50">
        <f t="shared" si="55"/>
        <v>234</v>
      </c>
      <c r="B239" s="51">
        <v>5</v>
      </c>
      <c r="C239" s="51">
        <v>2</v>
      </c>
      <c r="D239" s="18" t="s">
        <v>715</v>
      </c>
      <c r="E239" s="299" t="s">
        <v>888</v>
      </c>
      <c r="F239" s="299">
        <v>5</v>
      </c>
      <c r="G239" s="52"/>
      <c r="H239" s="333"/>
      <c r="I239" s="65">
        <v>1946</v>
      </c>
      <c r="J239" s="349">
        <v>2</v>
      </c>
      <c r="K239" s="346">
        <f t="shared" si="56"/>
        <v>3</v>
      </c>
      <c r="L239" s="346">
        <v>1</v>
      </c>
      <c r="M239" s="349">
        <v>2</v>
      </c>
      <c r="N239" s="255">
        <f t="shared" si="54"/>
        <v>0</v>
      </c>
      <c r="O239" s="310">
        <v>16</v>
      </c>
      <c r="P239" s="66">
        <v>0</v>
      </c>
      <c r="Q239" s="66"/>
      <c r="R239" s="66">
        <v>12</v>
      </c>
      <c r="S239" s="66">
        <v>4</v>
      </c>
      <c r="T239" s="66">
        <v>0</v>
      </c>
      <c r="U239" s="66">
        <v>0</v>
      </c>
      <c r="V239" s="66">
        <v>0</v>
      </c>
      <c r="W239" s="54">
        <v>0</v>
      </c>
      <c r="X239" s="55">
        <f>SUMIFS(Таблица3[Кол-во квартир],Таблица3[Адрес МКД],$D239)</f>
        <v>16</v>
      </c>
      <c r="Y239" s="56">
        <f t="shared" si="58"/>
        <v>1046.2</v>
      </c>
      <c r="Z239" s="253">
        <f>SUMIFS(Таблица3[Площадь жилая],Таблица3[Адрес МКД],$D239)</f>
        <v>516.6</v>
      </c>
      <c r="AA239" s="261">
        <f>SUMIFS(Таблица3[Площадь нежилых помещений],Таблица3[Адрес МКД],$D239)</f>
        <v>0</v>
      </c>
      <c r="AB239" s="252">
        <f>SUMIFS(Таблица1[1],Таблица1[2],$D239)</f>
        <v>0</v>
      </c>
      <c r="AC239" s="57">
        <f t="shared" si="50"/>
        <v>0</v>
      </c>
      <c r="AD239" s="57">
        <f t="shared" si="51"/>
        <v>0</v>
      </c>
      <c r="AE239" s="58">
        <f>SUMIFS(Таблица1[8],Таблица1[2],$D239)+SUMIFS(Таблица1[18],Таблица1[2],$D239)</f>
        <v>0</v>
      </c>
      <c r="AF239" s="58">
        <f>SUMIFS(Таблица1[9],Таблица1[2],$D239)+SUMIFS(Таблица1[19],Таблица1[2],$D239)</f>
        <v>0</v>
      </c>
      <c r="AG239" s="59">
        <f t="shared" si="52"/>
        <v>529.6</v>
      </c>
      <c r="AH239" s="59">
        <f>AJ239+AL239+AR239+AT239+AV239+AX239+AZ239</f>
        <v>529.6</v>
      </c>
      <c r="AI239" s="60">
        <f>123.9-AM239</f>
        <v>123.9</v>
      </c>
      <c r="AJ239" s="60">
        <f t="shared" si="46"/>
        <v>123.9</v>
      </c>
      <c r="AK239" s="60">
        <f>SUMIFS(Таблица1[10],Таблица1[2],$D239)</f>
        <v>0</v>
      </c>
      <c r="AL239" s="60">
        <f>SUMIFS(Таблица1[11],Таблица1[2],$D239)</f>
        <v>0</v>
      </c>
      <c r="AM239" s="251">
        <v>0</v>
      </c>
      <c r="AN239" s="249">
        <f t="shared" si="47"/>
        <v>0</v>
      </c>
      <c r="AO239" s="249">
        <f>SUMIFS(Таблица1[12],Таблица1[2],$D239)</f>
        <v>0</v>
      </c>
      <c r="AP239" s="249">
        <f>SUMIFS(Таблица1[13],Таблица1[2],$D239)</f>
        <v>0</v>
      </c>
      <c r="AQ239" s="61">
        <v>48.4</v>
      </c>
      <c r="AR239" s="61">
        <f t="shared" si="48"/>
        <v>48.4</v>
      </c>
      <c r="AS239" s="60">
        <f>SUMIFS(Таблица1[14],Таблица1[2],$D239)</f>
        <v>0</v>
      </c>
      <c r="AT239" s="60">
        <f>SUMIFS(Таблица1[15],Таблица1[2],$D239)</f>
        <v>0</v>
      </c>
      <c r="AU239" s="61">
        <v>343.4</v>
      </c>
      <c r="AV239" s="61">
        <f t="shared" si="49"/>
        <v>343.4</v>
      </c>
      <c r="AW239" s="60">
        <f>SUMIFS(Таблица1[16],Таблица1[2],$D239)</f>
        <v>0</v>
      </c>
      <c r="AX239" s="60">
        <f>SUMIFS(Таблица1[17],Таблица1[2],$D239)</f>
        <v>0</v>
      </c>
      <c r="AY239" s="263"/>
      <c r="AZ239" s="264">
        <v>13.9</v>
      </c>
      <c r="BA239" s="296">
        <v>0</v>
      </c>
      <c r="BB239" s="296">
        <f t="shared" si="57"/>
        <v>0</v>
      </c>
      <c r="BC239" s="296">
        <v>0</v>
      </c>
      <c r="BD239" s="296">
        <v>0</v>
      </c>
      <c r="BE239" s="285"/>
      <c r="BF239" s="259">
        <v>990</v>
      </c>
      <c r="BG239" s="260">
        <v>2516</v>
      </c>
      <c r="BH239" s="62" t="s">
        <v>936</v>
      </c>
      <c r="BI239" s="62" t="s">
        <v>935</v>
      </c>
      <c r="BJ239" s="62" t="s">
        <v>1536</v>
      </c>
      <c r="BK239" s="267"/>
      <c r="BL239" s="267" t="s">
        <v>1649</v>
      </c>
      <c r="BM239" s="267"/>
      <c r="BN239" s="268"/>
      <c r="BO239" s="62">
        <v>44</v>
      </c>
      <c r="BP239" s="63">
        <v>35612</v>
      </c>
      <c r="BQ239" s="64" t="s">
        <v>1131</v>
      </c>
      <c r="BR239" s="372" t="s">
        <v>2747</v>
      </c>
      <c r="BS239" s="62"/>
      <c r="BT239" s="323"/>
      <c r="BU239" s="62"/>
      <c r="BV239" s="323"/>
      <c r="BW239" s="62"/>
      <c r="BX239" s="336">
        <v>13</v>
      </c>
      <c r="BY239" s="336" t="s">
        <v>1649</v>
      </c>
    </row>
    <row r="240" spans="1:77" ht="13.15" hidden="1" customHeight="1" outlineLevel="1" x14ac:dyDescent="0.2">
      <c r="A240" s="50">
        <f t="shared" si="55"/>
        <v>235</v>
      </c>
      <c r="B240" s="51">
        <v>6</v>
      </c>
      <c r="C240" s="51">
        <v>3</v>
      </c>
      <c r="D240" s="18" t="s">
        <v>716</v>
      </c>
      <c r="E240" s="299" t="s">
        <v>888</v>
      </c>
      <c r="F240" s="299">
        <v>5</v>
      </c>
      <c r="G240" s="52">
        <v>1</v>
      </c>
      <c r="H240" s="333"/>
      <c r="I240" s="65">
        <v>1947</v>
      </c>
      <c r="J240" s="349">
        <v>2</v>
      </c>
      <c r="K240" s="346">
        <f t="shared" si="56"/>
        <v>3</v>
      </c>
      <c r="L240" s="346">
        <v>1</v>
      </c>
      <c r="M240" s="349">
        <v>2</v>
      </c>
      <c r="N240" s="255">
        <f t="shared" si="54"/>
        <v>0</v>
      </c>
      <c r="O240" s="310">
        <v>16</v>
      </c>
      <c r="P240" s="66">
        <v>0</v>
      </c>
      <c r="Q240" s="66"/>
      <c r="R240" s="66">
        <v>12</v>
      </c>
      <c r="S240" s="66">
        <v>4</v>
      </c>
      <c r="T240" s="66">
        <v>0</v>
      </c>
      <c r="U240" s="66">
        <v>0</v>
      </c>
      <c r="V240" s="66">
        <v>0</v>
      </c>
      <c r="W240" s="54">
        <v>0</v>
      </c>
      <c r="X240" s="55">
        <f>SUMIFS(Таблица3[Кол-во квартир],Таблица3[Адрес МКД],$D240)</f>
        <v>16</v>
      </c>
      <c r="Y240" s="56">
        <f t="shared" si="58"/>
        <v>1064.8800000000001</v>
      </c>
      <c r="Z240" s="253">
        <f>SUMIFS(Таблица3[Площадь жилая],Таблица3[Адрес МКД],$D240)</f>
        <v>516.20000000000005</v>
      </c>
      <c r="AA240" s="261">
        <f>SUMIFS(Таблица3[Площадь нежилых помещений],Таблица3[Адрес МКД],$D240)</f>
        <v>0</v>
      </c>
      <c r="AB240" s="252">
        <f>SUMIFS(Таблица1[1],Таблица1[2],$D240)</f>
        <v>0</v>
      </c>
      <c r="AC240" s="57">
        <f t="shared" si="50"/>
        <v>0</v>
      </c>
      <c r="AD240" s="57">
        <f t="shared" si="51"/>
        <v>0</v>
      </c>
      <c r="AE240" s="58">
        <f>SUMIFS(Таблица1[8],Таблица1[2],$D240)+SUMIFS(Таблица1[18],Таблица1[2],$D240)</f>
        <v>0</v>
      </c>
      <c r="AF240" s="58">
        <f>SUMIFS(Таблица1[9],Таблица1[2],$D240)+SUMIFS(Таблица1[19],Таблица1[2],$D240)</f>
        <v>0</v>
      </c>
      <c r="AG240" s="59">
        <f t="shared" si="52"/>
        <v>548.68000000000006</v>
      </c>
      <c r="AH240" s="59">
        <f>AJ240+AL240+AR240+AT240+AV240+AX240+AZ240</f>
        <v>548.68000000000006</v>
      </c>
      <c r="AI240" s="60">
        <f>131.4+13.7-AM240</f>
        <v>145.1</v>
      </c>
      <c r="AJ240" s="60">
        <f t="shared" si="46"/>
        <v>145.1</v>
      </c>
      <c r="AK240" s="60">
        <f>SUMIFS(Таблица1[10],Таблица1[2],$D240)</f>
        <v>0</v>
      </c>
      <c r="AL240" s="60">
        <f>SUMIFS(Таблица1[11],Таблица1[2],$D240)</f>
        <v>0</v>
      </c>
      <c r="AM240" s="251">
        <v>0</v>
      </c>
      <c r="AN240" s="249">
        <f t="shared" si="47"/>
        <v>0</v>
      </c>
      <c r="AO240" s="249">
        <f>SUMIFS(Таблица1[12],Таблица1[2],$D240)</f>
        <v>0</v>
      </c>
      <c r="AP240" s="249">
        <f>SUMIFS(Таблица1[13],Таблица1[2],$D240)</f>
        <v>0</v>
      </c>
      <c r="AQ240" s="61">
        <v>61</v>
      </c>
      <c r="AR240" s="61">
        <f t="shared" si="48"/>
        <v>61</v>
      </c>
      <c r="AS240" s="60">
        <f>SUMIFS(Таблица1[14],Таблица1[2],$D240)</f>
        <v>0</v>
      </c>
      <c r="AT240" s="60">
        <f>SUMIFS(Таблица1[15],Таблица1[2],$D240)</f>
        <v>0</v>
      </c>
      <c r="AU240" s="61">
        <v>329.98</v>
      </c>
      <c r="AV240" s="61">
        <f t="shared" si="49"/>
        <v>329.98</v>
      </c>
      <c r="AW240" s="60">
        <f>SUMIFS(Таблица1[16],Таблица1[2],$D240)</f>
        <v>0</v>
      </c>
      <c r="AX240" s="60">
        <f>SUMIFS(Таблица1[17],Таблица1[2],$D240)</f>
        <v>0</v>
      </c>
      <c r="AY240" s="263"/>
      <c r="AZ240" s="264">
        <v>12.6</v>
      </c>
      <c r="BA240" s="296">
        <v>0</v>
      </c>
      <c r="BB240" s="296">
        <f t="shared" si="57"/>
        <v>0</v>
      </c>
      <c r="BC240" s="296">
        <v>0</v>
      </c>
      <c r="BD240" s="296">
        <v>0</v>
      </c>
      <c r="BE240" s="285"/>
      <c r="BF240" s="259">
        <v>904</v>
      </c>
      <c r="BG240" s="260">
        <v>2422</v>
      </c>
      <c r="BH240" s="62" t="s">
        <v>936</v>
      </c>
      <c r="BI240" s="62" t="s">
        <v>935</v>
      </c>
      <c r="BJ240" s="62" t="s">
        <v>935</v>
      </c>
      <c r="BK240" s="267"/>
      <c r="BL240" s="267" t="s">
        <v>1649</v>
      </c>
      <c r="BM240" s="267"/>
      <c r="BN240" s="268"/>
      <c r="BO240" s="62">
        <v>50</v>
      </c>
      <c r="BP240" s="63">
        <v>35612</v>
      </c>
      <c r="BQ240" s="64" t="s">
        <v>1131</v>
      </c>
      <c r="BR240" s="372" t="s">
        <v>2747</v>
      </c>
      <c r="BS240" s="62"/>
      <c r="BT240" s="323"/>
      <c r="BU240" s="62"/>
      <c r="BV240" s="323"/>
      <c r="BW240" s="62"/>
      <c r="BX240" s="336">
        <v>14</v>
      </c>
      <c r="BY240" s="336" t="s">
        <v>1649</v>
      </c>
    </row>
    <row r="241" spans="1:77" ht="13.15" hidden="1" customHeight="1" outlineLevel="1" x14ac:dyDescent="0.2">
      <c r="A241" s="50">
        <f t="shared" si="55"/>
        <v>236</v>
      </c>
      <c r="B241" s="51">
        <v>7</v>
      </c>
      <c r="C241" s="51">
        <v>4</v>
      </c>
      <c r="D241" s="18" t="s">
        <v>717</v>
      </c>
      <c r="E241" s="299" t="s">
        <v>888</v>
      </c>
      <c r="F241" s="299">
        <v>5</v>
      </c>
      <c r="G241" s="52"/>
      <c r="H241" s="333"/>
      <c r="I241" s="65">
        <v>1946</v>
      </c>
      <c r="J241" s="349">
        <v>2</v>
      </c>
      <c r="K241" s="346">
        <f t="shared" si="56"/>
        <v>3</v>
      </c>
      <c r="L241" s="346">
        <v>1</v>
      </c>
      <c r="M241" s="349">
        <v>2</v>
      </c>
      <c r="N241" s="255">
        <f t="shared" si="54"/>
        <v>0</v>
      </c>
      <c r="O241" s="310">
        <v>16</v>
      </c>
      <c r="P241" s="66">
        <v>0</v>
      </c>
      <c r="Q241" s="66"/>
      <c r="R241" s="66">
        <v>12</v>
      </c>
      <c r="S241" s="66">
        <v>4</v>
      </c>
      <c r="T241" s="66">
        <v>0</v>
      </c>
      <c r="U241" s="66">
        <v>0</v>
      </c>
      <c r="V241" s="66">
        <v>0</v>
      </c>
      <c r="W241" s="54">
        <v>0</v>
      </c>
      <c r="X241" s="55">
        <f>SUMIFS(Таблица3[Кол-во квартир],Таблица3[Адрес МКД],$D241)</f>
        <v>16</v>
      </c>
      <c r="Y241" s="56">
        <f t="shared" si="58"/>
        <v>1092.8900000000001</v>
      </c>
      <c r="Z241" s="253">
        <f>SUMIFS(Таблица3[Площадь жилая],Таблица3[Адрес МКД],$D241)</f>
        <v>519.20000000000005</v>
      </c>
      <c r="AA241" s="261">
        <f>SUMIFS(Таблица3[Площадь нежилых помещений],Таблица3[Адрес МКД],$D241)</f>
        <v>0</v>
      </c>
      <c r="AB241" s="252">
        <f>SUMIFS(Таблица1[1],Таблица1[2],$D241)</f>
        <v>0</v>
      </c>
      <c r="AC241" s="57">
        <f t="shared" si="50"/>
        <v>0</v>
      </c>
      <c r="AD241" s="57">
        <f t="shared" si="51"/>
        <v>0</v>
      </c>
      <c r="AE241" s="58">
        <f>SUMIFS(Таблица1[8],Таблица1[2],$D241)+SUMIFS(Таблица1[18],Таблица1[2],$D241)</f>
        <v>0</v>
      </c>
      <c r="AF241" s="58">
        <f>SUMIFS(Таблица1[9],Таблица1[2],$D241)+SUMIFS(Таблица1[19],Таблица1[2],$D241)</f>
        <v>0</v>
      </c>
      <c r="AG241" s="59">
        <f t="shared" si="52"/>
        <v>573.69000000000005</v>
      </c>
      <c r="AH241" s="59">
        <f t="shared" si="53"/>
        <v>573.69000000000005</v>
      </c>
      <c r="AI241" s="60">
        <f>185.2-AM241</f>
        <v>185.2</v>
      </c>
      <c r="AJ241" s="60">
        <f t="shared" si="46"/>
        <v>185.2</v>
      </c>
      <c r="AK241" s="60">
        <f>SUMIFS(Таблица1[10],Таблица1[2],$D241)</f>
        <v>0</v>
      </c>
      <c r="AL241" s="60">
        <f>SUMIFS(Таблица1[11],Таблица1[2],$D241)</f>
        <v>0</v>
      </c>
      <c r="AM241" s="251">
        <v>0</v>
      </c>
      <c r="AN241" s="249">
        <f t="shared" si="47"/>
        <v>0</v>
      </c>
      <c r="AO241" s="249">
        <f>SUMIFS(Таблица1[12],Таблица1[2],$D241)</f>
        <v>0</v>
      </c>
      <c r="AP241" s="249">
        <f>SUMIFS(Таблица1[13],Таблица1[2],$D241)</f>
        <v>0</v>
      </c>
      <c r="AQ241" s="61">
        <v>48.2</v>
      </c>
      <c r="AR241" s="61">
        <f t="shared" si="48"/>
        <v>48.2</v>
      </c>
      <c r="AS241" s="60">
        <f>SUMIFS(Таблица1[14],Таблица1[2],$D241)</f>
        <v>0</v>
      </c>
      <c r="AT241" s="60">
        <f>SUMIFS(Таблица1[15],Таблица1[2],$D241)</f>
        <v>0</v>
      </c>
      <c r="AU241" s="61">
        <v>340.29</v>
      </c>
      <c r="AV241" s="61">
        <f t="shared" si="49"/>
        <v>340.29</v>
      </c>
      <c r="AW241" s="60">
        <f>SUMIFS(Таблица1[16],Таблица1[2],$D241)</f>
        <v>0</v>
      </c>
      <c r="AX241" s="60">
        <f>SUMIFS(Таблица1[17],Таблица1[2],$D241)</f>
        <v>0</v>
      </c>
      <c r="AY241" s="263"/>
      <c r="AZ241" s="264"/>
      <c r="BA241" s="296">
        <v>0</v>
      </c>
      <c r="BB241" s="296">
        <f t="shared" si="57"/>
        <v>0</v>
      </c>
      <c r="BC241" s="296">
        <v>0</v>
      </c>
      <c r="BD241" s="296">
        <v>0</v>
      </c>
      <c r="BE241" s="285"/>
      <c r="BF241" s="259">
        <v>889</v>
      </c>
      <c r="BG241" s="260">
        <v>2435</v>
      </c>
      <c r="BH241" s="62" t="s">
        <v>936</v>
      </c>
      <c r="BI241" s="62" t="s">
        <v>935</v>
      </c>
      <c r="BJ241" s="62" t="s">
        <v>935</v>
      </c>
      <c r="BK241" s="267"/>
      <c r="BL241" s="267" t="s">
        <v>1649</v>
      </c>
      <c r="BM241" s="267"/>
      <c r="BN241" s="268"/>
      <c r="BO241" s="62">
        <v>47</v>
      </c>
      <c r="BP241" s="63">
        <v>35610</v>
      </c>
      <c r="BQ241" s="64" t="s">
        <v>1131</v>
      </c>
      <c r="BR241" s="372" t="s">
        <v>2747</v>
      </c>
      <c r="BS241" s="62"/>
      <c r="BT241" s="323"/>
      <c r="BU241" s="62"/>
      <c r="BV241" s="323"/>
      <c r="BW241" s="62"/>
      <c r="BX241" s="336">
        <v>14</v>
      </c>
      <c r="BY241" s="336" t="s">
        <v>1649</v>
      </c>
    </row>
    <row r="242" spans="1:77" ht="13.15" hidden="1" customHeight="1" outlineLevel="1" x14ac:dyDescent="0.2">
      <c r="A242" s="50">
        <f t="shared" si="55"/>
        <v>237</v>
      </c>
      <c r="B242" s="51">
        <v>8</v>
      </c>
      <c r="C242" s="51">
        <v>5</v>
      </c>
      <c r="D242" s="18" t="s">
        <v>718</v>
      </c>
      <c r="E242" s="299" t="s">
        <v>888</v>
      </c>
      <c r="F242" s="299">
        <v>5</v>
      </c>
      <c r="G242" s="52">
        <v>1</v>
      </c>
      <c r="H242" s="333"/>
      <c r="I242" s="65">
        <v>1946</v>
      </c>
      <c r="J242" s="349">
        <v>2</v>
      </c>
      <c r="K242" s="346">
        <f t="shared" si="56"/>
        <v>3</v>
      </c>
      <c r="L242" s="346">
        <v>1</v>
      </c>
      <c r="M242" s="349">
        <v>1</v>
      </c>
      <c r="N242" s="255">
        <f t="shared" si="54"/>
        <v>0</v>
      </c>
      <c r="O242" s="310">
        <v>8</v>
      </c>
      <c r="P242" s="66">
        <v>0</v>
      </c>
      <c r="Q242" s="66"/>
      <c r="R242" s="66">
        <v>5</v>
      </c>
      <c r="S242" s="66">
        <v>3</v>
      </c>
      <c r="T242" s="66">
        <v>0</v>
      </c>
      <c r="U242" s="66">
        <v>0</v>
      </c>
      <c r="V242" s="66">
        <v>0</v>
      </c>
      <c r="W242" s="54">
        <v>0</v>
      </c>
      <c r="X242" s="55">
        <f>SUMIFS(Таблица3[Кол-во квартир],Таблица3[Адрес МКД],$D242)</f>
        <v>8</v>
      </c>
      <c r="Y242" s="56">
        <f t="shared" si="58"/>
        <v>608.01</v>
      </c>
      <c r="Z242" s="253">
        <f>SUMIFS(Таблица3[Площадь жилая],Таблица3[Адрес МКД],$D242)</f>
        <v>281.8</v>
      </c>
      <c r="AA242" s="261">
        <f>SUMIFS(Таблица3[Площадь нежилых помещений],Таблица3[Адрес МКД],$D242)</f>
        <v>0</v>
      </c>
      <c r="AB242" s="252">
        <f>SUMIFS(Таблица1[1],Таблица1[2],$D242)</f>
        <v>0</v>
      </c>
      <c r="AC242" s="57">
        <f t="shared" si="50"/>
        <v>0</v>
      </c>
      <c r="AD242" s="57">
        <f t="shared" si="51"/>
        <v>0</v>
      </c>
      <c r="AE242" s="58">
        <f>SUMIFS(Таблица1[8],Таблица1[2],$D242)+SUMIFS(Таблица1[18],Таблица1[2],$D242)</f>
        <v>0</v>
      </c>
      <c r="AF242" s="58">
        <f>SUMIFS(Таблица1[9],Таблица1[2],$D242)+SUMIFS(Таблица1[19],Таблица1[2],$D242)</f>
        <v>0</v>
      </c>
      <c r="AG242" s="59">
        <f t="shared" si="52"/>
        <v>326.21000000000004</v>
      </c>
      <c r="AH242" s="59">
        <f t="shared" si="53"/>
        <v>326.21000000000004</v>
      </c>
      <c r="AI242" s="60">
        <f>130.9-AM242</f>
        <v>130.9</v>
      </c>
      <c r="AJ242" s="60">
        <f t="shared" si="46"/>
        <v>130.9</v>
      </c>
      <c r="AK242" s="60">
        <f>SUMIFS(Таблица1[10],Таблица1[2],$D242)</f>
        <v>0</v>
      </c>
      <c r="AL242" s="60">
        <f>SUMIFS(Таблица1[11],Таблица1[2],$D242)</f>
        <v>0</v>
      </c>
      <c r="AM242" s="251">
        <v>0</v>
      </c>
      <c r="AN242" s="249">
        <f t="shared" si="47"/>
        <v>0</v>
      </c>
      <c r="AO242" s="249">
        <f>SUMIFS(Таблица1[12],Таблица1[2],$D242)</f>
        <v>0</v>
      </c>
      <c r="AP242" s="249">
        <f>SUMIFS(Таблица1[13],Таблица1[2],$D242)</f>
        <v>0</v>
      </c>
      <c r="AQ242" s="61">
        <v>30.1</v>
      </c>
      <c r="AR242" s="61">
        <f t="shared" si="48"/>
        <v>30.1</v>
      </c>
      <c r="AS242" s="60">
        <f>SUMIFS(Таблица1[14],Таблица1[2],$D242)</f>
        <v>0</v>
      </c>
      <c r="AT242" s="60">
        <f>SUMIFS(Таблица1[15],Таблица1[2],$D242)</f>
        <v>0</v>
      </c>
      <c r="AU242" s="61">
        <v>165.21</v>
      </c>
      <c r="AV242" s="61">
        <f t="shared" si="49"/>
        <v>165.21</v>
      </c>
      <c r="AW242" s="60">
        <f>SUMIFS(Таблица1[16],Таблица1[2],$D242)</f>
        <v>0</v>
      </c>
      <c r="AX242" s="60">
        <f>SUMIFS(Таблица1[17],Таблица1[2],$D242)</f>
        <v>0</v>
      </c>
      <c r="AY242" s="263"/>
      <c r="AZ242" s="264"/>
      <c r="BA242" s="296">
        <v>0</v>
      </c>
      <c r="BB242" s="296">
        <f t="shared" si="57"/>
        <v>0</v>
      </c>
      <c r="BC242" s="296">
        <v>0</v>
      </c>
      <c r="BD242" s="296">
        <v>0</v>
      </c>
      <c r="BE242" s="285"/>
      <c r="BF242" s="259">
        <v>495</v>
      </c>
      <c r="BG242" s="260">
        <f>1323+56</f>
        <v>1379</v>
      </c>
      <c r="BH242" s="62" t="s">
        <v>936</v>
      </c>
      <c r="BI242" s="62" t="s">
        <v>935</v>
      </c>
      <c r="BJ242" s="62" t="s">
        <v>1536</v>
      </c>
      <c r="BK242" s="267"/>
      <c r="BL242" s="267" t="s">
        <v>1649</v>
      </c>
      <c r="BM242" s="267"/>
      <c r="BN242" s="268"/>
      <c r="BO242" s="62">
        <v>46</v>
      </c>
      <c r="BP242" s="63">
        <v>35610</v>
      </c>
      <c r="BQ242" s="64" t="s">
        <v>1131</v>
      </c>
      <c r="BR242" s="372" t="s">
        <v>2747</v>
      </c>
      <c r="BS242" s="62"/>
      <c r="BT242" s="323"/>
      <c r="BU242" s="62"/>
      <c r="BV242" s="323"/>
      <c r="BW242" s="62"/>
      <c r="BX242" s="336">
        <v>8</v>
      </c>
      <c r="BY242" s="336" t="s">
        <v>1649</v>
      </c>
    </row>
    <row r="243" spans="1:77" ht="13.15" hidden="1" customHeight="1" outlineLevel="1" x14ac:dyDescent="0.2">
      <c r="A243" s="50">
        <f t="shared" si="55"/>
        <v>238</v>
      </c>
      <c r="B243" s="51">
        <v>9</v>
      </c>
      <c r="C243" s="51">
        <v>6</v>
      </c>
      <c r="D243" s="18" t="s">
        <v>719</v>
      </c>
      <c r="E243" s="299" t="s">
        <v>888</v>
      </c>
      <c r="F243" s="299">
        <v>5</v>
      </c>
      <c r="G243" s="52"/>
      <c r="H243" s="333"/>
      <c r="I243" s="65">
        <v>1946</v>
      </c>
      <c r="J243" s="349">
        <v>2</v>
      </c>
      <c r="K243" s="346">
        <f t="shared" si="56"/>
        <v>3</v>
      </c>
      <c r="L243" s="346">
        <v>1</v>
      </c>
      <c r="M243" s="349">
        <v>2</v>
      </c>
      <c r="N243" s="255">
        <f t="shared" si="54"/>
        <v>0</v>
      </c>
      <c r="O243" s="310">
        <v>16</v>
      </c>
      <c r="P243" s="66">
        <v>0</v>
      </c>
      <c r="Q243" s="66"/>
      <c r="R243" s="66">
        <v>12</v>
      </c>
      <c r="S243" s="66">
        <v>4</v>
      </c>
      <c r="T243" s="66">
        <v>0</v>
      </c>
      <c r="U243" s="66">
        <v>0</v>
      </c>
      <c r="V243" s="66">
        <v>0</v>
      </c>
      <c r="W243" s="54">
        <v>0</v>
      </c>
      <c r="X243" s="55">
        <f>SUMIFS(Таблица3[Кол-во квартир],Таблица3[Адрес МКД],$D243)</f>
        <v>16</v>
      </c>
      <c r="Y243" s="56">
        <f t="shared" si="58"/>
        <v>1060.4099999999999</v>
      </c>
      <c r="Z243" s="253">
        <f>SUMIFS(Таблица3[Площадь жилая],Таблица3[Адрес МКД],$D243)</f>
        <v>514.4</v>
      </c>
      <c r="AA243" s="261">
        <f>SUMIFS(Таблица3[Площадь нежилых помещений],Таблица3[Адрес МКД],$D243)</f>
        <v>0</v>
      </c>
      <c r="AB243" s="252">
        <f>SUMIFS(Таблица1[1],Таблица1[2],$D243)</f>
        <v>0</v>
      </c>
      <c r="AC243" s="57">
        <f t="shared" si="50"/>
        <v>0</v>
      </c>
      <c r="AD243" s="57">
        <f t="shared" si="51"/>
        <v>0</v>
      </c>
      <c r="AE243" s="58">
        <f>SUMIFS(Таблица1[8],Таблица1[2],$D243)+SUMIFS(Таблица1[18],Таблица1[2],$D243)</f>
        <v>0</v>
      </c>
      <c r="AF243" s="58">
        <f>SUMIFS(Таблица1[9],Таблица1[2],$D243)+SUMIFS(Таблица1[19],Таблица1[2],$D243)</f>
        <v>0</v>
      </c>
      <c r="AG243" s="59">
        <f t="shared" si="52"/>
        <v>546.01</v>
      </c>
      <c r="AH243" s="59">
        <f t="shared" si="53"/>
        <v>546.01</v>
      </c>
      <c r="AI243" s="60">
        <f>130-AM243</f>
        <v>130</v>
      </c>
      <c r="AJ243" s="60">
        <f t="shared" si="46"/>
        <v>130</v>
      </c>
      <c r="AK243" s="60">
        <f>SUMIFS(Таблица1[10],Таблица1[2],$D243)</f>
        <v>0</v>
      </c>
      <c r="AL243" s="60">
        <f>SUMIFS(Таблица1[11],Таблица1[2],$D243)</f>
        <v>0</v>
      </c>
      <c r="AM243" s="251">
        <v>0</v>
      </c>
      <c r="AN243" s="249">
        <f t="shared" si="47"/>
        <v>0</v>
      </c>
      <c r="AO243" s="249">
        <f>SUMIFS(Таблица1[12],Таблица1[2],$D243)</f>
        <v>0</v>
      </c>
      <c r="AP243" s="249">
        <f>SUMIFS(Таблица1[13],Таблица1[2],$D243)</f>
        <v>0</v>
      </c>
      <c r="AQ243" s="61">
        <f>60.3+12.7</f>
        <v>73</v>
      </c>
      <c r="AR243" s="61">
        <f t="shared" si="48"/>
        <v>73</v>
      </c>
      <c r="AS243" s="60">
        <f>SUMIFS(Таблица1[14],Таблица1[2],$D243)</f>
        <v>0</v>
      </c>
      <c r="AT243" s="60">
        <f>SUMIFS(Таблица1[15],Таблица1[2],$D243)</f>
        <v>0</v>
      </c>
      <c r="AU243" s="61">
        <v>343.01</v>
      </c>
      <c r="AV243" s="61">
        <f t="shared" si="49"/>
        <v>343.01</v>
      </c>
      <c r="AW243" s="60">
        <f>SUMIFS(Таблица1[16],Таблица1[2],$D243)</f>
        <v>0</v>
      </c>
      <c r="AX243" s="60">
        <f>SUMIFS(Таблица1[17],Таблица1[2],$D243)</f>
        <v>0</v>
      </c>
      <c r="AY243" s="263"/>
      <c r="AZ243" s="264"/>
      <c r="BA243" s="296">
        <v>0</v>
      </c>
      <c r="BB243" s="296">
        <f t="shared" si="57"/>
        <v>0</v>
      </c>
      <c r="BC243" s="296">
        <v>0</v>
      </c>
      <c r="BD243" s="296">
        <v>0</v>
      </c>
      <c r="BE243" s="285"/>
      <c r="BF243" s="259">
        <v>913</v>
      </c>
      <c r="BG243" s="260">
        <v>2465</v>
      </c>
      <c r="BH243" s="62" t="s">
        <v>936</v>
      </c>
      <c r="BI243" s="62" t="s">
        <v>935</v>
      </c>
      <c r="BJ243" s="62" t="s">
        <v>1536</v>
      </c>
      <c r="BK243" s="267"/>
      <c r="BL243" s="267" t="s">
        <v>1649</v>
      </c>
      <c r="BM243" s="267"/>
      <c r="BN243" s="268"/>
      <c r="BO243" s="62">
        <v>46</v>
      </c>
      <c r="BP243" s="63">
        <v>35610</v>
      </c>
      <c r="BQ243" s="64" t="s">
        <v>1131</v>
      </c>
      <c r="BR243" s="372" t="s">
        <v>2747</v>
      </c>
      <c r="BS243" s="62"/>
      <c r="BT243" s="323"/>
      <c r="BU243" s="62"/>
      <c r="BV243" s="323"/>
      <c r="BW243" s="62"/>
      <c r="BX243" s="336">
        <v>14</v>
      </c>
      <c r="BY243" s="336" t="s">
        <v>1649</v>
      </c>
    </row>
    <row r="244" spans="1:77" ht="13.15" hidden="1" customHeight="1" outlineLevel="1" x14ac:dyDescent="0.2">
      <c r="A244" s="50">
        <f t="shared" si="55"/>
        <v>239</v>
      </c>
      <c r="B244" s="51">
        <v>32</v>
      </c>
      <c r="C244" s="51">
        <v>52</v>
      </c>
      <c r="D244" s="18" t="s">
        <v>526</v>
      </c>
      <c r="E244" s="18">
        <v>11</v>
      </c>
      <c r="F244" s="18">
        <v>2</v>
      </c>
      <c r="G244" s="52">
        <v>1</v>
      </c>
      <c r="H244" s="237">
        <v>1</v>
      </c>
      <c r="I244" s="65">
        <v>1955</v>
      </c>
      <c r="J244" s="349">
        <v>5</v>
      </c>
      <c r="K244" s="346">
        <f t="shared" si="56"/>
        <v>6</v>
      </c>
      <c r="L244" s="346">
        <v>1</v>
      </c>
      <c r="M244" s="349">
        <v>5</v>
      </c>
      <c r="N244" s="255">
        <f t="shared" si="54"/>
        <v>0</v>
      </c>
      <c r="O244" s="310">
        <v>65</v>
      </c>
      <c r="P244" s="66">
        <v>5</v>
      </c>
      <c r="Q244" s="66"/>
      <c r="R244" s="66">
        <v>50</v>
      </c>
      <c r="S244" s="66">
        <v>9</v>
      </c>
      <c r="T244" s="66">
        <v>6</v>
      </c>
      <c r="U244" s="66">
        <v>0</v>
      </c>
      <c r="V244" s="66">
        <v>0</v>
      </c>
      <c r="W244" s="54">
        <v>0</v>
      </c>
      <c r="X244" s="55">
        <f>SUMIFS(Таблица3[Кол-во квартир],Таблица3[Адрес МКД],$D244)</f>
        <v>60</v>
      </c>
      <c r="Y244" s="56">
        <f t="shared" si="58"/>
        <v>6095.2699999999995</v>
      </c>
      <c r="Z244" s="253">
        <f>SUMIFS(Таблица3[Площадь жилая],Таблица3[Адрес МКД],$D244)</f>
        <v>3446</v>
      </c>
      <c r="AA244" s="261">
        <f>SUMIFS(Таблица3[Площадь нежилых помещений],Таблица3[Адрес МКД],$D244)</f>
        <v>838.9</v>
      </c>
      <c r="AB244" s="252">
        <f>SUMIFS(Таблица1[1],Таблица1[2],$D244)</f>
        <v>838.9</v>
      </c>
      <c r="AC244" s="57">
        <f t="shared" si="50"/>
        <v>838.89999999999986</v>
      </c>
      <c r="AD244" s="57">
        <f t="shared" si="51"/>
        <v>0</v>
      </c>
      <c r="AE244" s="58">
        <f>SUMIFS(Таблица1[8],Таблица1[2],$D244)+SUMIFS(Таблица1[18],Таблица1[2],$D244)</f>
        <v>500.79999999999995</v>
      </c>
      <c r="AF244" s="58">
        <f>SUMIFS(Таблица1[9],Таблица1[2],$D244)+SUMIFS(Таблица1[19],Таблица1[2],$D244)</f>
        <v>0</v>
      </c>
      <c r="AG244" s="59">
        <f t="shared" si="52"/>
        <v>1810.37</v>
      </c>
      <c r="AH244" s="59">
        <f t="shared" si="53"/>
        <v>1810.37</v>
      </c>
      <c r="AI244" s="60">
        <f>561.6-AM244</f>
        <v>466.3</v>
      </c>
      <c r="AJ244" s="60">
        <f t="shared" si="46"/>
        <v>223.5</v>
      </c>
      <c r="AK244" s="60">
        <f>SUMIFS(Таблица1[10],Таблица1[2],$D244)</f>
        <v>242.8</v>
      </c>
      <c r="AL244" s="60">
        <f>SUMIFS(Таблица1[11],Таблица1[2],$D244)</f>
        <v>0</v>
      </c>
      <c r="AM244" s="251">
        <v>95.3</v>
      </c>
      <c r="AN244" s="249">
        <f t="shared" si="47"/>
        <v>0</v>
      </c>
      <c r="AO244" s="249">
        <f>SUMIFS(Таблица1[12],Таблица1[2],$D244)</f>
        <v>95.3</v>
      </c>
      <c r="AP244" s="249">
        <f>SUMIFS(Таблица1[13],Таблица1[2],$D244)</f>
        <v>0</v>
      </c>
      <c r="AQ244" s="61">
        <v>636.6</v>
      </c>
      <c r="AR244" s="61">
        <f t="shared" si="48"/>
        <v>636.6</v>
      </c>
      <c r="AS244" s="60">
        <f>SUMIFS(Таблица1[14],Таблица1[2],$D244)</f>
        <v>0</v>
      </c>
      <c r="AT244" s="60">
        <f>SUMIFS(Таблица1[15],Таблица1[2],$D244)</f>
        <v>0</v>
      </c>
      <c r="AU244" s="61">
        <v>950.27</v>
      </c>
      <c r="AV244" s="61">
        <f t="shared" si="49"/>
        <v>950.27</v>
      </c>
      <c r="AW244" s="60">
        <f>SUMIFS(Таблица1[16],Таблица1[2],$D244)</f>
        <v>0</v>
      </c>
      <c r="AX244" s="60">
        <f>SUMIFS(Таблица1[17],Таблица1[2],$D244)</f>
        <v>0</v>
      </c>
      <c r="AY244" s="263"/>
      <c r="AZ244" s="264"/>
      <c r="BA244" s="296">
        <v>0</v>
      </c>
      <c r="BB244" s="296">
        <f t="shared" si="57"/>
        <v>0</v>
      </c>
      <c r="BC244" s="296">
        <v>0</v>
      </c>
      <c r="BD244" s="296">
        <v>0</v>
      </c>
      <c r="BE244" s="285"/>
      <c r="BF244" s="259">
        <v>3666</v>
      </c>
      <c r="BG244" s="260">
        <f>7058+10627+224</f>
        <v>17909</v>
      </c>
      <c r="BH244" s="62" t="s">
        <v>936</v>
      </c>
      <c r="BI244" s="62" t="s">
        <v>935</v>
      </c>
      <c r="BJ244" s="62"/>
      <c r="BK244" s="267"/>
      <c r="BL244" s="267"/>
      <c r="BM244" s="267" t="s">
        <v>1649</v>
      </c>
      <c r="BN244" s="268"/>
      <c r="BO244" s="62">
        <v>28</v>
      </c>
      <c r="BP244" s="63">
        <v>29658</v>
      </c>
      <c r="BQ244" s="64" t="s">
        <v>1131</v>
      </c>
      <c r="BR244" s="372" t="s">
        <v>2747</v>
      </c>
      <c r="BS244" s="62"/>
      <c r="BT244" s="323"/>
      <c r="BU244" s="62"/>
      <c r="BV244" s="323"/>
      <c r="BW244" s="62"/>
      <c r="BX244" s="336"/>
      <c r="BY244" s="336"/>
    </row>
    <row r="245" spans="1:77" ht="13.15" hidden="1" customHeight="1" outlineLevel="1" x14ac:dyDescent="0.2">
      <c r="A245" s="50">
        <f t="shared" si="55"/>
        <v>240</v>
      </c>
      <c r="B245" s="51">
        <v>48</v>
      </c>
      <c r="C245" s="51">
        <v>73</v>
      </c>
      <c r="D245" s="18" t="s">
        <v>395</v>
      </c>
      <c r="E245" s="18">
        <v>9</v>
      </c>
      <c r="F245" s="18">
        <v>1</v>
      </c>
      <c r="G245" s="52">
        <v>1</v>
      </c>
      <c r="H245" s="237">
        <v>1</v>
      </c>
      <c r="I245" s="65">
        <v>1951</v>
      </c>
      <c r="J245" s="351">
        <v>4.5</v>
      </c>
      <c r="K245" s="345">
        <v>5.6</v>
      </c>
      <c r="L245" s="346">
        <v>1</v>
      </c>
      <c r="M245" s="349">
        <v>4</v>
      </c>
      <c r="N245" s="255">
        <f t="shared" si="54"/>
        <v>1</v>
      </c>
      <c r="O245" s="310">
        <v>47</v>
      </c>
      <c r="P245" s="66">
        <v>2</v>
      </c>
      <c r="Q245" s="66"/>
      <c r="R245" s="66">
        <v>3</v>
      </c>
      <c r="S245" s="66">
        <v>36</v>
      </c>
      <c r="T245" s="66">
        <v>8</v>
      </c>
      <c r="U245" s="66">
        <v>0</v>
      </c>
      <c r="V245" s="66">
        <v>0</v>
      </c>
      <c r="W245" s="54">
        <v>0</v>
      </c>
      <c r="X245" s="55">
        <f>SUMIFS(Таблица3[Кол-во квартир],Таблица3[Адрес МКД],$D245)</f>
        <v>44</v>
      </c>
      <c r="Y245" s="56">
        <f t="shared" si="58"/>
        <v>4390.3999999999996</v>
      </c>
      <c r="Z245" s="253">
        <f>SUMIFS(Таблица3[Площадь жилая],Таблица3[Адрес МКД],$D245)</f>
        <v>2431.9</v>
      </c>
      <c r="AA245" s="261">
        <f>SUMIFS(Таблица3[Площадь нежилых помещений],Таблица3[Адрес МКД],$D245)</f>
        <v>436</v>
      </c>
      <c r="AB245" s="252">
        <f>SUMIFS(Таблица1[1],Таблица1[2],$D245)</f>
        <v>436</v>
      </c>
      <c r="AC245" s="57">
        <f t="shared" si="50"/>
        <v>436</v>
      </c>
      <c r="AD245" s="57">
        <f t="shared" si="51"/>
        <v>0</v>
      </c>
      <c r="AE245" s="58">
        <f>SUMIFS(Таблица1[8],Таблица1[2],$D245)+SUMIFS(Таблица1[18],Таблица1[2],$D245)</f>
        <v>87.4</v>
      </c>
      <c r="AF245" s="58">
        <f>SUMIFS(Таблица1[9],Таблица1[2],$D245)+SUMIFS(Таблица1[19],Таблица1[2],$D245)</f>
        <v>0</v>
      </c>
      <c r="AG245" s="59">
        <f t="shared" si="52"/>
        <v>1522.5</v>
      </c>
      <c r="AH245" s="59">
        <f t="shared" si="53"/>
        <v>1522.5</v>
      </c>
      <c r="AI245" s="60">
        <f>586-AM245</f>
        <v>237.39999999999998</v>
      </c>
      <c r="AJ245" s="60">
        <f t="shared" si="46"/>
        <v>237.39999999999998</v>
      </c>
      <c r="AK245" s="60">
        <f>SUMIFS(Таблица1[10],Таблица1[2],$D245)</f>
        <v>0</v>
      </c>
      <c r="AL245" s="60">
        <f>SUMIFS(Таблица1[11],Таблица1[2],$D245)</f>
        <v>0</v>
      </c>
      <c r="AM245" s="251">
        <v>348.6</v>
      </c>
      <c r="AN245" s="249">
        <f t="shared" si="47"/>
        <v>0</v>
      </c>
      <c r="AO245" s="249">
        <f>SUMIFS(Таблица1[12],Таблица1[2],$D245)</f>
        <v>348.6</v>
      </c>
      <c r="AP245" s="249">
        <f>SUMIFS(Таблица1[13],Таблица1[2],$D245)</f>
        <v>0</v>
      </c>
      <c r="AQ245" s="61">
        <v>394.8</v>
      </c>
      <c r="AR245" s="61">
        <f t="shared" si="48"/>
        <v>394.8</v>
      </c>
      <c r="AS245" s="60">
        <f>SUMIFS(Таблица1[14],Таблица1[2],$D245)</f>
        <v>0</v>
      </c>
      <c r="AT245" s="60">
        <f>SUMIFS(Таблица1[15],Таблица1[2],$D245)</f>
        <v>0</v>
      </c>
      <c r="AU245" s="61">
        <v>890.3</v>
      </c>
      <c r="AV245" s="61">
        <f t="shared" si="49"/>
        <v>890.3</v>
      </c>
      <c r="AW245" s="60">
        <f>SUMIFS(Таблица1[16],Таблица1[2],$D245)</f>
        <v>0</v>
      </c>
      <c r="AX245" s="60">
        <f>SUMIFS(Таблица1[17],Таблица1[2],$D245)</f>
        <v>0</v>
      </c>
      <c r="AY245" s="263"/>
      <c r="AZ245" s="264"/>
      <c r="BA245" s="296">
        <v>0</v>
      </c>
      <c r="BB245" s="296">
        <f t="shared" si="57"/>
        <v>0</v>
      </c>
      <c r="BC245" s="296">
        <v>0</v>
      </c>
      <c r="BD245" s="296">
        <v>0</v>
      </c>
      <c r="BE245" s="285" t="s">
        <v>1649</v>
      </c>
      <c r="BF245" s="259">
        <v>2690</v>
      </c>
      <c r="BG245" s="260">
        <f>13111+72+160+48</f>
        <v>13391</v>
      </c>
      <c r="BH245" s="62" t="s">
        <v>936</v>
      </c>
      <c r="BI245" s="62" t="s">
        <v>935</v>
      </c>
      <c r="BJ245" s="62" t="s">
        <v>944</v>
      </c>
      <c r="BK245" s="267"/>
      <c r="BL245" s="267"/>
      <c r="BM245" s="267" t="s">
        <v>1649</v>
      </c>
      <c r="BN245" s="268"/>
      <c r="BO245" s="62">
        <v>24</v>
      </c>
      <c r="BP245" s="63">
        <v>29968</v>
      </c>
      <c r="BQ245" s="64" t="s">
        <v>1131</v>
      </c>
      <c r="BR245" s="372" t="s">
        <v>2747</v>
      </c>
      <c r="BS245" s="62"/>
      <c r="BT245" s="323"/>
      <c r="BU245" s="62"/>
      <c r="BV245" s="323"/>
      <c r="BW245" s="62"/>
      <c r="BX245" s="336"/>
      <c r="BY245" s="336"/>
    </row>
    <row r="246" spans="1:77" ht="13.15" hidden="1" customHeight="1" outlineLevel="1" x14ac:dyDescent="0.2">
      <c r="A246" s="50">
        <f t="shared" si="55"/>
        <v>241</v>
      </c>
      <c r="B246" s="51">
        <v>49</v>
      </c>
      <c r="C246" s="51">
        <v>74</v>
      </c>
      <c r="D246" s="18" t="s">
        <v>396</v>
      </c>
      <c r="E246" s="18">
        <v>9</v>
      </c>
      <c r="F246" s="18">
        <v>1</v>
      </c>
      <c r="G246" s="52">
        <v>1</v>
      </c>
      <c r="H246" s="237">
        <v>1</v>
      </c>
      <c r="I246" s="65">
        <v>1951</v>
      </c>
      <c r="J246" s="349">
        <v>3</v>
      </c>
      <c r="K246" s="346">
        <f t="shared" si="56"/>
        <v>4</v>
      </c>
      <c r="L246" s="346">
        <v>1</v>
      </c>
      <c r="M246" s="349">
        <v>3</v>
      </c>
      <c r="N246" s="255">
        <f t="shared" si="54"/>
        <v>0</v>
      </c>
      <c r="O246" s="310">
        <v>26</v>
      </c>
      <c r="P246" s="66">
        <v>0</v>
      </c>
      <c r="Q246" s="66"/>
      <c r="R246" s="66">
        <v>0</v>
      </c>
      <c r="S246" s="66">
        <v>24</v>
      </c>
      <c r="T246" s="66">
        <v>2</v>
      </c>
      <c r="U246" s="66">
        <v>0</v>
      </c>
      <c r="V246" s="66">
        <v>0</v>
      </c>
      <c r="W246" s="54">
        <v>0</v>
      </c>
      <c r="X246" s="55">
        <f>SUMIFS(Таблица3[Кол-во квартир],Таблица3[Адрес МКД],$D246)</f>
        <v>26</v>
      </c>
      <c r="Y246" s="56">
        <f t="shared" si="58"/>
        <v>2567.52</v>
      </c>
      <c r="Z246" s="253">
        <f>SUMIFS(Таблица3[Площадь жилая],Таблица3[Адрес МКД],$D246)</f>
        <v>1313.42</v>
      </c>
      <c r="AA246" s="261">
        <f>SUMIFS(Таблица3[Площадь нежилых помещений],Таблица3[Адрес МКД],$D246)</f>
        <v>0</v>
      </c>
      <c r="AB246" s="252">
        <f>SUMIFS(Таблица1[1],Таблица1[2],$D246)</f>
        <v>98.4</v>
      </c>
      <c r="AC246" s="57">
        <f t="shared" si="50"/>
        <v>98.4</v>
      </c>
      <c r="AD246" s="57">
        <f t="shared" si="51"/>
        <v>0</v>
      </c>
      <c r="AE246" s="58">
        <f>SUMIFS(Таблица1[8],Таблица1[2],$D246)+SUMIFS(Таблица1[18],Таблица1[2],$D246)</f>
        <v>0</v>
      </c>
      <c r="AF246" s="58">
        <f>SUMIFS(Таблица1[9],Таблица1[2],$D246)+SUMIFS(Таблица1[19],Таблица1[2],$D246)</f>
        <v>0</v>
      </c>
      <c r="AG246" s="59">
        <f t="shared" si="52"/>
        <v>1155.6999999999998</v>
      </c>
      <c r="AH246" s="59">
        <f t="shared" si="53"/>
        <v>1155.6999999999998</v>
      </c>
      <c r="AI246" s="60">
        <f>428.3-AM246</f>
        <v>428.3</v>
      </c>
      <c r="AJ246" s="60">
        <f t="shared" si="46"/>
        <v>329.9</v>
      </c>
      <c r="AK246" s="60">
        <f>SUMIFS(Таблица1[10],Таблица1[2],$D246)</f>
        <v>98.4</v>
      </c>
      <c r="AL246" s="60">
        <f>SUMIFS(Таблица1[11],Таблица1[2],$D246)</f>
        <v>0</v>
      </c>
      <c r="AM246" s="251">
        <v>0</v>
      </c>
      <c r="AN246" s="249">
        <f t="shared" si="47"/>
        <v>0</v>
      </c>
      <c r="AO246" s="249">
        <f>SUMIFS(Таблица1[12],Таблица1[2],$D246)</f>
        <v>0</v>
      </c>
      <c r="AP246" s="249">
        <f>SUMIFS(Таблица1[13],Таблица1[2],$D246)</f>
        <v>0</v>
      </c>
      <c r="AQ246" s="61">
        <v>265</v>
      </c>
      <c r="AR246" s="61">
        <f t="shared" si="48"/>
        <v>265</v>
      </c>
      <c r="AS246" s="60">
        <f>SUMIFS(Таблица1[14],Таблица1[2],$D246)</f>
        <v>0</v>
      </c>
      <c r="AT246" s="60">
        <f>SUMIFS(Таблица1[15],Таблица1[2],$D246)</f>
        <v>0</v>
      </c>
      <c r="AU246" s="61">
        <v>560.79999999999995</v>
      </c>
      <c r="AV246" s="61">
        <f t="shared" si="49"/>
        <v>560.79999999999995</v>
      </c>
      <c r="AW246" s="60">
        <f>SUMIFS(Таблица1[16],Таблица1[2],$D246)</f>
        <v>0</v>
      </c>
      <c r="AX246" s="60">
        <f>SUMIFS(Таблица1[17],Таблица1[2],$D246)</f>
        <v>0</v>
      </c>
      <c r="AY246" s="263">
        <f>Нежилые!G1423</f>
        <v>98.4</v>
      </c>
      <c r="AZ246" s="264"/>
      <c r="BA246" s="296">
        <v>0</v>
      </c>
      <c r="BB246" s="296">
        <f t="shared" si="57"/>
        <v>0</v>
      </c>
      <c r="BC246" s="296">
        <v>0</v>
      </c>
      <c r="BD246" s="296">
        <v>0</v>
      </c>
      <c r="BE246" s="285"/>
      <c r="BF246" s="259">
        <v>2034</v>
      </c>
      <c r="BG246" s="260">
        <f>6303+31</f>
        <v>6334</v>
      </c>
      <c r="BH246" s="62" t="s">
        <v>936</v>
      </c>
      <c r="BI246" s="62" t="s">
        <v>935</v>
      </c>
      <c r="BJ246" s="62" t="s">
        <v>944</v>
      </c>
      <c r="BK246" s="267"/>
      <c r="BL246" s="267"/>
      <c r="BM246" s="267" t="s">
        <v>1649</v>
      </c>
      <c r="BN246" s="268"/>
      <c r="BO246" s="62">
        <v>26</v>
      </c>
      <c r="BP246" s="63">
        <v>29963</v>
      </c>
      <c r="BQ246" s="64" t="s">
        <v>1131</v>
      </c>
      <c r="BR246" s="372" t="s">
        <v>2747</v>
      </c>
      <c r="BS246" s="62"/>
      <c r="BT246" s="323"/>
      <c r="BU246" s="62"/>
      <c r="BV246" s="323"/>
      <c r="BW246" s="62"/>
      <c r="BX246" s="336"/>
      <c r="BY246" s="336"/>
    </row>
    <row r="247" spans="1:77" ht="13.15" hidden="1" customHeight="1" outlineLevel="1" x14ac:dyDescent="0.2">
      <c r="A247" s="50">
        <f t="shared" si="55"/>
        <v>242</v>
      </c>
      <c r="B247" s="51">
        <v>42</v>
      </c>
      <c r="C247" s="51">
        <v>53</v>
      </c>
      <c r="D247" s="18" t="s">
        <v>536</v>
      </c>
      <c r="E247" s="18">
        <v>11</v>
      </c>
      <c r="F247" s="18">
        <v>2</v>
      </c>
      <c r="G247" s="52">
        <v>1</v>
      </c>
      <c r="H247" s="237">
        <v>1</v>
      </c>
      <c r="I247" s="65">
        <v>1953</v>
      </c>
      <c r="J247" s="349">
        <v>8</v>
      </c>
      <c r="K247" s="346">
        <f t="shared" si="56"/>
        <v>9</v>
      </c>
      <c r="L247" s="346">
        <v>1</v>
      </c>
      <c r="M247" s="349">
        <v>3</v>
      </c>
      <c r="N247" s="255">
        <f t="shared" si="54"/>
        <v>1</v>
      </c>
      <c r="O247" s="310">
        <v>65</v>
      </c>
      <c r="P247" s="66">
        <v>0</v>
      </c>
      <c r="Q247" s="66"/>
      <c r="R247" s="66">
        <v>0</v>
      </c>
      <c r="S247" s="66">
        <v>19</v>
      </c>
      <c r="T247" s="66">
        <v>43</v>
      </c>
      <c r="U247" s="66">
        <v>3</v>
      </c>
      <c r="V247" s="66">
        <v>0</v>
      </c>
      <c r="W247" s="54">
        <v>0</v>
      </c>
      <c r="X247" s="55">
        <f>SUMIFS(Таблица3[Кол-во квартир],Таблица3[Адрес МКД],$D247)</f>
        <v>64</v>
      </c>
      <c r="Y247" s="56">
        <f t="shared" si="58"/>
        <v>8686.5299999999988</v>
      </c>
      <c r="Z247" s="253">
        <f>SUMIFS(Таблица3[Площадь жилая],Таблица3[Адрес МКД],$D247)</f>
        <v>4801.1899999999996</v>
      </c>
      <c r="AA247" s="261">
        <f>SUMIFS(Таблица3[Площадь нежилых помещений],Таблица3[Адрес МКД],$D247)</f>
        <v>1689.6</v>
      </c>
      <c r="AB247" s="252">
        <f>SUMIFS(Таблица1[1],Таблица1[2],$D247)</f>
        <v>1689.6000000000001</v>
      </c>
      <c r="AC247" s="57">
        <f t="shared" si="50"/>
        <v>1689.6</v>
      </c>
      <c r="AD247" s="57">
        <f t="shared" si="51"/>
        <v>0</v>
      </c>
      <c r="AE247" s="58">
        <f>SUMIFS(Таблица1[8],Таблица1[2],$D247)+SUMIFS(Таблица1[18],Таблица1[2],$D247)</f>
        <v>969.4</v>
      </c>
      <c r="AF247" s="58">
        <f>SUMIFS(Таблица1[9],Таблица1[2],$D247)+SUMIFS(Таблица1[19],Таблица1[2],$D247)</f>
        <v>0</v>
      </c>
      <c r="AG247" s="59">
        <f t="shared" si="52"/>
        <v>2195.7399999999998</v>
      </c>
      <c r="AH247" s="59">
        <f t="shared" si="53"/>
        <v>2195.7399999999998</v>
      </c>
      <c r="AI247" s="60">
        <f>906.8-AM247</f>
        <v>614.29999999999995</v>
      </c>
      <c r="AJ247" s="60">
        <f t="shared" si="46"/>
        <v>186.59999999999991</v>
      </c>
      <c r="AK247" s="60">
        <f>SUMIFS(Таблица1[10],Таблица1[2],$D247)</f>
        <v>427.70000000000005</v>
      </c>
      <c r="AL247" s="60">
        <f>SUMIFS(Таблица1[11],Таблица1[2],$D247)</f>
        <v>0</v>
      </c>
      <c r="AM247" s="251">
        <v>292.5</v>
      </c>
      <c r="AN247" s="249">
        <f t="shared" si="47"/>
        <v>0</v>
      </c>
      <c r="AO247" s="249">
        <f>SUMIFS(Таблица1[12],Таблица1[2],$D247)</f>
        <v>292.5</v>
      </c>
      <c r="AP247" s="249">
        <f>SUMIFS(Таблица1[13],Таблица1[2],$D247)</f>
        <v>0</v>
      </c>
      <c r="AQ247" s="61">
        <v>823.7</v>
      </c>
      <c r="AR247" s="61">
        <f t="shared" si="48"/>
        <v>823.7</v>
      </c>
      <c r="AS247" s="60">
        <f>SUMIFS(Таблица1[14],Таблица1[2],$D247)</f>
        <v>0</v>
      </c>
      <c r="AT247" s="60">
        <f>SUMIFS(Таблица1[15],Таблица1[2],$D247)</f>
        <v>0</v>
      </c>
      <c r="AU247" s="61">
        <v>1185.44</v>
      </c>
      <c r="AV247" s="61">
        <f t="shared" si="49"/>
        <v>1185.44</v>
      </c>
      <c r="AW247" s="60">
        <f>SUMIFS(Таблица1[16],Таблица1[2],$D247)</f>
        <v>0</v>
      </c>
      <c r="AX247" s="60">
        <f>SUMIFS(Таблица1[17],Таблица1[2],$D247)</f>
        <v>0</v>
      </c>
      <c r="AY247" s="263"/>
      <c r="AZ247" s="264"/>
      <c r="BA247" s="296">
        <v>0</v>
      </c>
      <c r="BB247" s="296">
        <f t="shared" si="57"/>
        <v>0</v>
      </c>
      <c r="BC247" s="296">
        <v>0</v>
      </c>
      <c r="BD247" s="296">
        <v>0</v>
      </c>
      <c r="BE247" s="285" t="s">
        <v>1649</v>
      </c>
      <c r="BF247" s="259">
        <f>3654+197</f>
        <v>3851</v>
      </c>
      <c r="BG247" s="260">
        <f>9608+586+3430+131+16973</f>
        <v>30728</v>
      </c>
      <c r="BH247" s="62" t="s">
        <v>936</v>
      </c>
      <c r="BI247" s="62" t="s">
        <v>935</v>
      </c>
      <c r="BJ247" s="62"/>
      <c r="BK247" s="267"/>
      <c r="BL247" s="267"/>
      <c r="BM247" s="267" t="s">
        <v>1649</v>
      </c>
      <c r="BN247" s="268">
        <v>3</v>
      </c>
      <c r="BO247" s="62">
        <v>23</v>
      </c>
      <c r="BP247" s="63">
        <v>30242</v>
      </c>
      <c r="BQ247" s="64" t="s">
        <v>1131</v>
      </c>
      <c r="BR247" s="372" t="s">
        <v>2747</v>
      </c>
      <c r="BS247" s="62"/>
      <c r="BT247" s="323"/>
      <c r="BU247" s="62"/>
      <c r="BV247" s="323"/>
      <c r="BW247" s="62"/>
      <c r="BX247" s="336"/>
      <c r="BY247" s="336"/>
    </row>
    <row r="248" spans="1:77" ht="13.15" hidden="1" customHeight="1" outlineLevel="1" x14ac:dyDescent="0.2">
      <c r="A248" s="50">
        <f t="shared" si="55"/>
        <v>243</v>
      </c>
      <c r="B248" s="51">
        <v>50</v>
      </c>
      <c r="C248" s="51">
        <v>75</v>
      </c>
      <c r="D248" s="18" t="s">
        <v>397</v>
      </c>
      <c r="E248" s="18">
        <v>9</v>
      </c>
      <c r="F248" s="18">
        <v>1</v>
      </c>
      <c r="G248" s="52">
        <v>5</v>
      </c>
      <c r="H248" s="237">
        <v>5</v>
      </c>
      <c r="I248" s="65">
        <v>1951</v>
      </c>
      <c r="J248" s="352" t="s">
        <v>1129</v>
      </c>
      <c r="K248" s="346" t="s">
        <v>2691</v>
      </c>
      <c r="L248" s="346">
        <v>1</v>
      </c>
      <c r="M248" s="349">
        <v>19</v>
      </c>
      <c r="N248" s="255">
        <f t="shared" si="54"/>
        <v>0</v>
      </c>
      <c r="O248" s="310">
        <f>68+23+69+18+59</f>
        <v>237</v>
      </c>
      <c r="P248" s="66">
        <v>17</v>
      </c>
      <c r="Q248" s="66"/>
      <c r="R248" s="66">
        <f>2+0+2+0+3</f>
        <v>7</v>
      </c>
      <c r="S248" s="66">
        <f>49+12+65+16+57</f>
        <v>199</v>
      </c>
      <c r="T248" s="66">
        <f>8+6+2+7+8</f>
        <v>31</v>
      </c>
      <c r="U248" s="66">
        <f>0+0+0+0+0</f>
        <v>0</v>
      </c>
      <c r="V248" s="66">
        <f>0+0+0+0+0</f>
        <v>0</v>
      </c>
      <c r="W248" s="54">
        <v>0</v>
      </c>
      <c r="X248" s="55">
        <f>SUMIFS(Таблица3[Кол-во квартир],Таблица3[Адрес МКД],$D248)</f>
        <v>220</v>
      </c>
      <c r="Y248" s="56">
        <f t="shared" si="58"/>
        <v>21342.14</v>
      </c>
      <c r="Z248" s="253">
        <f>SUMIFS(Таблица3[Площадь жилая],Таблица3[Адрес МКД],$D248)</f>
        <v>12587.939999999999</v>
      </c>
      <c r="AA248" s="261">
        <f>SUMIFS(Таблица3[Площадь нежилых помещений],Таблица3[Адрес МКД],$D248)</f>
        <v>1949</v>
      </c>
      <c r="AB248" s="252">
        <f>SUMIFS(Таблица1[1],Таблица1[2],$D248)</f>
        <v>1950.6</v>
      </c>
      <c r="AC248" s="57">
        <f t="shared" si="50"/>
        <v>1922.1</v>
      </c>
      <c r="AD248" s="57">
        <f t="shared" si="51"/>
        <v>28.5</v>
      </c>
      <c r="AE248" s="58">
        <f>SUMIFS(Таблица1[8],Таблица1[2],$D248)+SUMIFS(Таблица1[18],Таблица1[2],$D248)</f>
        <v>939.5</v>
      </c>
      <c r="AF248" s="58">
        <f>SUMIFS(Таблица1[9],Таблица1[2],$D248)+SUMIFS(Таблица1[19],Таблица1[2],$D248)</f>
        <v>0</v>
      </c>
      <c r="AG248" s="59">
        <f t="shared" si="52"/>
        <v>6803.6</v>
      </c>
      <c r="AH248" s="59">
        <f t="shared" si="53"/>
        <v>6832.1</v>
      </c>
      <c r="AI248" s="60">
        <f>792.6+246.7+693+246.7+831.7-AM248</f>
        <v>2189.8999999999996</v>
      </c>
      <c r="AJ248" s="60">
        <f t="shared" si="46"/>
        <v>1828.0999999999997</v>
      </c>
      <c r="AK248" s="60">
        <f>SUMIFS(Таблица1[10],Таблица1[2],$D248)</f>
        <v>361.79999999999995</v>
      </c>
      <c r="AL248" s="60">
        <f>SUMIFS(Таблица1[11],Таблица1[2],$D248)</f>
        <v>0</v>
      </c>
      <c r="AM248" s="251">
        <f>275.6+185.2+160</f>
        <v>620.79999999999995</v>
      </c>
      <c r="AN248" s="249">
        <f>AM248-AO248-AP248</f>
        <v>0</v>
      </c>
      <c r="AO248" s="249">
        <f>SUMIFS(Таблица1[12],Таблица1[2],$D248)</f>
        <v>620.79999999999995</v>
      </c>
      <c r="AP248" s="249">
        <f>SUMIFS(Таблица1[13],Таблица1[2],$D248)</f>
        <v>0</v>
      </c>
      <c r="AQ248" s="61">
        <f>555.7+199.7+583.9+167.4+473.3</f>
        <v>1980.0000000000002</v>
      </c>
      <c r="AR248" s="61">
        <f t="shared" si="48"/>
        <v>1980.0000000000002</v>
      </c>
      <c r="AS248" s="60">
        <f>SUMIFS(Таблица1[14],Таблица1[2],$D248)</f>
        <v>0</v>
      </c>
      <c r="AT248" s="60">
        <f>SUMIFS(Таблица1[15],Таблица1[2],$D248)</f>
        <v>0</v>
      </c>
      <c r="AU248" s="61">
        <f>899+0+807.1+386.2+931.7</f>
        <v>3024</v>
      </c>
      <c r="AV248" s="61">
        <f>AU248-AW248-AX248</f>
        <v>2995.5</v>
      </c>
      <c r="AW248" s="60">
        <f>SUMIFS(Таблица1[16],Таблица1[2],$D248)</f>
        <v>0</v>
      </c>
      <c r="AX248" s="60">
        <f>SUMIFS(Таблица1[17],Таблица1[2],$D248)</f>
        <v>28.5</v>
      </c>
      <c r="AY248" s="263">
        <f>Нежилые!G1429</f>
        <v>0</v>
      </c>
      <c r="AZ248" s="264"/>
      <c r="BA248" s="296">
        <v>0</v>
      </c>
      <c r="BB248" s="296">
        <f t="shared" si="57"/>
        <v>0</v>
      </c>
      <c r="BC248" s="296">
        <v>0</v>
      </c>
      <c r="BD248" s="296">
        <v>0</v>
      </c>
      <c r="BE248" s="285" t="s">
        <v>1649</v>
      </c>
      <c r="BF248" s="259">
        <f>3433+1258+3211+1034+3143</f>
        <v>12079</v>
      </c>
      <c r="BG248" s="260">
        <f>16369+988+7570+3737+3713+7473+3730+6272+4071+9075+2638</f>
        <v>65636</v>
      </c>
      <c r="BH248" s="62" t="s">
        <v>939</v>
      </c>
      <c r="BI248" s="62" t="s">
        <v>935</v>
      </c>
      <c r="BJ248" s="62" t="s">
        <v>944</v>
      </c>
      <c r="BK248" s="267"/>
      <c r="BL248" s="267"/>
      <c r="BM248" s="267" t="s">
        <v>1649</v>
      </c>
      <c r="BN248" s="268"/>
      <c r="BO248" s="62">
        <v>40</v>
      </c>
      <c r="BP248" s="63">
        <v>44733</v>
      </c>
      <c r="BQ248" s="64" t="s">
        <v>1131</v>
      </c>
      <c r="BR248" s="372" t="s">
        <v>2747</v>
      </c>
      <c r="BS248" s="62"/>
      <c r="BT248" s="323"/>
      <c r="BU248" s="62"/>
      <c r="BV248" s="323"/>
      <c r="BW248" s="62"/>
      <c r="BX248" s="336"/>
      <c r="BY248" s="336" t="s">
        <v>1649</v>
      </c>
    </row>
    <row r="249" spans="1:77" ht="13.15" hidden="1" customHeight="1" outlineLevel="1" x14ac:dyDescent="0.2">
      <c r="A249" s="50">
        <f t="shared" si="55"/>
        <v>244</v>
      </c>
      <c r="B249" s="51">
        <v>51</v>
      </c>
      <c r="C249" s="51">
        <v>76</v>
      </c>
      <c r="D249" s="18" t="s">
        <v>398</v>
      </c>
      <c r="E249" s="18">
        <v>9</v>
      </c>
      <c r="F249" s="18">
        <v>1</v>
      </c>
      <c r="G249" s="52">
        <v>1</v>
      </c>
      <c r="H249" s="237">
        <v>1</v>
      </c>
      <c r="I249" s="65">
        <v>1950</v>
      </c>
      <c r="J249" s="349">
        <v>3</v>
      </c>
      <c r="K249" s="346">
        <f t="shared" si="56"/>
        <v>4</v>
      </c>
      <c r="L249" s="346">
        <v>1</v>
      </c>
      <c r="M249" s="349">
        <v>2</v>
      </c>
      <c r="N249" s="255">
        <f t="shared" si="54"/>
        <v>0</v>
      </c>
      <c r="O249" s="310">
        <v>18</v>
      </c>
      <c r="P249" s="66">
        <v>0</v>
      </c>
      <c r="Q249" s="66"/>
      <c r="R249" s="66">
        <v>0</v>
      </c>
      <c r="S249" s="66">
        <v>18</v>
      </c>
      <c r="T249" s="66">
        <v>0</v>
      </c>
      <c r="U249" s="66">
        <v>0</v>
      </c>
      <c r="V249" s="66">
        <v>0</v>
      </c>
      <c r="W249" s="54">
        <v>0</v>
      </c>
      <c r="X249" s="55">
        <f>SUMIFS(Таблица3[Кол-во квартир],Таблица3[Адрес МКД],$D249)</f>
        <v>18</v>
      </c>
      <c r="Y249" s="56">
        <f t="shared" si="58"/>
        <v>1995.9</v>
      </c>
      <c r="Z249" s="253">
        <f>SUMIFS(Таблица3[Площадь жилая],Таблица3[Адрес МКД],$D249)</f>
        <v>1115.5</v>
      </c>
      <c r="AA249" s="261">
        <f>SUMIFS(Таблица3[Площадь нежилых помещений],Таблица3[Адрес МКД],$D249)</f>
        <v>282.5</v>
      </c>
      <c r="AB249" s="252">
        <f>SUMIFS(Таблица1[1],Таблица1[2],$D249)</f>
        <v>282.5</v>
      </c>
      <c r="AC249" s="57">
        <f t="shared" si="50"/>
        <v>282.5</v>
      </c>
      <c r="AD249" s="57">
        <f t="shared" si="51"/>
        <v>0</v>
      </c>
      <c r="AE249" s="58">
        <f>SUMIFS(Таблица1[8],Таблица1[2],$D249)+SUMIFS(Таблица1[18],Таблица1[2],$D249)</f>
        <v>0</v>
      </c>
      <c r="AF249" s="58">
        <f>SUMIFS(Таблица1[9],Таблица1[2],$D249)+SUMIFS(Таблица1[19],Таблица1[2],$D249)</f>
        <v>0</v>
      </c>
      <c r="AG249" s="59">
        <f t="shared" si="52"/>
        <v>597.9</v>
      </c>
      <c r="AH249" s="59">
        <f t="shared" si="53"/>
        <v>597.9</v>
      </c>
      <c r="AI249" s="60">
        <f>352.2-AM249</f>
        <v>164.89999999999998</v>
      </c>
      <c r="AJ249" s="60">
        <f t="shared" si="46"/>
        <v>84.1</v>
      </c>
      <c r="AK249" s="60">
        <f>SUMIFS(Таблица1[10],Таблица1[2],$D249)</f>
        <v>80.799999999999983</v>
      </c>
      <c r="AL249" s="60">
        <f>SUMIFS(Таблица1[11],Таблица1[2],$D249)</f>
        <v>0</v>
      </c>
      <c r="AM249" s="251">
        <v>187.3</v>
      </c>
      <c r="AN249" s="249">
        <f t="shared" si="47"/>
        <v>0</v>
      </c>
      <c r="AO249" s="249">
        <f>SUMIFS(Таблица1[12],Таблица1[2],$D249)</f>
        <v>187.3</v>
      </c>
      <c r="AP249" s="249">
        <f>SUMIFS(Таблица1[13],Таблица1[2],$D249)</f>
        <v>0</v>
      </c>
      <c r="AQ249" s="61">
        <v>117.2</v>
      </c>
      <c r="AR249" s="61">
        <f t="shared" si="48"/>
        <v>102.8</v>
      </c>
      <c r="AS249" s="60">
        <f>SUMIFS(Таблица1[14],Таблица1[2],$D249)</f>
        <v>14.4</v>
      </c>
      <c r="AT249" s="60">
        <f>SUMIFS(Таблица1[15],Таблица1[2],$D249)</f>
        <v>0</v>
      </c>
      <c r="AU249" s="61">
        <v>411</v>
      </c>
      <c r="AV249" s="61">
        <f t="shared" si="49"/>
        <v>411</v>
      </c>
      <c r="AW249" s="60">
        <f>SUMIFS(Таблица1[16],Таблица1[2],$D249)</f>
        <v>0</v>
      </c>
      <c r="AX249" s="60">
        <f>SUMIFS(Таблица1[17],Таблица1[2],$D249)</f>
        <v>0</v>
      </c>
      <c r="AY249" s="263"/>
      <c r="AZ249" s="264"/>
      <c r="BA249" s="296">
        <v>0</v>
      </c>
      <c r="BB249" s="296">
        <f t="shared" si="57"/>
        <v>0</v>
      </c>
      <c r="BC249" s="296">
        <v>0</v>
      </c>
      <c r="BD249" s="296">
        <v>0</v>
      </c>
      <c r="BE249" s="285"/>
      <c r="BF249" s="259">
        <v>1220</v>
      </c>
      <c r="BG249" s="260">
        <v>5066</v>
      </c>
      <c r="BH249" s="62" t="s">
        <v>936</v>
      </c>
      <c r="BI249" s="62" t="s">
        <v>935</v>
      </c>
      <c r="BJ249" s="62"/>
      <c r="BK249" s="267"/>
      <c r="BL249" s="267"/>
      <c r="BM249" s="267" t="s">
        <v>1649</v>
      </c>
      <c r="BN249" s="268"/>
      <c r="BO249" s="62">
        <v>33</v>
      </c>
      <c r="BP249" s="63">
        <v>28076</v>
      </c>
      <c r="BQ249" s="64" t="s">
        <v>1131</v>
      </c>
      <c r="BR249" s="372" t="s">
        <v>2747</v>
      </c>
      <c r="BS249" s="62"/>
      <c r="BT249" s="323"/>
      <c r="BU249" s="62"/>
      <c r="BV249" s="323"/>
      <c r="BW249" s="62"/>
      <c r="BX249" s="336"/>
      <c r="BY249" s="336" t="s">
        <v>1649</v>
      </c>
    </row>
    <row r="250" spans="1:77" ht="13.15" hidden="1" customHeight="1" outlineLevel="1" x14ac:dyDescent="0.2">
      <c r="A250" s="50">
        <f t="shared" si="55"/>
        <v>245</v>
      </c>
      <c r="B250" s="51">
        <v>52</v>
      </c>
      <c r="C250" s="51">
        <v>77</v>
      </c>
      <c r="D250" s="18" t="s">
        <v>399</v>
      </c>
      <c r="E250" s="18">
        <v>9</v>
      </c>
      <c r="F250" s="18">
        <v>1</v>
      </c>
      <c r="G250" s="52">
        <v>1</v>
      </c>
      <c r="H250" s="366">
        <v>1</v>
      </c>
      <c r="I250" s="65">
        <v>1950</v>
      </c>
      <c r="J250" s="349">
        <v>3</v>
      </c>
      <c r="K250" s="346">
        <f t="shared" si="56"/>
        <v>4</v>
      </c>
      <c r="L250" s="346">
        <v>1</v>
      </c>
      <c r="M250" s="349">
        <v>3</v>
      </c>
      <c r="N250" s="255">
        <f t="shared" si="54"/>
        <v>0</v>
      </c>
      <c r="O250" s="310">
        <v>30</v>
      </c>
      <c r="P250" s="66">
        <v>0</v>
      </c>
      <c r="Q250" s="66"/>
      <c r="R250" s="66">
        <v>3</v>
      </c>
      <c r="S250" s="66">
        <v>21</v>
      </c>
      <c r="T250" s="66">
        <v>6</v>
      </c>
      <c r="U250" s="66">
        <v>0</v>
      </c>
      <c r="V250" s="66">
        <v>0</v>
      </c>
      <c r="W250" s="54">
        <v>0</v>
      </c>
      <c r="X250" s="55">
        <f>SUMIFS(Таблица3[Кол-во квартир],Таблица3[Адрес МКД],$D250)</f>
        <v>30</v>
      </c>
      <c r="Y250" s="56">
        <f t="shared" si="58"/>
        <v>3126.62</v>
      </c>
      <c r="Z250" s="253">
        <f>SUMIFS(Таблица3[Площадь жилая],Таблица3[Адрес МКД],$D250)</f>
        <v>1782.32</v>
      </c>
      <c r="AA250" s="261">
        <f>SUMIFS(Таблица3[Площадь нежилых помещений],Таблица3[Адрес МКД],$D250)</f>
        <v>89</v>
      </c>
      <c r="AB250" s="252">
        <f>SUMIFS(Таблица1[1],Таблица1[2],$D250)</f>
        <v>89</v>
      </c>
      <c r="AC250" s="57">
        <f t="shared" si="50"/>
        <v>89</v>
      </c>
      <c r="AD250" s="57">
        <f t="shared" si="51"/>
        <v>0</v>
      </c>
      <c r="AE250" s="58">
        <f>SUMIFS(Таблица1[8],Таблица1[2],$D250)+SUMIFS(Таблица1[18],Таблица1[2],$D250)</f>
        <v>0</v>
      </c>
      <c r="AF250" s="58">
        <f>SUMIFS(Таблица1[9],Таблица1[2],$D250)+SUMIFS(Таблица1[19],Таблица1[2],$D250)</f>
        <v>0</v>
      </c>
      <c r="AG250" s="59">
        <f t="shared" si="52"/>
        <v>1255.3</v>
      </c>
      <c r="AH250" s="59">
        <f t="shared" si="53"/>
        <v>1255.3</v>
      </c>
      <c r="AI250" s="60">
        <f>435.3-AM250</f>
        <v>435.3</v>
      </c>
      <c r="AJ250" s="60">
        <f t="shared" si="46"/>
        <v>346.3</v>
      </c>
      <c r="AK250" s="60">
        <f>SUMIFS(Таблица1[10],Таблица1[2],$D250)</f>
        <v>89</v>
      </c>
      <c r="AL250" s="60">
        <f>SUMIFS(Таблица1[11],Таблица1[2],$D250)</f>
        <v>0</v>
      </c>
      <c r="AM250" s="251">
        <v>0</v>
      </c>
      <c r="AN250" s="249">
        <f t="shared" si="47"/>
        <v>0</v>
      </c>
      <c r="AO250" s="249">
        <f>SUMIFS(Таблица1[12],Таблица1[2],$D250)</f>
        <v>0</v>
      </c>
      <c r="AP250" s="249">
        <f>SUMIFS(Таблица1[13],Таблица1[2],$D250)</f>
        <v>0</v>
      </c>
      <c r="AQ250" s="61">
        <v>176.7</v>
      </c>
      <c r="AR250" s="61">
        <f t="shared" si="48"/>
        <v>176.7</v>
      </c>
      <c r="AS250" s="60">
        <f>SUMIFS(Таблица1[14],Таблица1[2],$D250)</f>
        <v>0</v>
      </c>
      <c r="AT250" s="60">
        <f>SUMIFS(Таблица1[15],Таблица1[2],$D250)</f>
        <v>0</v>
      </c>
      <c r="AU250" s="61">
        <v>732.3</v>
      </c>
      <c r="AV250" s="61">
        <f t="shared" si="49"/>
        <v>732.3</v>
      </c>
      <c r="AW250" s="60">
        <f>SUMIFS(Таблица1[16],Таблица1[2],$D250)</f>
        <v>0</v>
      </c>
      <c r="AX250" s="60">
        <f>SUMIFS(Таблица1[17],Таблица1[2],$D250)</f>
        <v>0</v>
      </c>
      <c r="AY250" s="263"/>
      <c r="AZ250" s="264"/>
      <c r="BA250" s="296">
        <v>0</v>
      </c>
      <c r="BB250" s="296">
        <f t="shared" si="57"/>
        <v>0</v>
      </c>
      <c r="BC250" s="296">
        <v>0</v>
      </c>
      <c r="BD250" s="296">
        <v>0</v>
      </c>
      <c r="BE250" s="285"/>
      <c r="BF250" s="259">
        <v>2088</v>
      </c>
      <c r="BG250" s="260">
        <f>2712+2703+2689</f>
        <v>8104</v>
      </c>
      <c r="BH250" s="62" t="s">
        <v>936</v>
      </c>
      <c r="BI250" s="62" t="s">
        <v>935</v>
      </c>
      <c r="BJ250" s="62"/>
      <c r="BK250" s="267"/>
      <c r="BL250" s="267"/>
      <c r="BM250" s="267" t="s">
        <v>1649</v>
      </c>
      <c r="BN250" s="268"/>
      <c r="BO250" s="62">
        <v>33</v>
      </c>
      <c r="BP250" s="63">
        <v>28076</v>
      </c>
      <c r="BQ250" s="64" t="s">
        <v>1131</v>
      </c>
      <c r="BR250" s="372" t="s">
        <v>2747</v>
      </c>
      <c r="BS250" s="62"/>
      <c r="BT250" s="323"/>
      <c r="BU250" s="62"/>
      <c r="BV250" s="323"/>
      <c r="BW250" s="62"/>
      <c r="BX250" s="336"/>
      <c r="BY250" s="336" t="s">
        <v>1649</v>
      </c>
    </row>
    <row r="251" spans="1:77" ht="13.15" hidden="1" customHeight="1" outlineLevel="1" x14ac:dyDescent="0.2">
      <c r="A251" s="50">
        <f t="shared" si="55"/>
        <v>246</v>
      </c>
      <c r="B251" s="51">
        <v>53</v>
      </c>
      <c r="C251" s="51">
        <v>78</v>
      </c>
      <c r="D251" s="18" t="s">
        <v>400</v>
      </c>
      <c r="E251" s="18">
        <v>9</v>
      </c>
      <c r="F251" s="18">
        <v>1</v>
      </c>
      <c r="G251" s="52">
        <v>1</v>
      </c>
      <c r="H251" s="237">
        <v>1</v>
      </c>
      <c r="I251" s="65">
        <v>1950</v>
      </c>
      <c r="J251" s="349">
        <v>3</v>
      </c>
      <c r="K251" s="346">
        <f t="shared" si="56"/>
        <v>4</v>
      </c>
      <c r="L251" s="346">
        <v>1</v>
      </c>
      <c r="M251" s="349">
        <v>3</v>
      </c>
      <c r="N251" s="255">
        <f t="shared" si="54"/>
        <v>0</v>
      </c>
      <c r="O251" s="310">
        <v>30</v>
      </c>
      <c r="P251" s="66">
        <v>0</v>
      </c>
      <c r="Q251" s="66"/>
      <c r="R251" s="66">
        <v>3</v>
      </c>
      <c r="S251" s="66">
        <v>21</v>
      </c>
      <c r="T251" s="66">
        <v>6</v>
      </c>
      <c r="U251" s="66">
        <v>0</v>
      </c>
      <c r="V251" s="66">
        <v>0</v>
      </c>
      <c r="W251" s="54">
        <v>0</v>
      </c>
      <c r="X251" s="55">
        <f>SUMIFS(Таблица3[Кол-во квартир],Таблица3[Адрес МКД],$D251)</f>
        <v>30</v>
      </c>
      <c r="Y251" s="56">
        <f t="shared" si="58"/>
        <v>3187.5</v>
      </c>
      <c r="Z251" s="253">
        <f>SUMIFS(Таблица3[Площадь жилая],Таблица3[Адрес МКД],$D251)</f>
        <v>1793.2</v>
      </c>
      <c r="AA251" s="261">
        <f>SUMIFS(Таблица3[Площадь нежилых помещений],Таблица3[Адрес МКД],$D251)</f>
        <v>162.69999999999999</v>
      </c>
      <c r="AB251" s="252">
        <f>SUMIFS(Таблица1[1],Таблица1[2],$D251)</f>
        <v>162.69999999999999</v>
      </c>
      <c r="AC251" s="57">
        <f t="shared" si="50"/>
        <v>162.69999999999999</v>
      </c>
      <c r="AD251" s="57">
        <f t="shared" si="51"/>
        <v>0</v>
      </c>
      <c r="AE251" s="58">
        <f>SUMIFS(Таблица1[8],Таблица1[2],$D251)+SUMIFS(Таблица1[18],Таблица1[2],$D251)</f>
        <v>0</v>
      </c>
      <c r="AF251" s="58">
        <f>SUMIFS(Таблица1[9],Таблица1[2],$D251)+SUMIFS(Таблица1[19],Таблица1[2],$D251)</f>
        <v>0</v>
      </c>
      <c r="AG251" s="59">
        <f t="shared" si="52"/>
        <v>1231.5999999999999</v>
      </c>
      <c r="AH251" s="59">
        <f t="shared" si="53"/>
        <v>1231.5999999999999</v>
      </c>
      <c r="AI251" s="60">
        <f>485.8-AM251</f>
        <v>485.8</v>
      </c>
      <c r="AJ251" s="60">
        <f t="shared" si="46"/>
        <v>323.10000000000002</v>
      </c>
      <c r="AK251" s="60">
        <f>SUMIFS(Таблица1[10],Таблица1[2],$D251)</f>
        <v>162.69999999999999</v>
      </c>
      <c r="AL251" s="60">
        <f>SUMIFS(Таблица1[11],Таблица1[2],$D251)</f>
        <v>0</v>
      </c>
      <c r="AM251" s="251">
        <v>0</v>
      </c>
      <c r="AN251" s="249">
        <f t="shared" si="47"/>
        <v>0</v>
      </c>
      <c r="AO251" s="249">
        <f>SUMIFS(Таблица1[12],Таблица1[2],$D251)</f>
        <v>0</v>
      </c>
      <c r="AP251" s="249">
        <f>SUMIFS(Таблица1[13],Таблица1[2],$D251)</f>
        <v>0</v>
      </c>
      <c r="AQ251" s="61">
        <v>175.7</v>
      </c>
      <c r="AR251" s="61">
        <f t="shared" si="48"/>
        <v>175.7</v>
      </c>
      <c r="AS251" s="60">
        <f>SUMIFS(Таблица1[14],Таблица1[2],$D251)</f>
        <v>0</v>
      </c>
      <c r="AT251" s="60">
        <f>SUMIFS(Таблица1[15],Таблица1[2],$D251)</f>
        <v>0</v>
      </c>
      <c r="AU251" s="61">
        <v>732.8</v>
      </c>
      <c r="AV251" s="61">
        <f t="shared" si="49"/>
        <v>732.8</v>
      </c>
      <c r="AW251" s="60">
        <f>SUMIFS(Таблица1[16],Таблица1[2],$D251)</f>
        <v>0</v>
      </c>
      <c r="AX251" s="60">
        <f>SUMIFS(Таблица1[17],Таблица1[2],$D251)</f>
        <v>0</v>
      </c>
      <c r="AY251" s="263"/>
      <c r="AZ251" s="264"/>
      <c r="BA251" s="296">
        <v>0</v>
      </c>
      <c r="BB251" s="296">
        <f t="shared" si="57"/>
        <v>0</v>
      </c>
      <c r="BC251" s="296">
        <v>0</v>
      </c>
      <c r="BD251" s="296">
        <v>0</v>
      </c>
      <c r="BE251" s="285"/>
      <c r="BF251" s="259">
        <v>2233</v>
      </c>
      <c r="BG251" s="260">
        <f>2706+2705</f>
        <v>5411</v>
      </c>
      <c r="BH251" s="62" t="s">
        <v>936</v>
      </c>
      <c r="BI251" s="62" t="s">
        <v>935</v>
      </c>
      <c r="BJ251" s="62"/>
      <c r="BK251" s="267"/>
      <c r="BL251" s="267"/>
      <c r="BM251" s="267" t="s">
        <v>1649</v>
      </c>
      <c r="BN251" s="268"/>
      <c r="BO251" s="62">
        <v>33</v>
      </c>
      <c r="BP251" s="63">
        <v>28076</v>
      </c>
      <c r="BQ251" s="64" t="s">
        <v>1131</v>
      </c>
      <c r="BR251" s="372" t="s">
        <v>2747</v>
      </c>
      <c r="BS251" s="62"/>
      <c r="BT251" s="323"/>
      <c r="BU251" s="62"/>
      <c r="BV251" s="323"/>
      <c r="BW251" s="62"/>
      <c r="BX251" s="336"/>
      <c r="BY251" s="336" t="s">
        <v>1649</v>
      </c>
    </row>
    <row r="252" spans="1:77" ht="13.15" hidden="1" customHeight="1" outlineLevel="1" x14ac:dyDescent="0.2">
      <c r="A252" s="50">
        <f t="shared" si="55"/>
        <v>247</v>
      </c>
      <c r="B252" s="51">
        <v>54</v>
      </c>
      <c r="C252" s="51">
        <v>79</v>
      </c>
      <c r="D252" s="18" t="s">
        <v>401</v>
      </c>
      <c r="E252" s="18">
        <v>9</v>
      </c>
      <c r="F252" s="18">
        <v>1</v>
      </c>
      <c r="G252" s="52">
        <v>1</v>
      </c>
      <c r="H252" s="237">
        <v>1</v>
      </c>
      <c r="I252" s="65">
        <v>1950</v>
      </c>
      <c r="J252" s="349">
        <v>3</v>
      </c>
      <c r="K252" s="346">
        <f t="shared" si="56"/>
        <v>4</v>
      </c>
      <c r="L252" s="346">
        <v>1</v>
      </c>
      <c r="M252" s="349">
        <v>2</v>
      </c>
      <c r="N252" s="255">
        <f t="shared" si="54"/>
        <v>0</v>
      </c>
      <c r="O252" s="310">
        <v>18</v>
      </c>
      <c r="P252" s="66">
        <v>0</v>
      </c>
      <c r="Q252" s="66"/>
      <c r="R252" s="66">
        <v>0</v>
      </c>
      <c r="S252" s="66">
        <v>18</v>
      </c>
      <c r="T252" s="66">
        <v>0</v>
      </c>
      <c r="U252" s="66">
        <v>0</v>
      </c>
      <c r="V252" s="66">
        <v>0</v>
      </c>
      <c r="W252" s="54">
        <v>0</v>
      </c>
      <c r="X252" s="55">
        <f>SUMIFS(Таблица3[Кол-во квартир],Таблица3[Адрес МКД],$D252)</f>
        <v>18</v>
      </c>
      <c r="Y252" s="56">
        <f t="shared" si="58"/>
        <v>2039.7</v>
      </c>
      <c r="Z252" s="253">
        <f>SUMIFS(Таблица3[Площадь жилая],Таблица3[Адрес МКД],$D252)</f>
        <v>1112.4000000000001</v>
      </c>
      <c r="AA252" s="261">
        <f>SUMIFS(Таблица3[Площадь нежилых помещений],Таблица3[Адрес МКД],$D252)</f>
        <v>186.6</v>
      </c>
      <c r="AB252" s="252">
        <f>SUMIFS(Таблица1[1],Таблица1[2],$D252)</f>
        <v>184.8</v>
      </c>
      <c r="AC252" s="57">
        <f t="shared" si="50"/>
        <v>184.8</v>
      </c>
      <c r="AD252" s="57">
        <f t="shared" si="51"/>
        <v>0</v>
      </c>
      <c r="AE252" s="58">
        <f>SUMIFS(Таблица1[8],Таблица1[2],$D252)+SUMIFS(Таблица1[18],Таблица1[2],$D252)</f>
        <v>0</v>
      </c>
      <c r="AF252" s="58">
        <f>SUMIFS(Таблица1[9],Таблица1[2],$D252)+SUMIFS(Таблица1[19],Таблица1[2],$D252)</f>
        <v>0</v>
      </c>
      <c r="AG252" s="59">
        <f t="shared" si="52"/>
        <v>740.7</v>
      </c>
      <c r="AH252" s="59">
        <f t="shared" si="53"/>
        <v>740.7</v>
      </c>
      <c r="AI252" s="60">
        <f>352.6-AM252</f>
        <v>166.00000000000003</v>
      </c>
      <c r="AJ252" s="60">
        <f t="shared" si="46"/>
        <v>166.00000000000003</v>
      </c>
      <c r="AK252" s="60">
        <f>SUMIFS(Таблица1[10],Таблица1[2],$D252)</f>
        <v>0</v>
      </c>
      <c r="AL252" s="60">
        <f>SUMIFS(Таблица1[11],Таблица1[2],$D252)</f>
        <v>0</v>
      </c>
      <c r="AM252" s="251">
        <v>186.6</v>
      </c>
      <c r="AN252" s="249">
        <f t="shared" si="47"/>
        <v>1.7999999999999829</v>
      </c>
      <c r="AO252" s="249">
        <f>SUMIFS(Таблица1[12],Таблица1[2],$D252)</f>
        <v>184.8</v>
      </c>
      <c r="AP252" s="249">
        <f>SUMIFS(Таблица1[13],Таблица1[2],$D252)</f>
        <v>0</v>
      </c>
      <c r="AQ252" s="61">
        <v>127.1</v>
      </c>
      <c r="AR252" s="61">
        <f t="shared" si="48"/>
        <v>127.1</v>
      </c>
      <c r="AS252" s="60">
        <f>SUMIFS(Таблица1[14],Таблица1[2],$D252)</f>
        <v>0</v>
      </c>
      <c r="AT252" s="60">
        <f>SUMIFS(Таблица1[15],Таблица1[2],$D252)</f>
        <v>0</v>
      </c>
      <c r="AU252" s="61">
        <v>447.6</v>
      </c>
      <c r="AV252" s="61">
        <f t="shared" si="49"/>
        <v>447.6</v>
      </c>
      <c r="AW252" s="60">
        <f>SUMIFS(Таблица1[16],Таблица1[2],$D252)</f>
        <v>0</v>
      </c>
      <c r="AX252" s="60">
        <f>SUMIFS(Таблица1[17],Таблица1[2],$D252)</f>
        <v>0</v>
      </c>
      <c r="AY252" s="263"/>
      <c r="AZ252" s="264"/>
      <c r="BA252" s="296">
        <v>0</v>
      </c>
      <c r="BB252" s="296">
        <f t="shared" si="57"/>
        <v>0</v>
      </c>
      <c r="BC252" s="296">
        <v>0</v>
      </c>
      <c r="BD252" s="296">
        <v>0</v>
      </c>
      <c r="BE252" s="285"/>
      <c r="BF252" s="259">
        <v>1234</v>
      </c>
      <c r="BG252" s="260">
        <v>5031</v>
      </c>
      <c r="BH252" s="62" t="s">
        <v>936</v>
      </c>
      <c r="BI252" s="62" t="s">
        <v>935</v>
      </c>
      <c r="BJ252" s="62"/>
      <c r="BK252" s="267"/>
      <c r="BL252" s="267"/>
      <c r="BM252" s="267" t="s">
        <v>1649</v>
      </c>
      <c r="BN252" s="268"/>
      <c r="BO252" s="62">
        <v>33</v>
      </c>
      <c r="BP252" s="63">
        <v>28076</v>
      </c>
      <c r="BQ252" s="64" t="s">
        <v>1131</v>
      </c>
      <c r="BR252" s="372" t="s">
        <v>2747</v>
      </c>
      <c r="BS252" s="62"/>
      <c r="BT252" s="323"/>
      <c r="BU252" s="62"/>
      <c r="BV252" s="323"/>
      <c r="BW252" s="62"/>
      <c r="BX252" s="336"/>
      <c r="BY252" s="336" t="s">
        <v>1649</v>
      </c>
    </row>
    <row r="253" spans="1:77" ht="13.15" hidden="1" customHeight="1" outlineLevel="1" x14ac:dyDescent="0.2">
      <c r="A253" s="50">
        <f t="shared" si="55"/>
        <v>248</v>
      </c>
      <c r="B253" s="51">
        <v>43</v>
      </c>
      <c r="C253" s="51">
        <v>54</v>
      </c>
      <c r="D253" s="18" t="s">
        <v>537</v>
      </c>
      <c r="E253" s="18">
        <v>11</v>
      </c>
      <c r="F253" s="18">
        <v>2</v>
      </c>
      <c r="G253" s="52">
        <v>1</v>
      </c>
      <c r="H253" s="237">
        <v>1</v>
      </c>
      <c r="I253" s="65">
        <v>1953</v>
      </c>
      <c r="J253" s="349">
        <v>5</v>
      </c>
      <c r="K253" s="346">
        <f t="shared" si="56"/>
        <v>6</v>
      </c>
      <c r="L253" s="346">
        <v>1</v>
      </c>
      <c r="M253" s="349">
        <v>6</v>
      </c>
      <c r="N253" s="255">
        <f t="shared" si="54"/>
        <v>0</v>
      </c>
      <c r="O253" s="310">
        <v>81</v>
      </c>
      <c r="P253" s="66">
        <v>1</v>
      </c>
      <c r="Q253" s="66"/>
      <c r="R253" s="66">
        <v>0</v>
      </c>
      <c r="S253" s="66">
        <v>57</v>
      </c>
      <c r="T253" s="66">
        <v>24</v>
      </c>
      <c r="U253" s="66">
        <v>0</v>
      </c>
      <c r="V253" s="66">
        <v>0</v>
      </c>
      <c r="W253" s="54">
        <v>0</v>
      </c>
      <c r="X253" s="55">
        <f>SUMIFS(Таблица3[Кол-во квартир],Таблица3[Адрес МКД],$D253)</f>
        <v>80</v>
      </c>
      <c r="Y253" s="56">
        <f t="shared" ref="Y253:Y284" si="59">Z253+AB253+AG253+AN253</f>
        <v>8712.630000000001</v>
      </c>
      <c r="Z253" s="253">
        <f>SUMIFS(Таблица3[Площадь жилая],Таблица3[Адрес МКД],$D253)</f>
        <v>4907.4100000000008</v>
      </c>
      <c r="AA253" s="261">
        <f>SUMIFS(Таблица3[Площадь нежилых помещений],Таблица3[Адрес МКД],$D253)</f>
        <v>1462.4</v>
      </c>
      <c r="AB253" s="252">
        <f>SUMIFS(Таблица1[1],Таблица1[2],$D253)</f>
        <v>1458.8999999999996</v>
      </c>
      <c r="AC253" s="57">
        <f t="shared" si="50"/>
        <v>1458.9</v>
      </c>
      <c r="AD253" s="57">
        <f t="shared" si="51"/>
        <v>0</v>
      </c>
      <c r="AE253" s="58">
        <f>SUMIFS(Таблица1[8],Таблица1[2],$D253)+SUMIFS(Таблица1[18],Таблица1[2],$D253)</f>
        <v>821.90000000000009</v>
      </c>
      <c r="AF253" s="58">
        <f>SUMIFS(Таблица1[9],Таблица1[2],$D253)+SUMIFS(Таблица1[19],Таблица1[2],$D253)</f>
        <v>0</v>
      </c>
      <c r="AG253" s="59">
        <f t="shared" si="52"/>
        <v>2342.8199999999997</v>
      </c>
      <c r="AH253" s="59">
        <f t="shared" si="53"/>
        <v>2342.8199999999997</v>
      </c>
      <c r="AI253" s="60">
        <f>926.5-AM253</f>
        <v>712.3</v>
      </c>
      <c r="AJ253" s="60">
        <f t="shared" si="46"/>
        <v>285.99999999999994</v>
      </c>
      <c r="AK253" s="60">
        <f>SUMIFS(Таблица1[10],Таблица1[2],$D253)</f>
        <v>426.3</v>
      </c>
      <c r="AL253" s="60">
        <f>SUMIFS(Таблица1[11],Таблица1[2],$D253)</f>
        <v>0</v>
      </c>
      <c r="AM253" s="251">
        <f>142.6+71.6</f>
        <v>214.2</v>
      </c>
      <c r="AN253" s="249">
        <f t="shared" si="47"/>
        <v>3.5</v>
      </c>
      <c r="AO253" s="249">
        <f>SUMIFS(Таблица1[12],Таблица1[2],$D253)</f>
        <v>210.7</v>
      </c>
      <c r="AP253" s="249">
        <f>SUMIFS(Таблица1[13],Таблица1[2],$D253)</f>
        <v>0</v>
      </c>
      <c r="AQ253" s="61">
        <v>791.9</v>
      </c>
      <c r="AR253" s="61">
        <f t="shared" si="48"/>
        <v>791.9</v>
      </c>
      <c r="AS253" s="60">
        <f>SUMIFS(Таблица1[14],Таблица1[2],$D253)</f>
        <v>0</v>
      </c>
      <c r="AT253" s="60">
        <f>SUMIFS(Таблица1[15],Таблица1[2],$D253)</f>
        <v>0</v>
      </c>
      <c r="AU253" s="61">
        <v>1264.92</v>
      </c>
      <c r="AV253" s="61">
        <f t="shared" si="49"/>
        <v>1264.92</v>
      </c>
      <c r="AW253" s="60">
        <f>SUMIFS(Таблица1[16],Таблица1[2],$D253)</f>
        <v>0</v>
      </c>
      <c r="AX253" s="60">
        <f>SUMIFS(Таблица1[17],Таблица1[2],$D253)</f>
        <v>0</v>
      </c>
      <c r="AY253" s="263"/>
      <c r="AZ253" s="264"/>
      <c r="BA253" s="296">
        <v>0</v>
      </c>
      <c r="BB253" s="296">
        <f t="shared" si="57"/>
        <v>0</v>
      </c>
      <c r="BC253" s="296">
        <v>0</v>
      </c>
      <c r="BD253" s="296">
        <v>0</v>
      </c>
      <c r="BE253" s="285"/>
      <c r="BF253" s="259">
        <v>4369</v>
      </c>
      <c r="BG253" s="260">
        <f>1475+5335+20726+170</f>
        <v>27706</v>
      </c>
      <c r="BH253" s="62" t="s">
        <v>936</v>
      </c>
      <c r="BI253" s="62" t="s">
        <v>935</v>
      </c>
      <c r="BJ253" s="62"/>
      <c r="BK253" s="267"/>
      <c r="BL253" s="267"/>
      <c r="BM253" s="267" t="s">
        <v>1649</v>
      </c>
      <c r="BN253" s="268"/>
      <c r="BO253" s="62">
        <v>17</v>
      </c>
      <c r="BP253" s="63">
        <v>28781</v>
      </c>
      <c r="BQ253" s="64" t="s">
        <v>1131</v>
      </c>
      <c r="BR253" s="372" t="s">
        <v>2747</v>
      </c>
      <c r="BS253" s="62"/>
      <c r="BT253" s="323"/>
      <c r="BU253" s="62"/>
      <c r="BV253" s="323"/>
      <c r="BW253" s="62"/>
      <c r="BX253" s="336"/>
      <c r="BY253" s="336"/>
    </row>
    <row r="254" spans="1:77" ht="13.15" hidden="1" customHeight="1" outlineLevel="1" x14ac:dyDescent="0.2">
      <c r="A254" s="50">
        <f t="shared" si="55"/>
        <v>249</v>
      </c>
      <c r="B254" s="51">
        <v>44</v>
      </c>
      <c r="C254" s="51">
        <v>55</v>
      </c>
      <c r="D254" s="18" t="s">
        <v>538</v>
      </c>
      <c r="E254" s="18">
        <v>11</v>
      </c>
      <c r="F254" s="18">
        <v>2</v>
      </c>
      <c r="G254" s="52">
        <v>1</v>
      </c>
      <c r="H254" s="237">
        <v>1</v>
      </c>
      <c r="I254" s="65">
        <v>1952</v>
      </c>
      <c r="J254" s="349">
        <v>3</v>
      </c>
      <c r="K254" s="346">
        <f t="shared" si="56"/>
        <v>4</v>
      </c>
      <c r="L254" s="346">
        <v>1</v>
      </c>
      <c r="M254" s="349">
        <v>4</v>
      </c>
      <c r="N254" s="255">
        <f t="shared" si="54"/>
        <v>2</v>
      </c>
      <c r="O254" s="310">
        <v>39</v>
      </c>
      <c r="P254" s="66">
        <v>0</v>
      </c>
      <c r="Q254" s="66"/>
      <c r="R254" s="66">
        <v>30</v>
      </c>
      <c r="S254" s="66">
        <v>9</v>
      </c>
      <c r="T254" s="66">
        <v>0</v>
      </c>
      <c r="U254" s="66">
        <v>0</v>
      </c>
      <c r="V254" s="66">
        <v>0</v>
      </c>
      <c r="W254" s="54">
        <v>0</v>
      </c>
      <c r="X254" s="55">
        <f>SUMIFS(Таблица3[Кол-во квартир],Таблица3[Адрес МКД],$D254)</f>
        <v>37</v>
      </c>
      <c r="Y254" s="56">
        <f t="shared" si="59"/>
        <v>4293.7999999999993</v>
      </c>
      <c r="Z254" s="253">
        <f>SUMIFS(Таблица3[Площадь жилая],Таблица3[Адрес МКД],$D254)</f>
        <v>2224.1999999999998</v>
      </c>
      <c r="AA254" s="261">
        <f>SUMIFS(Таблица3[Площадь нежилых помещений],Таблица3[Адрес МКД],$D254)</f>
        <v>146.80000000000001</v>
      </c>
      <c r="AB254" s="252">
        <f>SUMIFS(Таблица1[1],Таблица1[2],$D254)</f>
        <v>242.20000000000002</v>
      </c>
      <c r="AC254" s="57">
        <f t="shared" si="50"/>
        <v>242.20000000000002</v>
      </c>
      <c r="AD254" s="57">
        <f t="shared" si="51"/>
        <v>0</v>
      </c>
      <c r="AE254" s="58">
        <f>SUMIFS(Таблица1[8],Таблица1[2],$D254)+SUMIFS(Таблица1[18],Таблица1[2],$D254)</f>
        <v>0</v>
      </c>
      <c r="AF254" s="58">
        <f>SUMIFS(Таблица1[9],Таблица1[2],$D254)+SUMIFS(Таблица1[19],Таблица1[2],$D254)</f>
        <v>0</v>
      </c>
      <c r="AG254" s="59">
        <f t="shared" si="52"/>
        <v>1827.4</v>
      </c>
      <c r="AH254" s="59">
        <f t="shared" si="53"/>
        <v>1827.4</v>
      </c>
      <c r="AI254" s="60">
        <f>698.7-AM254</f>
        <v>551.90000000000009</v>
      </c>
      <c r="AJ254" s="60">
        <f t="shared" si="46"/>
        <v>456.50000000000011</v>
      </c>
      <c r="AK254" s="60">
        <f>SUMIFS(Таблица1[10],Таблица1[2],$D254)</f>
        <v>95.4</v>
      </c>
      <c r="AL254" s="60">
        <f>SUMIFS(Таблица1[11],Таблица1[2],$D254)</f>
        <v>0</v>
      </c>
      <c r="AM254" s="251">
        <v>146.80000000000001</v>
      </c>
      <c r="AN254" s="249">
        <f t="shared" si="47"/>
        <v>0</v>
      </c>
      <c r="AO254" s="249">
        <f>SUMIFS(Таблица1[12],Таблица1[2],$D254)</f>
        <v>146.80000000000001</v>
      </c>
      <c r="AP254" s="249">
        <f>SUMIFS(Таблица1[13],Таблица1[2],$D254)</f>
        <v>0</v>
      </c>
      <c r="AQ254" s="61">
        <v>331.4</v>
      </c>
      <c r="AR254" s="61">
        <f t="shared" si="48"/>
        <v>331.4</v>
      </c>
      <c r="AS254" s="60">
        <f>SUMIFS(Таблица1[14],Таблица1[2],$D254)</f>
        <v>0</v>
      </c>
      <c r="AT254" s="60">
        <f>SUMIFS(Таблица1[15],Таблица1[2],$D254)</f>
        <v>0</v>
      </c>
      <c r="AU254" s="61">
        <v>1039.5</v>
      </c>
      <c r="AV254" s="61">
        <f t="shared" si="49"/>
        <v>1039.5</v>
      </c>
      <c r="AW254" s="60">
        <f>SUMIFS(Таблица1[16],Таблица1[2],$D254)</f>
        <v>0</v>
      </c>
      <c r="AX254" s="60">
        <f>SUMIFS(Таблица1[17],Таблица1[2],$D254)</f>
        <v>0</v>
      </c>
      <c r="AY254" s="263">
        <f>Нежилые!G1466</f>
        <v>95.4</v>
      </c>
      <c r="AZ254" s="264"/>
      <c r="BA254" s="296">
        <v>0</v>
      </c>
      <c r="BB254" s="296">
        <f t="shared" si="57"/>
        <v>0</v>
      </c>
      <c r="BC254" s="296">
        <v>0</v>
      </c>
      <c r="BD254" s="296">
        <v>0</v>
      </c>
      <c r="BE254" s="285"/>
      <c r="BF254" s="259">
        <v>3380</v>
      </c>
      <c r="BG254" s="260">
        <f>7363+3723</f>
        <v>11086</v>
      </c>
      <c r="BH254" s="62" t="s">
        <v>936</v>
      </c>
      <c r="BI254" s="62" t="s">
        <v>935</v>
      </c>
      <c r="BJ254" s="62"/>
      <c r="BK254" s="267"/>
      <c r="BL254" s="267"/>
      <c r="BM254" s="267" t="s">
        <v>1649</v>
      </c>
      <c r="BN254" s="268"/>
      <c r="BO254" s="62">
        <v>29</v>
      </c>
      <c r="BP254" s="63">
        <v>28562</v>
      </c>
      <c r="BQ254" s="64" t="s">
        <v>1131</v>
      </c>
      <c r="BR254" s="372" t="s">
        <v>2747</v>
      </c>
      <c r="BS254" s="62"/>
      <c r="BT254" s="323"/>
      <c r="BU254" s="62"/>
      <c r="BV254" s="323"/>
      <c r="BW254" s="62"/>
      <c r="BX254" s="336"/>
      <c r="BY254" s="336"/>
    </row>
    <row r="255" spans="1:77" ht="13.15" hidden="1" customHeight="1" outlineLevel="1" x14ac:dyDescent="0.2">
      <c r="A255" s="50">
        <f t="shared" si="55"/>
        <v>250</v>
      </c>
      <c r="B255" s="51">
        <v>54</v>
      </c>
      <c r="C255" s="51">
        <v>80</v>
      </c>
      <c r="D255" s="18" t="s">
        <v>479</v>
      </c>
      <c r="E255" s="18">
        <v>10</v>
      </c>
      <c r="F255" s="18">
        <v>1</v>
      </c>
      <c r="G255" s="52">
        <v>1</v>
      </c>
      <c r="H255" s="237">
        <v>1</v>
      </c>
      <c r="I255" s="65">
        <v>1951</v>
      </c>
      <c r="J255" s="349">
        <v>4</v>
      </c>
      <c r="K255" s="346">
        <f t="shared" si="56"/>
        <v>5</v>
      </c>
      <c r="L255" s="346">
        <v>1</v>
      </c>
      <c r="M255" s="349">
        <v>3</v>
      </c>
      <c r="N255" s="255">
        <f t="shared" si="54"/>
        <v>0</v>
      </c>
      <c r="O255" s="310">
        <v>32</v>
      </c>
      <c r="P255" s="66">
        <v>1</v>
      </c>
      <c r="Q255" s="66"/>
      <c r="R255" s="66">
        <v>0</v>
      </c>
      <c r="S255" s="66">
        <v>32</v>
      </c>
      <c r="T255" s="66">
        <v>0</v>
      </c>
      <c r="U255" s="66">
        <v>0</v>
      </c>
      <c r="V255" s="66">
        <v>0</v>
      </c>
      <c r="W255" s="54">
        <v>0</v>
      </c>
      <c r="X255" s="55">
        <f>SUMIFS(Таблица3[Кол-во квартир],Таблица3[Адрес МКД],$D255)</f>
        <v>31</v>
      </c>
      <c r="Y255" s="56">
        <f t="shared" si="59"/>
        <v>3426.8</v>
      </c>
      <c r="Z255" s="253">
        <f>SUMIFS(Таблица3[Площадь жилая],Таблица3[Адрес МКД],$D255)</f>
        <v>1775.6</v>
      </c>
      <c r="AA255" s="261">
        <f>SUMIFS(Таблица3[Площадь нежилых помещений],Таблица3[Адрес МКД],$D255)</f>
        <v>393.5</v>
      </c>
      <c r="AB255" s="252">
        <f>SUMIFS(Таблица1[1],Таблица1[2],$D255)</f>
        <v>393.5</v>
      </c>
      <c r="AC255" s="57">
        <f t="shared" si="50"/>
        <v>393.5</v>
      </c>
      <c r="AD255" s="57">
        <f t="shared" si="51"/>
        <v>0</v>
      </c>
      <c r="AE255" s="58">
        <f>SUMIFS(Таблица1[8],Таблица1[2],$D255)+SUMIFS(Таблица1[18],Таблица1[2],$D255)</f>
        <v>174.8</v>
      </c>
      <c r="AF255" s="58">
        <f>SUMIFS(Таблица1[9],Таблица1[2],$D255)+SUMIFS(Таблица1[19],Таблица1[2],$D255)</f>
        <v>0</v>
      </c>
      <c r="AG255" s="59">
        <f t="shared" si="52"/>
        <v>1257.7</v>
      </c>
      <c r="AH255" s="59">
        <f t="shared" si="53"/>
        <v>1257.7</v>
      </c>
      <c r="AI255" s="60">
        <f>297.5-AM255</f>
        <v>297.5</v>
      </c>
      <c r="AJ255" s="60">
        <f t="shared" si="46"/>
        <v>78.800000000000011</v>
      </c>
      <c r="AK255" s="60">
        <f>SUMIFS(Таблица1[10],Таблица1[2],$D255)</f>
        <v>218.7</v>
      </c>
      <c r="AL255" s="60">
        <f>SUMIFS(Таблица1[11],Таблица1[2],$D255)</f>
        <v>0</v>
      </c>
      <c r="AM255" s="251">
        <v>0</v>
      </c>
      <c r="AN255" s="249">
        <f t="shared" si="47"/>
        <v>0</v>
      </c>
      <c r="AO255" s="249">
        <f>SUMIFS(Таблица1[12],Таблица1[2],$D255)</f>
        <v>0</v>
      </c>
      <c r="AP255" s="249">
        <f>SUMIFS(Таблица1[13],Таблица1[2],$D255)</f>
        <v>0</v>
      </c>
      <c r="AQ255" s="61">
        <v>330.4</v>
      </c>
      <c r="AR255" s="61">
        <f t="shared" si="48"/>
        <v>330.4</v>
      </c>
      <c r="AS255" s="60">
        <f>SUMIFS(Таблица1[14],Таблица1[2],$D255)</f>
        <v>0</v>
      </c>
      <c r="AT255" s="60">
        <f>SUMIFS(Таблица1[15],Таблица1[2],$D255)</f>
        <v>0</v>
      </c>
      <c r="AU255" s="61">
        <v>848.5</v>
      </c>
      <c r="AV255" s="61">
        <f t="shared" si="49"/>
        <v>848.5</v>
      </c>
      <c r="AW255" s="60">
        <f>SUMIFS(Таблица1[16],Таблица1[2],$D255)</f>
        <v>0</v>
      </c>
      <c r="AX255" s="60">
        <f>SUMIFS(Таблица1[17],Таблица1[2],$D255)</f>
        <v>0</v>
      </c>
      <c r="AY255" s="263"/>
      <c r="AZ255" s="264"/>
      <c r="BA255" s="296">
        <v>0</v>
      </c>
      <c r="BB255" s="296">
        <f t="shared" si="57"/>
        <v>0</v>
      </c>
      <c r="BC255" s="296">
        <v>0</v>
      </c>
      <c r="BD255" s="296">
        <v>0</v>
      </c>
      <c r="BE255" s="285" t="s">
        <v>1649</v>
      </c>
      <c r="BF255" s="259">
        <f>1957+154</f>
        <v>2111</v>
      </c>
      <c r="BG255" s="260">
        <f>8142+2177+437</f>
        <v>10756</v>
      </c>
      <c r="BH255" s="62" t="s">
        <v>936</v>
      </c>
      <c r="BI255" s="62" t="s">
        <v>935</v>
      </c>
      <c r="BJ255" s="62" t="s">
        <v>944</v>
      </c>
      <c r="BK255" s="267"/>
      <c r="BL255" s="267"/>
      <c r="BM255" s="267" t="s">
        <v>1649</v>
      </c>
      <c r="BN255" s="268"/>
      <c r="BO255" s="62">
        <v>50</v>
      </c>
      <c r="BP255" s="63">
        <v>44085</v>
      </c>
      <c r="BQ255" s="64" t="s">
        <v>1131</v>
      </c>
      <c r="BR255" s="372" t="s">
        <v>2747</v>
      </c>
      <c r="BS255" s="62"/>
      <c r="BT255" s="323"/>
      <c r="BU255" s="62"/>
      <c r="BV255" s="323"/>
      <c r="BW255" s="62"/>
      <c r="BX255" s="336"/>
      <c r="BY255" s="336"/>
    </row>
    <row r="256" spans="1:77" ht="13.15" hidden="1" customHeight="1" outlineLevel="1" x14ac:dyDescent="0.2">
      <c r="A256" s="50">
        <f t="shared" si="55"/>
        <v>251</v>
      </c>
      <c r="B256" s="51">
        <v>55</v>
      </c>
      <c r="C256" s="51">
        <v>56</v>
      </c>
      <c r="D256" s="18" t="s">
        <v>480</v>
      </c>
      <c r="E256" s="18">
        <v>10</v>
      </c>
      <c r="F256" s="18">
        <v>2</v>
      </c>
      <c r="G256" s="52">
        <v>1</v>
      </c>
      <c r="H256" s="237">
        <v>1</v>
      </c>
      <c r="I256" s="65">
        <v>1953</v>
      </c>
      <c r="J256" s="349">
        <v>5</v>
      </c>
      <c r="K256" s="346">
        <f t="shared" si="56"/>
        <v>6</v>
      </c>
      <c r="L256" s="346">
        <v>1</v>
      </c>
      <c r="M256" s="349">
        <v>4</v>
      </c>
      <c r="N256" s="255">
        <f t="shared" si="54"/>
        <v>0</v>
      </c>
      <c r="O256" s="310">
        <v>51</v>
      </c>
      <c r="P256" s="66">
        <v>2</v>
      </c>
      <c r="Q256" s="66"/>
      <c r="R256" s="66">
        <v>1</v>
      </c>
      <c r="S256" s="66">
        <v>44</v>
      </c>
      <c r="T256" s="66">
        <v>6</v>
      </c>
      <c r="U256" s="66">
        <v>0</v>
      </c>
      <c r="V256" s="66">
        <v>0</v>
      </c>
      <c r="W256" s="54">
        <v>0</v>
      </c>
      <c r="X256" s="55">
        <f>SUMIFS(Таблица3[Кол-во квартир],Таблица3[Адрес МКД],$D256)</f>
        <v>49</v>
      </c>
      <c r="Y256" s="56">
        <f t="shared" si="59"/>
        <v>5067.3999999999996</v>
      </c>
      <c r="Z256" s="253">
        <f>SUMIFS(Таблица3[Площадь жилая],Таблица3[Адрес МКД],$D256)</f>
        <v>2868.1</v>
      </c>
      <c r="AA256" s="261">
        <f>SUMIFS(Таблица3[Площадь нежилых помещений],Таблица3[Адрес МКД],$D256)</f>
        <v>748.3</v>
      </c>
      <c r="AB256" s="252">
        <f>SUMIFS(Таблица1[1],Таблица1[2],$D256)</f>
        <v>748.3</v>
      </c>
      <c r="AC256" s="57">
        <f t="shared" si="50"/>
        <v>748.3</v>
      </c>
      <c r="AD256" s="57">
        <f t="shared" si="51"/>
        <v>0</v>
      </c>
      <c r="AE256" s="58">
        <f>SUMIFS(Таблица1[8],Таблица1[2],$D256)+SUMIFS(Таблица1[18],Таблица1[2],$D256)</f>
        <v>42.1</v>
      </c>
      <c r="AF256" s="58">
        <f>SUMIFS(Таблица1[9],Таблица1[2],$D256)+SUMIFS(Таблица1[19],Таблица1[2],$D256)</f>
        <v>0</v>
      </c>
      <c r="AG256" s="59">
        <f t="shared" si="52"/>
        <v>1451</v>
      </c>
      <c r="AH256" s="59">
        <f t="shared" si="53"/>
        <v>1451</v>
      </c>
      <c r="AI256" s="60">
        <f>258.1+593.8-AM256</f>
        <v>720</v>
      </c>
      <c r="AJ256" s="60">
        <f t="shared" si="46"/>
        <v>145.70000000000005</v>
      </c>
      <c r="AK256" s="60">
        <f>SUMIFS(Таблица1[10],Таблица1[2],$D256)</f>
        <v>574.29999999999995</v>
      </c>
      <c r="AL256" s="60">
        <f>SUMIFS(Таблица1[11],Таблица1[2],$D256)</f>
        <v>0</v>
      </c>
      <c r="AM256" s="251">
        <v>131.9</v>
      </c>
      <c r="AN256" s="249">
        <f t="shared" si="47"/>
        <v>0</v>
      </c>
      <c r="AO256" s="249">
        <f>SUMIFS(Таблица1[12],Таблица1[2],$D256)</f>
        <v>131.9</v>
      </c>
      <c r="AP256" s="249">
        <f>SUMIFS(Таблица1[13],Таблица1[2],$D256)</f>
        <v>0</v>
      </c>
      <c r="AQ256" s="61">
        <f>570.3</f>
        <v>570.29999999999995</v>
      </c>
      <c r="AR256" s="61">
        <f t="shared" si="48"/>
        <v>570.29999999999995</v>
      </c>
      <c r="AS256" s="60">
        <f>SUMIFS(Таблица1[14],Таблица1[2],$D256)</f>
        <v>0</v>
      </c>
      <c r="AT256" s="60">
        <f>SUMIFS(Таблица1[15],Таблица1[2],$D256)</f>
        <v>0</v>
      </c>
      <c r="AU256" s="61">
        <v>735</v>
      </c>
      <c r="AV256" s="61">
        <f t="shared" si="49"/>
        <v>735</v>
      </c>
      <c r="AW256" s="60">
        <f>SUMIFS(Таблица1[16],Таблица1[2],$D256)</f>
        <v>0</v>
      </c>
      <c r="AX256" s="60">
        <f>SUMIFS(Таблица1[17],Таблица1[2],$D256)</f>
        <v>0</v>
      </c>
      <c r="AY256" s="263"/>
      <c r="AZ256" s="264"/>
      <c r="BA256" s="296">
        <v>0</v>
      </c>
      <c r="BB256" s="296">
        <f t="shared" si="57"/>
        <v>0</v>
      </c>
      <c r="BC256" s="296">
        <v>0</v>
      </c>
      <c r="BD256" s="296">
        <v>0</v>
      </c>
      <c r="BE256" s="285"/>
      <c r="BF256" s="259">
        <v>1230</v>
      </c>
      <c r="BG256" s="260">
        <f>18630+227</f>
        <v>18857</v>
      </c>
      <c r="BH256" s="62" t="s">
        <v>936</v>
      </c>
      <c r="BI256" s="62" t="s">
        <v>935</v>
      </c>
      <c r="BJ256" s="62"/>
      <c r="BK256" s="267"/>
      <c r="BL256" s="267"/>
      <c r="BM256" s="267" t="s">
        <v>1649</v>
      </c>
      <c r="BN256" s="268"/>
      <c r="BO256" s="62">
        <v>32</v>
      </c>
      <c r="BP256" s="63">
        <v>32456</v>
      </c>
      <c r="BQ256" s="64" t="s">
        <v>1131</v>
      </c>
      <c r="BR256" s="372" t="s">
        <v>2747</v>
      </c>
      <c r="BS256" s="62"/>
      <c r="BT256" s="323"/>
      <c r="BU256" s="62"/>
      <c r="BV256" s="323"/>
      <c r="BW256" s="62"/>
      <c r="BX256" s="336"/>
      <c r="BY256" s="336"/>
    </row>
    <row r="257" spans="1:77" ht="13.15" hidden="1" customHeight="1" outlineLevel="1" x14ac:dyDescent="0.2">
      <c r="A257" s="50">
        <f t="shared" si="55"/>
        <v>252</v>
      </c>
      <c r="B257" s="51">
        <v>56</v>
      </c>
      <c r="C257" s="51">
        <v>57</v>
      </c>
      <c r="D257" s="18" t="s">
        <v>481</v>
      </c>
      <c r="E257" s="18">
        <v>10</v>
      </c>
      <c r="F257" s="18">
        <v>2</v>
      </c>
      <c r="G257" s="52">
        <v>1</v>
      </c>
      <c r="H257" s="237">
        <v>1</v>
      </c>
      <c r="I257" s="65">
        <v>1952</v>
      </c>
      <c r="J257" s="349">
        <v>3</v>
      </c>
      <c r="K257" s="346">
        <f t="shared" si="56"/>
        <v>4</v>
      </c>
      <c r="L257" s="346">
        <v>1</v>
      </c>
      <c r="M257" s="349">
        <v>2</v>
      </c>
      <c r="N257" s="255">
        <f t="shared" si="54"/>
        <v>1</v>
      </c>
      <c r="O257" s="310">
        <v>17</v>
      </c>
      <c r="P257" s="66">
        <v>2</v>
      </c>
      <c r="Q257" s="66"/>
      <c r="R257" s="66">
        <v>0</v>
      </c>
      <c r="S257" s="66">
        <v>15</v>
      </c>
      <c r="T257" s="66">
        <v>2</v>
      </c>
      <c r="U257" s="66">
        <v>0</v>
      </c>
      <c r="V257" s="66">
        <v>0</v>
      </c>
      <c r="W257" s="54">
        <v>0</v>
      </c>
      <c r="X257" s="55">
        <f>SUMIFS(Таблица3[Кол-во квартир],Таблица3[Адрес МКД],$D257)</f>
        <v>14</v>
      </c>
      <c r="Y257" s="56">
        <f t="shared" si="59"/>
        <v>2248.1</v>
      </c>
      <c r="Z257" s="253">
        <f>SUMIFS(Таблица3[Площадь жилая],Таблица3[Адрес МКД],$D257)</f>
        <v>773.9</v>
      </c>
      <c r="AA257" s="261">
        <f>SUMIFS(Таблица3[Площадь нежилых помещений],Таблица3[Адрес МКД],$D257)</f>
        <v>566.70000000000005</v>
      </c>
      <c r="AB257" s="252">
        <f>SUMIFS(Таблица1[1],Таблица1[2],$D257)</f>
        <v>566.70000000000005</v>
      </c>
      <c r="AC257" s="57">
        <f t="shared" si="50"/>
        <v>566.70000000000005</v>
      </c>
      <c r="AD257" s="57">
        <f t="shared" si="51"/>
        <v>0</v>
      </c>
      <c r="AE257" s="58">
        <f>SUMIFS(Таблица1[8],Таблица1[2],$D257)+SUMIFS(Таблица1[18],Таблица1[2],$D257)</f>
        <v>462.1</v>
      </c>
      <c r="AF257" s="58">
        <f>SUMIFS(Таблица1[9],Таблица1[2],$D257)+SUMIFS(Таблица1[19],Таблица1[2],$D257)</f>
        <v>0</v>
      </c>
      <c r="AG257" s="59">
        <f t="shared" si="52"/>
        <v>907.5</v>
      </c>
      <c r="AH257" s="59">
        <f t="shared" si="53"/>
        <v>907.5</v>
      </c>
      <c r="AI257" s="60">
        <f>264.4-AM257</f>
        <v>264.39999999999998</v>
      </c>
      <c r="AJ257" s="60">
        <f t="shared" si="46"/>
        <v>159.79999999999998</v>
      </c>
      <c r="AK257" s="60">
        <f>SUMIFS(Таблица1[10],Таблица1[2],$D257)</f>
        <v>104.6</v>
      </c>
      <c r="AL257" s="60">
        <f>SUMIFS(Таблица1[11],Таблица1[2],$D257)</f>
        <v>0</v>
      </c>
      <c r="AM257" s="251">
        <v>0</v>
      </c>
      <c r="AN257" s="249">
        <f t="shared" si="47"/>
        <v>0</v>
      </c>
      <c r="AO257" s="249">
        <f>SUMIFS(Таблица1[12],Таблица1[2],$D257)</f>
        <v>0</v>
      </c>
      <c r="AP257" s="249">
        <f>SUMIFS(Таблица1[13],Таблица1[2],$D257)</f>
        <v>0</v>
      </c>
      <c r="AQ257" s="61">
        <v>195.7</v>
      </c>
      <c r="AR257" s="61">
        <f t="shared" si="48"/>
        <v>195.7</v>
      </c>
      <c r="AS257" s="60">
        <f>SUMIFS(Таблица1[14],Таблица1[2],$D257)</f>
        <v>0</v>
      </c>
      <c r="AT257" s="60">
        <f>SUMIFS(Таблица1[15],Таблица1[2],$D257)</f>
        <v>0</v>
      </c>
      <c r="AU257" s="61">
        <v>552</v>
      </c>
      <c r="AV257" s="61">
        <f t="shared" si="49"/>
        <v>552</v>
      </c>
      <c r="AW257" s="60">
        <f>SUMIFS(Таблица1[16],Таблица1[2],$D257)</f>
        <v>0</v>
      </c>
      <c r="AX257" s="60">
        <f>SUMIFS(Таблица1[17],Таблица1[2],$D257)</f>
        <v>0</v>
      </c>
      <c r="AY257" s="263"/>
      <c r="AZ257" s="264"/>
      <c r="BA257" s="296">
        <v>0</v>
      </c>
      <c r="BB257" s="296">
        <f t="shared" si="57"/>
        <v>0</v>
      </c>
      <c r="BC257" s="296">
        <v>0</v>
      </c>
      <c r="BD257" s="296">
        <v>0</v>
      </c>
      <c r="BE257" s="285"/>
      <c r="BF257" s="259">
        <f>457+657</f>
        <v>1114</v>
      </c>
      <c r="BG257" s="260">
        <v>5796</v>
      </c>
      <c r="BH257" s="62" t="s">
        <v>936</v>
      </c>
      <c r="BI257" s="62" t="s">
        <v>935</v>
      </c>
      <c r="BJ257" s="62"/>
      <c r="BK257" s="267"/>
      <c r="BL257" s="267"/>
      <c r="BM257" s="267" t="s">
        <v>1649</v>
      </c>
      <c r="BN257" s="268"/>
      <c r="BO257" s="62">
        <v>20</v>
      </c>
      <c r="BP257" s="63">
        <v>29433</v>
      </c>
      <c r="BQ257" s="64" t="s">
        <v>1131</v>
      </c>
      <c r="BR257" s="372" t="s">
        <v>2747</v>
      </c>
      <c r="BS257" s="62"/>
      <c r="BT257" s="323"/>
      <c r="BU257" s="62"/>
      <c r="BV257" s="323"/>
      <c r="BW257" s="62"/>
      <c r="BX257" s="336"/>
      <c r="BY257" s="336"/>
    </row>
    <row r="258" spans="1:77" ht="13.15" hidden="1" customHeight="1" outlineLevel="1" x14ac:dyDescent="0.2">
      <c r="A258" s="50">
        <f t="shared" si="55"/>
        <v>253</v>
      </c>
      <c r="B258" s="51">
        <v>57</v>
      </c>
      <c r="C258" s="51">
        <v>81</v>
      </c>
      <c r="D258" s="18" t="s">
        <v>482</v>
      </c>
      <c r="E258" s="18">
        <v>10</v>
      </c>
      <c r="F258" s="18">
        <v>1</v>
      </c>
      <c r="G258" s="52">
        <v>1</v>
      </c>
      <c r="H258" s="237">
        <v>1</v>
      </c>
      <c r="I258" s="65">
        <v>1951</v>
      </c>
      <c r="J258" s="349">
        <v>5</v>
      </c>
      <c r="K258" s="346">
        <f t="shared" si="56"/>
        <v>6</v>
      </c>
      <c r="L258" s="346">
        <v>1</v>
      </c>
      <c r="M258" s="349">
        <v>5</v>
      </c>
      <c r="N258" s="255">
        <f t="shared" si="54"/>
        <v>0</v>
      </c>
      <c r="O258" s="310">
        <v>68</v>
      </c>
      <c r="P258" s="66">
        <v>0</v>
      </c>
      <c r="Q258" s="66"/>
      <c r="R258" s="66">
        <v>2</v>
      </c>
      <c r="S258" s="66">
        <f>80-32</f>
        <v>48</v>
      </c>
      <c r="T258" s="66">
        <v>18</v>
      </c>
      <c r="U258" s="66">
        <v>0</v>
      </c>
      <c r="V258" s="66">
        <v>0</v>
      </c>
      <c r="W258" s="54">
        <v>0</v>
      </c>
      <c r="X258" s="55">
        <f>SUMIFS(Таблица3[Кол-во квартир],Таблица3[Адрес МКД],$D258)</f>
        <v>68</v>
      </c>
      <c r="Y258" s="56">
        <f t="shared" si="59"/>
        <v>6113.48</v>
      </c>
      <c r="Z258" s="253">
        <f>SUMIFS(Таблица3[Площадь жилая],Таблица3[Адрес МКД],$D258)</f>
        <v>3707.68</v>
      </c>
      <c r="AA258" s="261">
        <f>SUMIFS(Таблица3[Площадь нежилых помещений],Таблица3[Адрес МКД],$D258)</f>
        <v>1142.5</v>
      </c>
      <c r="AB258" s="252">
        <f>SUMIFS(Таблица1[1],Таблица1[2],$D258)</f>
        <v>1055.4000000000001</v>
      </c>
      <c r="AC258" s="57">
        <f t="shared" si="50"/>
        <v>1055.4000000000001</v>
      </c>
      <c r="AD258" s="57">
        <f t="shared" si="51"/>
        <v>0</v>
      </c>
      <c r="AE258" s="58">
        <f>SUMIFS(Таблица1[8],Таблица1[2],$D258)+SUMIFS(Таблица1[18],Таблица1[2],$D258)</f>
        <v>849.6</v>
      </c>
      <c r="AF258" s="58">
        <f>SUMIFS(Таблица1[9],Таблица1[2],$D258)+SUMIFS(Таблица1[19],Таблица1[2],$D258)</f>
        <v>0</v>
      </c>
      <c r="AG258" s="59">
        <f t="shared" si="52"/>
        <v>1349</v>
      </c>
      <c r="AH258" s="59">
        <f t="shared" si="53"/>
        <v>1349</v>
      </c>
      <c r="AI258" s="60">
        <f>698-AM258</f>
        <v>490.8</v>
      </c>
      <c r="AJ258" s="60">
        <f t="shared" ref="AJ258:AJ321" si="60">AI258-AK258-AL258</f>
        <v>490.8</v>
      </c>
      <c r="AK258" s="60">
        <f>SUMIFS(Таблица1[10],Таблица1[2],$D258)</f>
        <v>0</v>
      </c>
      <c r="AL258" s="60">
        <f>SUMIFS(Таблица1[11],Таблица1[2],$D258)</f>
        <v>0</v>
      </c>
      <c r="AM258" s="251">
        <f>292.9-85.7</f>
        <v>207.2</v>
      </c>
      <c r="AN258" s="249">
        <f t="shared" ref="AN258:AN321" si="61">AM258-AO258-AP258</f>
        <v>1.3999999999999773</v>
      </c>
      <c r="AO258" s="249">
        <f>SUMIFS(Таблица1[12],Таблица1[2],$D258)</f>
        <v>205.8</v>
      </c>
      <c r="AP258" s="249">
        <f>SUMIFS(Таблица1[13],Таблица1[2],$D258)</f>
        <v>0</v>
      </c>
      <c r="AQ258" s="61">
        <v>433.9</v>
      </c>
      <c r="AR258" s="61">
        <f t="shared" ref="AR258:AR321" si="62">AQ258-AS258-AT258</f>
        <v>433.9</v>
      </c>
      <c r="AS258" s="60">
        <f>SUMIFS(Таблица1[14],Таблица1[2],$D258)</f>
        <v>0</v>
      </c>
      <c r="AT258" s="60">
        <f>SUMIFS(Таблица1[15],Таблица1[2],$D258)</f>
        <v>0</v>
      </c>
      <c r="AU258" s="61">
        <v>424.3</v>
      </c>
      <c r="AV258" s="61">
        <f t="shared" ref="AV258:AV321" si="63">AU258-AW258-AX258</f>
        <v>424.3</v>
      </c>
      <c r="AW258" s="60">
        <f>SUMIFS(Таблица1[16],Таблица1[2],$D258)</f>
        <v>0</v>
      </c>
      <c r="AX258" s="60">
        <f>SUMIFS(Таблица1[17],Таблица1[2],$D258)</f>
        <v>0</v>
      </c>
      <c r="AY258" s="263"/>
      <c r="AZ258" s="264"/>
      <c r="BA258" s="296">
        <v>0</v>
      </c>
      <c r="BB258" s="296">
        <f t="shared" si="57"/>
        <v>0</v>
      </c>
      <c r="BC258" s="296">
        <v>0</v>
      </c>
      <c r="BD258" s="296">
        <v>0</v>
      </c>
      <c r="BE258" s="285" t="s">
        <v>1649</v>
      </c>
      <c r="BF258" s="259">
        <f>1222+2286</f>
        <v>3508</v>
      </c>
      <c r="BG258" s="260">
        <f>2865+7199+4262+7929</f>
        <v>22255</v>
      </c>
      <c r="BH258" s="62" t="s">
        <v>936</v>
      </c>
      <c r="BI258" s="62" t="s">
        <v>935</v>
      </c>
      <c r="BJ258" s="62" t="s">
        <v>944</v>
      </c>
      <c r="BK258" s="267"/>
      <c r="BL258" s="267"/>
      <c r="BM258" s="267" t="s">
        <v>1649</v>
      </c>
      <c r="BN258" s="268"/>
      <c r="BO258" s="62">
        <v>30</v>
      </c>
      <c r="BP258" s="63">
        <v>28173</v>
      </c>
      <c r="BQ258" s="64" t="s">
        <v>1131</v>
      </c>
      <c r="BR258" s="372" t="s">
        <v>2747</v>
      </c>
      <c r="BS258" s="62"/>
      <c r="BT258" s="323"/>
      <c r="BU258" s="62"/>
      <c r="BV258" s="323"/>
      <c r="BW258" s="62"/>
      <c r="BX258" s="336"/>
      <c r="BY258" s="336"/>
    </row>
    <row r="259" spans="1:77" ht="13.15" hidden="1" customHeight="1" outlineLevel="1" x14ac:dyDescent="0.2">
      <c r="A259" s="50">
        <f t="shared" si="55"/>
        <v>254</v>
      </c>
      <c r="B259" s="51">
        <v>58</v>
      </c>
      <c r="C259" s="51">
        <v>82</v>
      </c>
      <c r="D259" s="18" t="s">
        <v>483</v>
      </c>
      <c r="E259" s="18">
        <v>10</v>
      </c>
      <c r="F259" s="18">
        <v>1</v>
      </c>
      <c r="G259" s="52">
        <v>1</v>
      </c>
      <c r="H259" s="366">
        <v>1</v>
      </c>
      <c r="I259" s="65">
        <v>1952</v>
      </c>
      <c r="J259" s="349">
        <v>3</v>
      </c>
      <c r="K259" s="346">
        <f t="shared" si="56"/>
        <v>4</v>
      </c>
      <c r="L259" s="346">
        <v>1</v>
      </c>
      <c r="M259" s="349">
        <v>3</v>
      </c>
      <c r="N259" s="255">
        <f t="shared" si="54"/>
        <v>2</v>
      </c>
      <c r="O259" s="310">
        <v>26</v>
      </c>
      <c r="P259" s="66">
        <v>0</v>
      </c>
      <c r="Q259" s="66"/>
      <c r="R259" s="66">
        <v>0</v>
      </c>
      <c r="S259" s="66">
        <v>24</v>
      </c>
      <c r="T259" s="66">
        <v>2</v>
      </c>
      <c r="U259" s="66">
        <v>0</v>
      </c>
      <c r="V259" s="66">
        <v>0</v>
      </c>
      <c r="W259" s="54">
        <v>0</v>
      </c>
      <c r="X259" s="55">
        <f>SUMIFS(Таблица3[Кол-во квартир],Таблица3[Адрес МКД],$D259)</f>
        <v>24</v>
      </c>
      <c r="Y259" s="56">
        <f t="shared" si="59"/>
        <v>2639</v>
      </c>
      <c r="Z259" s="253">
        <f>SUMIFS(Таблица3[Площадь жилая],Таблица3[Адрес МКД],$D259)</f>
        <v>1329.6</v>
      </c>
      <c r="AA259" s="261">
        <f>SUMIFS(Таблица3[Площадь нежилых помещений],Таблица3[Адрес МКД],$D259)</f>
        <v>0</v>
      </c>
      <c r="AB259" s="252">
        <f>SUMIFS(Таблица1[1],Таблица1[2],$D259)</f>
        <v>97.89</v>
      </c>
      <c r="AC259" s="57">
        <f t="shared" ref="AC259:AC322" si="64">AE259+AK259+AO259+AS259+AW259</f>
        <v>97.89</v>
      </c>
      <c r="AD259" s="57">
        <f t="shared" ref="AD259:AD322" si="65">AF259+AL259+AP259+AT259+AX259</f>
        <v>0</v>
      </c>
      <c r="AE259" s="58">
        <f>SUMIFS(Таблица1[8],Таблица1[2],$D259)+SUMIFS(Таблица1[18],Таблица1[2],$D259)</f>
        <v>0</v>
      </c>
      <c r="AF259" s="58">
        <f>SUMIFS(Таблица1[9],Таблица1[2],$D259)+SUMIFS(Таблица1[19],Таблица1[2],$D259)</f>
        <v>0</v>
      </c>
      <c r="AG259" s="59">
        <f t="shared" ref="AG259:AG322" si="66">AJ259+AR259+AV259+AZ259</f>
        <v>1211.51</v>
      </c>
      <c r="AH259" s="59">
        <f t="shared" ref="AH259:AH322" si="67">AJ259+AL259+AR259+AT259+AV259+AX259</f>
        <v>1211.51</v>
      </c>
      <c r="AI259" s="60">
        <f>441.9-AM259</f>
        <v>441.9</v>
      </c>
      <c r="AJ259" s="60">
        <f t="shared" si="60"/>
        <v>344.01</v>
      </c>
      <c r="AK259" s="60">
        <f>SUMIFS(Таблица1[10],Таблица1[2],$D259)</f>
        <v>97.89</v>
      </c>
      <c r="AL259" s="60">
        <f>SUMIFS(Таблица1[11],Таблица1[2],$D259)</f>
        <v>0</v>
      </c>
      <c r="AM259" s="251">
        <v>0</v>
      </c>
      <c r="AN259" s="249">
        <f t="shared" si="61"/>
        <v>0</v>
      </c>
      <c r="AO259" s="249">
        <f>SUMIFS(Таблица1[12],Таблица1[2],$D259)</f>
        <v>0</v>
      </c>
      <c r="AP259" s="249">
        <f>SUMIFS(Таблица1[13],Таблица1[2],$D259)</f>
        <v>0</v>
      </c>
      <c r="AQ259" s="61">
        <v>267</v>
      </c>
      <c r="AR259" s="61">
        <f t="shared" si="62"/>
        <v>267</v>
      </c>
      <c r="AS259" s="60">
        <f>SUMIFS(Таблица1[14],Таблица1[2],$D259)</f>
        <v>0</v>
      </c>
      <c r="AT259" s="60">
        <f>SUMIFS(Таблица1[15],Таблица1[2],$D259)</f>
        <v>0</v>
      </c>
      <c r="AU259" s="61">
        <v>600.5</v>
      </c>
      <c r="AV259" s="61">
        <f t="shared" si="63"/>
        <v>600.5</v>
      </c>
      <c r="AW259" s="60">
        <f>SUMIFS(Таблица1[16],Таблица1[2],$D259)</f>
        <v>0</v>
      </c>
      <c r="AX259" s="60">
        <f>SUMIFS(Таблица1[17],Таблица1[2],$D259)</f>
        <v>0</v>
      </c>
      <c r="AY259" s="263">
        <f>Нежилые!G1491</f>
        <v>97.89</v>
      </c>
      <c r="AZ259" s="264"/>
      <c r="BA259" s="296">
        <v>0</v>
      </c>
      <c r="BB259" s="296">
        <f t="shared" si="57"/>
        <v>0</v>
      </c>
      <c r="BC259" s="296">
        <v>0</v>
      </c>
      <c r="BD259" s="296">
        <v>0</v>
      </c>
      <c r="BE259" s="285"/>
      <c r="BF259" s="259">
        <v>1956</v>
      </c>
      <c r="BG259" s="260">
        <f>6237+30</f>
        <v>6267</v>
      </c>
      <c r="BH259" s="62" t="s">
        <v>936</v>
      </c>
      <c r="BI259" s="62" t="s">
        <v>935</v>
      </c>
      <c r="BJ259" s="62"/>
      <c r="BK259" s="267"/>
      <c r="BL259" s="267"/>
      <c r="BM259" s="267" t="s">
        <v>1649</v>
      </c>
      <c r="BN259" s="268"/>
      <c r="BO259" s="62">
        <v>34</v>
      </c>
      <c r="BP259" s="63">
        <v>28614</v>
      </c>
      <c r="BQ259" s="64" t="s">
        <v>1131</v>
      </c>
      <c r="BR259" s="372" t="s">
        <v>2747</v>
      </c>
      <c r="BS259" s="62"/>
      <c r="BT259" s="323"/>
      <c r="BU259" s="62"/>
      <c r="BV259" s="323"/>
      <c r="BW259" s="62"/>
      <c r="BX259" s="336"/>
      <c r="BY259" s="336" t="s">
        <v>1649</v>
      </c>
    </row>
    <row r="260" spans="1:77" ht="13.15" hidden="1" customHeight="1" outlineLevel="1" x14ac:dyDescent="0.2">
      <c r="A260" s="50">
        <f t="shared" si="55"/>
        <v>255</v>
      </c>
      <c r="B260" s="51">
        <v>59</v>
      </c>
      <c r="C260" s="51">
        <v>58</v>
      </c>
      <c r="D260" s="18" t="s">
        <v>484</v>
      </c>
      <c r="E260" s="18">
        <v>10</v>
      </c>
      <c r="F260" s="18">
        <v>2</v>
      </c>
      <c r="G260" s="52">
        <v>1</v>
      </c>
      <c r="H260" s="237">
        <v>1</v>
      </c>
      <c r="I260" s="65">
        <v>1952</v>
      </c>
      <c r="J260" s="353">
        <v>5.6</v>
      </c>
      <c r="K260" s="355">
        <v>6.7</v>
      </c>
      <c r="L260" s="356">
        <v>1</v>
      </c>
      <c r="M260" s="349">
        <v>4</v>
      </c>
      <c r="N260" s="255">
        <f t="shared" si="54"/>
        <v>2</v>
      </c>
      <c r="O260" s="310">
        <v>47</v>
      </c>
      <c r="P260" s="66">
        <v>2</v>
      </c>
      <c r="Q260" s="66"/>
      <c r="R260" s="66">
        <v>2</v>
      </c>
      <c r="S260" s="66">
        <v>39</v>
      </c>
      <c r="T260" s="66">
        <v>4</v>
      </c>
      <c r="U260" s="66">
        <v>2</v>
      </c>
      <c r="V260" s="66">
        <v>0</v>
      </c>
      <c r="W260" s="54">
        <v>0</v>
      </c>
      <c r="X260" s="55">
        <f>SUMIFS(Таблица3[Кол-во квартир],Таблица3[Адрес МКД],$D260)</f>
        <v>43</v>
      </c>
      <c r="Y260" s="56">
        <f t="shared" si="59"/>
        <v>5517.2</v>
      </c>
      <c r="Z260" s="253">
        <f>SUMIFS(Таблица3[Площадь жилая],Таблица3[Адрес МКД],$D260)</f>
        <v>2462.6999999999998</v>
      </c>
      <c r="AA260" s="261">
        <f>SUMIFS(Таблица3[Площадь нежилых помещений],Таблица3[Адрес МКД],$D260)</f>
        <v>800.7</v>
      </c>
      <c r="AB260" s="252">
        <f>SUMIFS(Таблица1[1],Таблица1[2],$D260)</f>
        <v>800.69999999999993</v>
      </c>
      <c r="AC260" s="57">
        <f t="shared" si="64"/>
        <v>800.69999999999993</v>
      </c>
      <c r="AD260" s="57">
        <f t="shared" si="65"/>
        <v>0</v>
      </c>
      <c r="AE260" s="58">
        <f>SUMIFS(Таблица1[8],Таблица1[2],$D260)+SUMIFS(Таблица1[18],Таблица1[2],$D260)</f>
        <v>535.79999999999995</v>
      </c>
      <c r="AF260" s="58">
        <f>SUMIFS(Таблица1[9],Таблица1[2],$D260)+SUMIFS(Таблица1[19],Таблица1[2],$D260)</f>
        <v>0</v>
      </c>
      <c r="AG260" s="59">
        <f t="shared" si="66"/>
        <v>2253.8000000000002</v>
      </c>
      <c r="AH260" s="59">
        <f t="shared" si="67"/>
        <v>2253.8000000000002</v>
      </c>
      <c r="AI260" s="60">
        <f>264.9-AM260</f>
        <v>0</v>
      </c>
      <c r="AJ260" s="60">
        <f t="shared" si="60"/>
        <v>0</v>
      </c>
      <c r="AK260" s="60">
        <f>SUMIFS(Таблица1[10],Таблица1[2],$D260)</f>
        <v>0</v>
      </c>
      <c r="AL260" s="60">
        <f>SUMIFS(Таблица1[11],Таблица1[2],$D260)</f>
        <v>0</v>
      </c>
      <c r="AM260" s="251">
        <v>264.89999999999998</v>
      </c>
      <c r="AN260" s="249">
        <f t="shared" si="61"/>
        <v>0</v>
      </c>
      <c r="AO260" s="249">
        <f>SUMIFS(Таблица1[12],Таблица1[2],$D260)</f>
        <v>264.89999999999998</v>
      </c>
      <c r="AP260" s="249">
        <f>SUMIFS(Таблица1[13],Таблица1[2],$D260)</f>
        <v>0</v>
      </c>
      <c r="AQ260" s="61">
        <v>472.1</v>
      </c>
      <c r="AR260" s="61">
        <f t="shared" si="62"/>
        <v>472.1</v>
      </c>
      <c r="AS260" s="60">
        <f>SUMIFS(Таблица1[14],Таблица1[2],$D260)</f>
        <v>0</v>
      </c>
      <c r="AT260" s="60">
        <f>SUMIFS(Таблица1[15],Таблица1[2],$D260)</f>
        <v>0</v>
      </c>
      <c r="AU260" s="61">
        <v>1781.7</v>
      </c>
      <c r="AV260" s="61">
        <f t="shared" si="63"/>
        <v>1781.7</v>
      </c>
      <c r="AW260" s="60">
        <f>SUMIFS(Таблица1[16],Таблица1[2],$D260)</f>
        <v>0</v>
      </c>
      <c r="AX260" s="60">
        <f>SUMIFS(Таблица1[17],Таблица1[2],$D260)</f>
        <v>0</v>
      </c>
      <c r="AY260" s="263"/>
      <c r="AZ260" s="264"/>
      <c r="BA260" s="296">
        <v>0</v>
      </c>
      <c r="BB260" s="296">
        <f t="shared" si="57"/>
        <v>0</v>
      </c>
      <c r="BC260" s="296">
        <v>0</v>
      </c>
      <c r="BD260" s="296">
        <v>0</v>
      </c>
      <c r="BE260" s="285"/>
      <c r="BF260" s="259">
        <f>1136+2589</f>
        <v>3725</v>
      </c>
      <c r="BG260" s="260">
        <f>9268+8258</f>
        <v>17526</v>
      </c>
      <c r="BH260" s="62" t="s">
        <v>936</v>
      </c>
      <c r="BI260" s="62" t="s">
        <v>935</v>
      </c>
      <c r="BJ260" s="62"/>
      <c r="BK260" s="267"/>
      <c r="BL260" s="267"/>
      <c r="BM260" s="267" t="s">
        <v>1649</v>
      </c>
      <c r="BN260" s="268"/>
      <c r="BO260" s="62">
        <v>22</v>
      </c>
      <c r="BP260" s="63">
        <v>30140</v>
      </c>
      <c r="BQ260" s="64" t="s">
        <v>1131</v>
      </c>
      <c r="BR260" s="372" t="s">
        <v>2747</v>
      </c>
      <c r="BS260" s="62"/>
      <c r="BT260" s="323"/>
      <c r="BU260" s="62"/>
      <c r="BV260" s="323"/>
      <c r="BW260" s="62"/>
      <c r="BX260" s="336"/>
      <c r="BY260" s="336"/>
    </row>
    <row r="261" spans="1:77" ht="13.15" hidden="1" customHeight="1" outlineLevel="1" x14ac:dyDescent="0.2">
      <c r="A261" s="50">
        <f t="shared" si="55"/>
        <v>256</v>
      </c>
      <c r="B261" s="51">
        <v>60</v>
      </c>
      <c r="C261" s="51">
        <v>59</v>
      </c>
      <c r="D261" s="18" t="s">
        <v>485</v>
      </c>
      <c r="E261" s="18">
        <v>10</v>
      </c>
      <c r="F261" s="18">
        <v>2</v>
      </c>
      <c r="G261" s="52">
        <v>1</v>
      </c>
      <c r="H261" s="237">
        <v>1</v>
      </c>
      <c r="I261" s="65">
        <v>1952</v>
      </c>
      <c r="J261" s="349">
        <v>3</v>
      </c>
      <c r="K261" s="346">
        <f t="shared" si="56"/>
        <v>4</v>
      </c>
      <c r="L261" s="346">
        <v>1</v>
      </c>
      <c r="M261" s="349">
        <v>3</v>
      </c>
      <c r="N261" s="255">
        <f t="shared" ref="N261:N324" si="68">O261-P261-X261-Q261</f>
        <v>1</v>
      </c>
      <c r="O261" s="310">
        <v>30</v>
      </c>
      <c r="P261" s="66">
        <v>0</v>
      </c>
      <c r="Q261" s="66"/>
      <c r="R261" s="66">
        <v>0</v>
      </c>
      <c r="S261" s="66">
        <v>21</v>
      </c>
      <c r="T261" s="66">
        <v>9</v>
      </c>
      <c r="U261" s="66">
        <v>0</v>
      </c>
      <c r="V261" s="66">
        <v>0</v>
      </c>
      <c r="W261" s="54">
        <v>0</v>
      </c>
      <c r="X261" s="55">
        <f>SUMIFS(Таблица3[Кол-во квартир],Таблица3[Адрес МКД],$D261)</f>
        <v>29</v>
      </c>
      <c r="Y261" s="56">
        <f t="shared" si="59"/>
        <v>2607.1999999999998</v>
      </c>
      <c r="Z261" s="253">
        <f>SUMIFS(Таблица3[Площадь жилая],Таблица3[Адрес МКД],$D261)</f>
        <v>1765.8</v>
      </c>
      <c r="AA261" s="261">
        <f>SUMIFS(Таблица3[Площадь нежилых помещений],Таблица3[Адрес МКД],$D261)</f>
        <v>139.6</v>
      </c>
      <c r="AB261" s="252">
        <f>SUMIFS(Таблица1[1],Таблица1[2],$D261)</f>
        <v>139.6</v>
      </c>
      <c r="AC261" s="57">
        <f t="shared" si="64"/>
        <v>139.6</v>
      </c>
      <c r="AD261" s="57">
        <f t="shared" si="65"/>
        <v>0</v>
      </c>
      <c r="AE261" s="58">
        <f>SUMIFS(Таблица1[8],Таблица1[2],$D261)+SUMIFS(Таблица1[18],Таблица1[2],$D261)</f>
        <v>0</v>
      </c>
      <c r="AF261" s="58">
        <f>SUMIFS(Таблица1[9],Таблица1[2],$D261)+SUMIFS(Таблица1[19],Таблица1[2],$D261)</f>
        <v>0</v>
      </c>
      <c r="AG261" s="59">
        <f t="shared" si="66"/>
        <v>701.8</v>
      </c>
      <c r="AH261" s="59">
        <f t="shared" si="67"/>
        <v>701.8</v>
      </c>
      <c r="AI261" s="60">
        <f>460.9-AM261</f>
        <v>321.29999999999995</v>
      </c>
      <c r="AJ261" s="60">
        <f t="shared" si="60"/>
        <v>321.29999999999995</v>
      </c>
      <c r="AK261" s="60">
        <f>SUMIFS(Таблица1[10],Таблица1[2],$D261)</f>
        <v>0</v>
      </c>
      <c r="AL261" s="60">
        <f>SUMIFS(Таблица1[11],Таблица1[2],$D261)</f>
        <v>0</v>
      </c>
      <c r="AM261" s="251">
        <v>139.6</v>
      </c>
      <c r="AN261" s="249">
        <f t="shared" si="61"/>
        <v>0</v>
      </c>
      <c r="AO261" s="249">
        <f>SUMIFS(Таблица1[12],Таблица1[2],$D261)</f>
        <v>139.6</v>
      </c>
      <c r="AP261" s="249">
        <f>SUMIFS(Таблица1[13],Таблица1[2],$D261)</f>
        <v>0</v>
      </c>
      <c r="AQ261" s="61">
        <v>244.8</v>
      </c>
      <c r="AR261" s="61">
        <f t="shared" si="62"/>
        <v>244.8</v>
      </c>
      <c r="AS261" s="60">
        <f>SUMIFS(Таблица1[14],Таблица1[2],$D261)</f>
        <v>0</v>
      </c>
      <c r="AT261" s="60">
        <f>SUMIFS(Таблица1[15],Таблица1[2],$D261)</f>
        <v>0</v>
      </c>
      <c r="AU261" s="61">
        <v>135.69999999999999</v>
      </c>
      <c r="AV261" s="61">
        <f t="shared" si="63"/>
        <v>135.69999999999999</v>
      </c>
      <c r="AW261" s="60">
        <f>SUMIFS(Таблица1[16],Таблица1[2],$D261)</f>
        <v>0</v>
      </c>
      <c r="AX261" s="60">
        <f>SUMIFS(Таблица1[17],Таблица1[2],$D261)</f>
        <v>0</v>
      </c>
      <c r="AY261" s="263"/>
      <c r="AZ261" s="264"/>
      <c r="BA261" s="296">
        <v>0</v>
      </c>
      <c r="BB261" s="296">
        <f t="shared" si="57"/>
        <v>0</v>
      </c>
      <c r="BC261" s="296">
        <v>0</v>
      </c>
      <c r="BD261" s="296">
        <v>0</v>
      </c>
      <c r="BE261" s="285"/>
      <c r="BF261" s="259">
        <v>2131</v>
      </c>
      <c r="BG261" s="260">
        <f>4605+2690</f>
        <v>7295</v>
      </c>
      <c r="BH261" s="62" t="s">
        <v>936</v>
      </c>
      <c r="BI261" s="62" t="s">
        <v>935</v>
      </c>
      <c r="BJ261" s="62"/>
      <c r="BK261" s="267"/>
      <c r="BL261" s="267"/>
      <c r="BM261" s="267" t="s">
        <v>1649</v>
      </c>
      <c r="BN261" s="268"/>
      <c r="BO261" s="62">
        <v>40</v>
      </c>
      <c r="BP261" s="63">
        <v>28699</v>
      </c>
      <c r="BQ261" s="64" t="s">
        <v>1131</v>
      </c>
      <c r="BR261" s="372" t="s">
        <v>2747</v>
      </c>
      <c r="BS261" s="62"/>
      <c r="BT261" s="323"/>
      <c r="BU261" s="62"/>
      <c r="BV261" s="323"/>
      <c r="BW261" s="62"/>
      <c r="BX261" s="336"/>
      <c r="BY261" s="336"/>
    </row>
    <row r="262" spans="1:77" ht="13.15" hidden="1" customHeight="1" outlineLevel="1" x14ac:dyDescent="0.2">
      <c r="A262" s="50">
        <f t="shared" ref="A262:A325" si="69">A261+1</f>
        <v>257</v>
      </c>
      <c r="B262" s="51">
        <v>61</v>
      </c>
      <c r="C262" s="51">
        <v>83</v>
      </c>
      <c r="D262" s="18" t="s">
        <v>486</v>
      </c>
      <c r="E262" s="18">
        <v>10</v>
      </c>
      <c r="F262" s="18">
        <v>1</v>
      </c>
      <c r="G262" s="52">
        <v>1</v>
      </c>
      <c r="H262" s="237">
        <v>1</v>
      </c>
      <c r="I262" s="65">
        <v>1951</v>
      </c>
      <c r="J262" s="349">
        <v>5</v>
      </c>
      <c r="K262" s="346">
        <f t="shared" ref="K262:K325" si="70">J262+L262</f>
        <v>6</v>
      </c>
      <c r="L262" s="346">
        <v>1</v>
      </c>
      <c r="M262" s="349">
        <v>5</v>
      </c>
      <c r="N262" s="255">
        <f t="shared" si="68"/>
        <v>1</v>
      </c>
      <c r="O262" s="310">
        <v>67</v>
      </c>
      <c r="P262" s="66">
        <v>1</v>
      </c>
      <c r="Q262" s="66"/>
      <c r="R262" s="66">
        <v>1</v>
      </c>
      <c r="S262" s="66">
        <v>55</v>
      </c>
      <c r="T262" s="66">
        <v>11</v>
      </c>
      <c r="U262" s="66">
        <v>0</v>
      </c>
      <c r="V262" s="66">
        <v>0</v>
      </c>
      <c r="W262" s="54">
        <v>0</v>
      </c>
      <c r="X262" s="55">
        <f>SUMIFS(Таблица3[Кол-во квартир],Таблица3[Адрес МКД],$D262)</f>
        <v>65</v>
      </c>
      <c r="Y262" s="56">
        <f t="shared" si="59"/>
        <v>6664.3799999999992</v>
      </c>
      <c r="Z262" s="253">
        <f>SUMIFS(Таблица3[Площадь жилая],Таблица3[Адрес МКД],$D262)</f>
        <v>3675.08</v>
      </c>
      <c r="AA262" s="261">
        <f>SUMIFS(Таблица3[Площадь нежилых помещений],Таблица3[Адрес МКД],$D262)</f>
        <v>1105</v>
      </c>
      <c r="AB262" s="252">
        <f>SUMIFS(Таблица1[1],Таблица1[2],$D262)</f>
        <v>1106.2</v>
      </c>
      <c r="AC262" s="57">
        <f t="shared" si="64"/>
        <v>1094.3</v>
      </c>
      <c r="AD262" s="57">
        <f t="shared" si="65"/>
        <v>11.9</v>
      </c>
      <c r="AE262" s="58">
        <f>SUMIFS(Таблица1[8],Таблица1[2],$D262)+SUMIFS(Таблица1[18],Таблица1[2],$D262)</f>
        <v>779.3</v>
      </c>
      <c r="AF262" s="58">
        <f>SUMIFS(Таблица1[9],Таблица1[2],$D262)+SUMIFS(Таблица1[19],Таблица1[2],$D262)</f>
        <v>0</v>
      </c>
      <c r="AG262" s="59">
        <f t="shared" si="66"/>
        <v>1883.1</v>
      </c>
      <c r="AH262" s="59">
        <f t="shared" si="67"/>
        <v>1895</v>
      </c>
      <c r="AI262" s="60">
        <f>455.9-AM262</f>
        <v>277.69999999999993</v>
      </c>
      <c r="AJ262" s="60">
        <f t="shared" si="60"/>
        <v>140.89999999999992</v>
      </c>
      <c r="AK262" s="60">
        <f>SUMIFS(Таблица1[10],Таблица1[2],$D262)</f>
        <v>136.80000000000001</v>
      </c>
      <c r="AL262" s="60">
        <f>SUMIFS(Таблица1[11],Таблица1[2],$D262)</f>
        <v>0</v>
      </c>
      <c r="AM262" s="251">
        <f>188.9-10.7</f>
        <v>178.20000000000002</v>
      </c>
      <c r="AN262" s="249">
        <f t="shared" si="61"/>
        <v>2.8421709430404007E-14</v>
      </c>
      <c r="AO262" s="249">
        <f>SUMIFS(Таблица1[12],Таблица1[2],$D262)</f>
        <v>178.2</v>
      </c>
      <c r="AP262" s="249">
        <f>SUMIFS(Таблица1[13],Таблица1[2],$D262)</f>
        <v>0</v>
      </c>
      <c r="AQ262" s="61">
        <f>610.1</f>
        <v>610.1</v>
      </c>
      <c r="AR262" s="61">
        <f t="shared" si="62"/>
        <v>598.20000000000005</v>
      </c>
      <c r="AS262" s="60">
        <f>SUMIFS(Таблица1[14],Таблица1[2],$D262)</f>
        <v>0</v>
      </c>
      <c r="AT262" s="60">
        <f>SUMIFS(Таблица1[15],Таблица1[2],$D262)</f>
        <v>11.9</v>
      </c>
      <c r="AU262" s="61">
        <v>1144</v>
      </c>
      <c r="AV262" s="61">
        <f t="shared" si="63"/>
        <v>1144</v>
      </c>
      <c r="AW262" s="60">
        <f>SUMIFS(Таблица1[16],Таблица1[2],$D262)</f>
        <v>0</v>
      </c>
      <c r="AX262" s="60">
        <f>SUMIFS(Таблица1[17],Таблица1[2],$D262)</f>
        <v>0</v>
      </c>
      <c r="AY262" s="263"/>
      <c r="AZ262" s="264"/>
      <c r="BA262" s="296">
        <v>0</v>
      </c>
      <c r="BB262" s="296">
        <f t="shared" si="57"/>
        <v>0</v>
      </c>
      <c r="BC262" s="296">
        <v>0</v>
      </c>
      <c r="BD262" s="296">
        <v>0</v>
      </c>
      <c r="BE262" s="285" t="s">
        <v>1649</v>
      </c>
      <c r="BF262" s="259">
        <f>529+1448</f>
        <v>1977</v>
      </c>
      <c r="BG262" s="260">
        <f>1424+3800+16475</f>
        <v>21699</v>
      </c>
      <c r="BH262" s="62" t="s">
        <v>936</v>
      </c>
      <c r="BI262" s="62" t="s">
        <v>935</v>
      </c>
      <c r="BJ262" s="62" t="s">
        <v>944</v>
      </c>
      <c r="BK262" s="267"/>
      <c r="BL262" s="267"/>
      <c r="BM262" s="267" t="s">
        <v>1649</v>
      </c>
      <c r="BN262" s="268"/>
      <c r="BO262" s="62">
        <v>25</v>
      </c>
      <c r="BP262" s="63">
        <v>28695</v>
      </c>
      <c r="BQ262" s="64" t="s">
        <v>1131</v>
      </c>
      <c r="BR262" s="372" t="s">
        <v>2747</v>
      </c>
      <c r="BS262" s="62"/>
      <c r="BT262" s="323"/>
      <c r="BU262" s="62"/>
      <c r="BV262" s="323"/>
      <c r="BW262" s="62"/>
      <c r="BX262" s="336"/>
      <c r="BY262" s="336"/>
    </row>
    <row r="263" spans="1:77" ht="13.15" hidden="1" customHeight="1" outlineLevel="1" x14ac:dyDescent="0.2">
      <c r="A263" s="50">
        <f t="shared" si="69"/>
        <v>258</v>
      </c>
      <c r="B263" s="51">
        <v>62</v>
      </c>
      <c r="C263" s="51">
        <v>84</v>
      </c>
      <c r="D263" s="18" t="s">
        <v>487</v>
      </c>
      <c r="E263" s="18">
        <v>10</v>
      </c>
      <c r="F263" s="18">
        <v>1</v>
      </c>
      <c r="G263" s="52">
        <v>1</v>
      </c>
      <c r="H263" s="237">
        <v>1</v>
      </c>
      <c r="I263" s="65">
        <v>1951</v>
      </c>
      <c r="J263" s="349">
        <v>4</v>
      </c>
      <c r="K263" s="346">
        <f t="shared" si="70"/>
        <v>5</v>
      </c>
      <c r="L263" s="346">
        <v>1</v>
      </c>
      <c r="M263" s="349">
        <v>4</v>
      </c>
      <c r="N263" s="255">
        <f t="shared" si="68"/>
        <v>0</v>
      </c>
      <c r="O263" s="310">
        <v>46</v>
      </c>
      <c r="P263" s="66">
        <v>0</v>
      </c>
      <c r="Q263" s="66"/>
      <c r="R263" s="66">
        <v>2</v>
      </c>
      <c r="S263" s="66">
        <v>40</v>
      </c>
      <c r="T263" s="66">
        <v>4</v>
      </c>
      <c r="U263" s="66">
        <v>0</v>
      </c>
      <c r="V263" s="66">
        <v>0</v>
      </c>
      <c r="W263" s="54">
        <v>0</v>
      </c>
      <c r="X263" s="55">
        <f>SUMIFS(Таблица3[Кол-во квартир],Таблица3[Адрес МКД],$D263)</f>
        <v>46</v>
      </c>
      <c r="Y263" s="56">
        <f t="shared" si="59"/>
        <v>4346.2000000000007</v>
      </c>
      <c r="Z263" s="253">
        <f>SUMIFS(Таблица3[Площадь жилая],Таблица3[Адрес МКД],$D263)</f>
        <v>2462.3000000000002</v>
      </c>
      <c r="AA263" s="261">
        <f>SUMIFS(Таблица3[Площадь нежилых помещений],Таблица3[Адрес МКД],$D263)</f>
        <v>314</v>
      </c>
      <c r="AB263" s="252">
        <f>SUMIFS(Таблица1[1],Таблица1[2],$D263)</f>
        <v>314</v>
      </c>
      <c r="AC263" s="57">
        <f t="shared" si="64"/>
        <v>314</v>
      </c>
      <c r="AD263" s="57">
        <f t="shared" si="65"/>
        <v>0</v>
      </c>
      <c r="AE263" s="58">
        <f>SUMIFS(Таблица1[8],Таблица1[2],$D263)+SUMIFS(Таблица1[18],Таблица1[2],$D263)</f>
        <v>0</v>
      </c>
      <c r="AF263" s="58">
        <f>SUMIFS(Таблица1[9],Таблица1[2],$D263)+SUMIFS(Таблица1[19],Таблица1[2],$D263)</f>
        <v>0</v>
      </c>
      <c r="AG263" s="59">
        <f t="shared" si="66"/>
        <v>1569.9</v>
      </c>
      <c r="AH263" s="59">
        <f t="shared" si="67"/>
        <v>1569.9</v>
      </c>
      <c r="AI263" s="60">
        <f>590.8-AM263</f>
        <v>377.29999999999995</v>
      </c>
      <c r="AJ263" s="60">
        <f t="shared" si="60"/>
        <v>276.79999999999995</v>
      </c>
      <c r="AK263" s="60">
        <f>SUMIFS(Таблица1[10],Таблица1[2],$D263)</f>
        <v>100.5</v>
      </c>
      <c r="AL263" s="60">
        <f>SUMIFS(Таблица1[11],Таблица1[2],$D263)</f>
        <v>0</v>
      </c>
      <c r="AM263" s="251">
        <f>213.5</f>
        <v>213.5</v>
      </c>
      <c r="AN263" s="249">
        <f t="shared" si="61"/>
        <v>0</v>
      </c>
      <c r="AO263" s="249">
        <f>SUMIFS(Таблица1[12],Таблица1[2],$D263)</f>
        <v>213.5</v>
      </c>
      <c r="AP263" s="249">
        <f>SUMIFS(Таблица1[13],Таблица1[2],$D263)</f>
        <v>0</v>
      </c>
      <c r="AQ263" s="61">
        <v>421.6</v>
      </c>
      <c r="AR263" s="61">
        <f t="shared" si="62"/>
        <v>421.6</v>
      </c>
      <c r="AS263" s="60">
        <f>SUMIFS(Таблица1[14],Таблица1[2],$D263)</f>
        <v>0</v>
      </c>
      <c r="AT263" s="60">
        <f>SUMIFS(Таблица1[15],Таблица1[2],$D263)</f>
        <v>0</v>
      </c>
      <c r="AU263" s="61">
        <v>871.5</v>
      </c>
      <c r="AV263" s="61">
        <f t="shared" si="63"/>
        <v>871.5</v>
      </c>
      <c r="AW263" s="60">
        <f>SUMIFS(Таблица1[16],Таблица1[2],$D263)</f>
        <v>0</v>
      </c>
      <c r="AX263" s="60">
        <f>SUMIFS(Таблица1[17],Таблица1[2],$D263)</f>
        <v>0</v>
      </c>
      <c r="AY263" s="263"/>
      <c r="AZ263" s="264"/>
      <c r="BA263" s="296">
        <v>0</v>
      </c>
      <c r="BB263" s="296">
        <f t="shared" si="57"/>
        <v>0</v>
      </c>
      <c r="BC263" s="296">
        <v>0</v>
      </c>
      <c r="BD263" s="296">
        <v>0</v>
      </c>
      <c r="BE263" s="285"/>
      <c r="BF263" s="259">
        <v>2612</v>
      </c>
      <c r="BG263" s="260">
        <f>11518+243</f>
        <v>11761</v>
      </c>
      <c r="BH263" s="62" t="s">
        <v>936</v>
      </c>
      <c r="BI263" s="62" t="s">
        <v>935</v>
      </c>
      <c r="BJ263" s="62"/>
      <c r="BK263" s="267"/>
      <c r="BL263" s="267"/>
      <c r="BM263" s="267" t="s">
        <v>1649</v>
      </c>
      <c r="BN263" s="268"/>
      <c r="BO263" s="62">
        <v>35</v>
      </c>
      <c r="BP263" s="63">
        <v>28677</v>
      </c>
      <c r="BQ263" s="64" t="s">
        <v>1131</v>
      </c>
      <c r="BR263" s="372" t="s">
        <v>2747</v>
      </c>
      <c r="BS263" s="62"/>
      <c r="BT263" s="323"/>
      <c r="BU263" s="62"/>
      <c r="BV263" s="323"/>
      <c r="BW263" s="62"/>
      <c r="BX263" s="336"/>
      <c r="BY263" s="336"/>
    </row>
    <row r="264" spans="1:77" ht="13.15" hidden="1" customHeight="1" outlineLevel="1" x14ac:dyDescent="0.2">
      <c r="A264" s="50">
        <f t="shared" si="69"/>
        <v>259</v>
      </c>
      <c r="B264" s="51">
        <v>63</v>
      </c>
      <c r="C264" s="51">
        <v>85</v>
      </c>
      <c r="D264" s="18" t="s">
        <v>488</v>
      </c>
      <c r="E264" s="18">
        <v>10</v>
      </c>
      <c r="F264" s="18">
        <v>1</v>
      </c>
      <c r="G264" s="52">
        <v>1</v>
      </c>
      <c r="H264" s="237">
        <v>1</v>
      </c>
      <c r="I264" s="65">
        <v>1951</v>
      </c>
      <c r="J264" s="349">
        <v>3</v>
      </c>
      <c r="K264" s="346">
        <f t="shared" si="70"/>
        <v>4</v>
      </c>
      <c r="L264" s="346">
        <v>1</v>
      </c>
      <c r="M264" s="349">
        <v>3</v>
      </c>
      <c r="N264" s="255">
        <f t="shared" si="68"/>
        <v>1</v>
      </c>
      <c r="O264" s="310">
        <v>26</v>
      </c>
      <c r="P264" s="66">
        <v>0</v>
      </c>
      <c r="Q264" s="66"/>
      <c r="R264" s="66">
        <v>0</v>
      </c>
      <c r="S264" s="66">
        <v>24</v>
      </c>
      <c r="T264" s="66">
        <v>2</v>
      </c>
      <c r="U264" s="66">
        <v>0</v>
      </c>
      <c r="V264" s="66">
        <v>0</v>
      </c>
      <c r="W264" s="54">
        <v>0</v>
      </c>
      <c r="X264" s="55">
        <f>SUMIFS(Таблица3[Кол-во квартир],Таблица3[Адрес МКД],$D264)</f>
        <v>25</v>
      </c>
      <c r="Y264" s="56">
        <f t="shared" si="59"/>
        <v>2624.3999999999996</v>
      </c>
      <c r="Z264" s="253">
        <f>SUMIFS(Таблица3[Площадь жилая],Таблица3[Адрес МКД],$D264)</f>
        <v>1329.1</v>
      </c>
      <c r="AA264" s="261">
        <f>SUMIFS(Таблица3[Площадь нежилых помещений],Таблица3[Адрес МКД],$D264)</f>
        <v>0</v>
      </c>
      <c r="AB264" s="252">
        <f>SUMIFS(Таблица1[1],Таблица1[2],$D264)</f>
        <v>98.7</v>
      </c>
      <c r="AC264" s="57">
        <f t="shared" si="64"/>
        <v>98.7</v>
      </c>
      <c r="AD264" s="57">
        <f t="shared" si="65"/>
        <v>0</v>
      </c>
      <c r="AE264" s="58">
        <f>SUMIFS(Таблица1[8],Таблица1[2],$D264)+SUMIFS(Таблица1[18],Таблица1[2],$D264)</f>
        <v>0</v>
      </c>
      <c r="AF264" s="58">
        <f>SUMIFS(Таблица1[9],Таблица1[2],$D264)+SUMIFS(Таблица1[19],Таблица1[2],$D264)</f>
        <v>0</v>
      </c>
      <c r="AG264" s="59">
        <f t="shared" si="66"/>
        <v>1196.5999999999999</v>
      </c>
      <c r="AH264" s="59">
        <f t="shared" si="67"/>
        <v>1196.5999999999999</v>
      </c>
      <c r="AI264" s="60">
        <f>425.7-AM264</f>
        <v>425.7</v>
      </c>
      <c r="AJ264" s="60">
        <f t="shared" si="60"/>
        <v>327</v>
      </c>
      <c r="AK264" s="60">
        <f>SUMIFS(Таблица1[10],Таблица1[2],$D264)</f>
        <v>98.7</v>
      </c>
      <c r="AL264" s="60">
        <f>SUMIFS(Таблица1[11],Таблица1[2],$D264)</f>
        <v>0</v>
      </c>
      <c r="AM264" s="251">
        <v>0</v>
      </c>
      <c r="AN264" s="249">
        <f t="shared" si="61"/>
        <v>0</v>
      </c>
      <c r="AO264" s="249">
        <f>SUMIFS(Таблица1[12],Таблица1[2],$D264)</f>
        <v>0</v>
      </c>
      <c r="AP264" s="249">
        <f>SUMIFS(Таблица1[13],Таблица1[2],$D264)</f>
        <v>0</v>
      </c>
      <c r="AQ264" s="61">
        <v>269.10000000000002</v>
      </c>
      <c r="AR264" s="61">
        <f t="shared" si="62"/>
        <v>269.10000000000002</v>
      </c>
      <c r="AS264" s="60">
        <f>SUMIFS(Таблица1[14],Таблица1[2],$D264)</f>
        <v>0</v>
      </c>
      <c r="AT264" s="60">
        <f>SUMIFS(Таблица1[15],Таблица1[2],$D264)</f>
        <v>0</v>
      </c>
      <c r="AU264" s="61">
        <v>600.5</v>
      </c>
      <c r="AV264" s="61">
        <f t="shared" si="63"/>
        <v>600.5</v>
      </c>
      <c r="AW264" s="60">
        <f>SUMIFS(Таблица1[16],Таблица1[2],$D264)</f>
        <v>0</v>
      </c>
      <c r="AX264" s="60">
        <f>SUMIFS(Таблица1[17],Таблица1[2],$D264)</f>
        <v>0</v>
      </c>
      <c r="AY264" s="263">
        <f>Нежилые!G1510</f>
        <v>98.7</v>
      </c>
      <c r="AZ264" s="264"/>
      <c r="BA264" s="296">
        <v>0</v>
      </c>
      <c r="BB264" s="296">
        <f t="shared" si="57"/>
        <v>0</v>
      </c>
      <c r="BC264" s="296">
        <v>0</v>
      </c>
      <c r="BD264" s="296">
        <v>0</v>
      </c>
      <c r="BE264" s="285"/>
      <c r="BF264" s="259">
        <f>1285+593</f>
        <v>1878</v>
      </c>
      <c r="BG264" s="260">
        <v>6254</v>
      </c>
      <c r="BH264" s="62" t="s">
        <v>936</v>
      </c>
      <c r="BI264" s="62" t="s">
        <v>935</v>
      </c>
      <c r="BJ264" s="62"/>
      <c r="BK264" s="267"/>
      <c r="BL264" s="267"/>
      <c r="BM264" s="267" t="s">
        <v>1649</v>
      </c>
      <c r="BN264" s="268"/>
      <c r="BO264" s="62">
        <v>35</v>
      </c>
      <c r="BP264" s="63">
        <v>28677</v>
      </c>
      <c r="BQ264" s="64" t="s">
        <v>1131</v>
      </c>
      <c r="BR264" s="372" t="s">
        <v>2747</v>
      </c>
      <c r="BS264" s="62"/>
      <c r="BT264" s="323"/>
      <c r="BU264" s="62"/>
      <c r="BV264" s="323"/>
      <c r="BW264" s="62"/>
      <c r="BX264" s="336"/>
      <c r="BY264" s="336"/>
    </row>
    <row r="265" spans="1:77" ht="13.15" hidden="1" customHeight="1" outlineLevel="1" x14ac:dyDescent="0.2">
      <c r="A265" s="50">
        <f t="shared" si="69"/>
        <v>260</v>
      </c>
      <c r="B265" s="51">
        <v>64</v>
      </c>
      <c r="C265" s="51">
        <v>60</v>
      </c>
      <c r="D265" s="18" t="s">
        <v>489</v>
      </c>
      <c r="E265" s="18">
        <v>10</v>
      </c>
      <c r="F265" s="18">
        <v>2</v>
      </c>
      <c r="G265" s="52">
        <v>1</v>
      </c>
      <c r="H265" s="237">
        <v>1</v>
      </c>
      <c r="I265" s="65">
        <v>1952</v>
      </c>
      <c r="J265" s="349">
        <v>5</v>
      </c>
      <c r="K265" s="346">
        <f t="shared" si="70"/>
        <v>6</v>
      </c>
      <c r="L265" s="346">
        <v>1</v>
      </c>
      <c r="M265" s="349">
        <v>4</v>
      </c>
      <c r="N265" s="255">
        <f t="shared" si="68"/>
        <v>0</v>
      </c>
      <c r="O265" s="310">
        <v>49</v>
      </c>
      <c r="P265" s="66">
        <v>1</v>
      </c>
      <c r="Q265" s="66"/>
      <c r="R265" s="66">
        <v>0</v>
      </c>
      <c r="S265" s="66">
        <v>41</v>
      </c>
      <c r="T265" s="66">
        <v>8</v>
      </c>
      <c r="U265" s="66">
        <v>0</v>
      </c>
      <c r="V265" s="66">
        <v>0</v>
      </c>
      <c r="W265" s="54">
        <v>0</v>
      </c>
      <c r="X265" s="55">
        <f>SUMIFS(Таблица3[Кол-во квартир],Таблица3[Адрес МКД],$D265)</f>
        <v>48</v>
      </c>
      <c r="Y265" s="56">
        <f t="shared" si="59"/>
        <v>4533.58</v>
      </c>
      <c r="Z265" s="253">
        <f>SUMIFS(Таблица3[Площадь жилая],Таблица3[Адрес МКД],$D265)</f>
        <v>2746.88</v>
      </c>
      <c r="AA265" s="261">
        <f>SUMIFS(Таблица3[Площадь нежилых помещений],Таблица3[Адрес МКД],$D265)</f>
        <v>827.7</v>
      </c>
      <c r="AB265" s="252">
        <f>SUMIFS(Таблица1[1],Таблица1[2],$D265)</f>
        <v>839.1</v>
      </c>
      <c r="AC265" s="57">
        <f t="shared" si="64"/>
        <v>827.7</v>
      </c>
      <c r="AD265" s="57">
        <f t="shared" si="65"/>
        <v>11.4</v>
      </c>
      <c r="AE265" s="58">
        <f>SUMIFS(Таблица1[8],Таблица1[2],$D265)+SUMIFS(Таблица1[18],Таблица1[2],$D265)</f>
        <v>606.20000000000005</v>
      </c>
      <c r="AF265" s="58">
        <f>SUMIFS(Таблица1[9],Таблица1[2],$D265)+SUMIFS(Таблица1[19],Таблица1[2],$D265)</f>
        <v>0</v>
      </c>
      <c r="AG265" s="59">
        <f t="shared" si="66"/>
        <v>947.6</v>
      </c>
      <c r="AH265" s="59">
        <f t="shared" si="67"/>
        <v>959</v>
      </c>
      <c r="AI265" s="60">
        <f>292-AM265</f>
        <v>70.5</v>
      </c>
      <c r="AJ265" s="60">
        <f t="shared" si="60"/>
        <v>70.5</v>
      </c>
      <c r="AK265" s="60">
        <f>SUMIFS(Таблица1[10],Таблица1[2],$D265)</f>
        <v>0</v>
      </c>
      <c r="AL265" s="60">
        <f>SUMIFS(Таблица1[11],Таблица1[2],$D265)</f>
        <v>0</v>
      </c>
      <c r="AM265" s="251">
        <f>76.3+145.2</f>
        <v>221.5</v>
      </c>
      <c r="AN265" s="249">
        <f t="shared" si="61"/>
        <v>0</v>
      </c>
      <c r="AO265" s="249">
        <f>SUMIFS(Таблица1[12],Таблица1[2],$D265)</f>
        <v>221.5</v>
      </c>
      <c r="AP265" s="249">
        <f>SUMIFS(Таблица1[13],Таблица1[2],$D265)</f>
        <v>0</v>
      </c>
      <c r="AQ265" s="61">
        <v>479</v>
      </c>
      <c r="AR265" s="61">
        <f t="shared" si="62"/>
        <v>479</v>
      </c>
      <c r="AS265" s="60">
        <f>SUMIFS(Таблица1[14],Таблица1[2],$D265)</f>
        <v>0</v>
      </c>
      <c r="AT265" s="60">
        <f>SUMIFS(Таблица1[15],Таблица1[2],$D265)</f>
        <v>0</v>
      </c>
      <c r="AU265" s="61">
        <v>409.5</v>
      </c>
      <c r="AV265" s="61">
        <f t="shared" si="63"/>
        <v>398.1</v>
      </c>
      <c r="AW265" s="60">
        <f>SUMIFS(Таблица1[16],Таблица1[2],$D265)</f>
        <v>0</v>
      </c>
      <c r="AX265" s="60">
        <f>SUMIFS(Таблица1[17],Таблица1[2],$D265)</f>
        <v>11.4</v>
      </c>
      <c r="AY265" s="263"/>
      <c r="AZ265" s="264"/>
      <c r="BA265" s="296">
        <v>0</v>
      </c>
      <c r="BB265" s="296">
        <f t="shared" si="57"/>
        <v>0</v>
      </c>
      <c r="BC265" s="296">
        <v>0</v>
      </c>
      <c r="BD265" s="296">
        <v>0</v>
      </c>
      <c r="BE265" s="285"/>
      <c r="BF265" s="259">
        <v>2628</v>
      </c>
      <c r="BG265" s="260">
        <v>14453</v>
      </c>
      <c r="BH265" s="62" t="s">
        <v>939</v>
      </c>
      <c r="BI265" s="62" t="s">
        <v>944</v>
      </c>
      <c r="BJ265" s="62" t="s">
        <v>944</v>
      </c>
      <c r="BK265" s="267"/>
      <c r="BL265" s="267"/>
      <c r="BM265" s="267" t="s">
        <v>1649</v>
      </c>
      <c r="BN265" s="268"/>
      <c r="BO265" s="62">
        <v>21</v>
      </c>
      <c r="BP265" s="63">
        <v>28695</v>
      </c>
      <c r="BQ265" s="64" t="s">
        <v>1131</v>
      </c>
      <c r="BR265" s="372" t="s">
        <v>2747</v>
      </c>
      <c r="BS265" s="62"/>
      <c r="BT265" s="323"/>
      <c r="BU265" s="62"/>
      <c r="BV265" s="323"/>
      <c r="BW265" s="62"/>
      <c r="BX265" s="336"/>
      <c r="BY265" s="336"/>
    </row>
    <row r="266" spans="1:77" ht="13.15" hidden="1" customHeight="1" outlineLevel="1" x14ac:dyDescent="0.2">
      <c r="A266" s="50">
        <f t="shared" si="69"/>
        <v>261</v>
      </c>
      <c r="B266" s="51">
        <v>33</v>
      </c>
      <c r="C266" s="51">
        <v>61</v>
      </c>
      <c r="D266" s="18" t="s">
        <v>527</v>
      </c>
      <c r="E266" s="18">
        <v>11</v>
      </c>
      <c r="F266" s="18">
        <v>2</v>
      </c>
      <c r="G266" s="52">
        <v>1</v>
      </c>
      <c r="H266" s="237">
        <v>1</v>
      </c>
      <c r="I266" s="65">
        <v>1957</v>
      </c>
      <c r="J266" s="349">
        <v>8</v>
      </c>
      <c r="K266" s="346">
        <f t="shared" si="70"/>
        <v>9</v>
      </c>
      <c r="L266" s="346">
        <v>1</v>
      </c>
      <c r="M266" s="349">
        <v>1</v>
      </c>
      <c r="N266" s="255">
        <f t="shared" si="68"/>
        <v>0</v>
      </c>
      <c r="O266" s="310">
        <v>35</v>
      </c>
      <c r="P266" s="66">
        <v>2</v>
      </c>
      <c r="Q266" s="66"/>
      <c r="R266" s="66">
        <v>0</v>
      </c>
      <c r="S266" s="66">
        <v>17</v>
      </c>
      <c r="T266" s="66">
        <v>14</v>
      </c>
      <c r="U266" s="66">
        <v>1</v>
      </c>
      <c r="V266" s="66">
        <v>3</v>
      </c>
      <c r="W266" s="54">
        <v>0</v>
      </c>
      <c r="X266" s="55">
        <f>SUMIFS(Таблица3[Кол-во квартир],Таблица3[Адрес МКД],$D266)</f>
        <v>33</v>
      </c>
      <c r="Y266" s="56">
        <f t="shared" si="59"/>
        <v>3937.9</v>
      </c>
      <c r="Z266" s="253">
        <f>SUMIFS(Таблица3[Площадь жилая],Таблица3[Адрес МКД],$D266)</f>
        <v>2481.4</v>
      </c>
      <c r="AA266" s="261">
        <f>SUMIFS(Таблица3[Площадь нежилых помещений],Таблица3[Адрес МКД],$D266)</f>
        <v>499.5</v>
      </c>
      <c r="AB266" s="252">
        <f>SUMIFS(Таблица1[1],Таблица1[2],$D266)</f>
        <v>499.5</v>
      </c>
      <c r="AC266" s="57">
        <f t="shared" si="64"/>
        <v>499.50000000000006</v>
      </c>
      <c r="AD266" s="57">
        <f t="shared" si="65"/>
        <v>0</v>
      </c>
      <c r="AE266" s="58">
        <f>SUMIFS(Таблица1[8],Таблица1[2],$D266)+SUMIFS(Таблица1[18],Таблица1[2],$D266)</f>
        <v>280.90000000000003</v>
      </c>
      <c r="AF266" s="58">
        <f>SUMIFS(Таблица1[9],Таблица1[2],$D266)+SUMIFS(Таблица1[19],Таблица1[2],$D266)</f>
        <v>0</v>
      </c>
      <c r="AG266" s="59">
        <f>AJ266+AR266+AV266+AZ266</f>
        <v>957</v>
      </c>
      <c r="AH266" s="59">
        <f>AJ266+AL266+AR266+AT266+AV266+AX266+AZ266</f>
        <v>957</v>
      </c>
      <c r="AI266" s="60">
        <f>346.1-AM266</f>
        <v>346.1</v>
      </c>
      <c r="AJ266" s="60">
        <f t="shared" si="60"/>
        <v>141.20000000000002</v>
      </c>
      <c r="AK266" s="60">
        <f>SUMIFS(Таблица1[10],Таблица1[2],$D266)</f>
        <v>204.9</v>
      </c>
      <c r="AL266" s="60">
        <f>SUMIFS(Таблица1[11],Таблица1[2],$D266)</f>
        <v>0</v>
      </c>
      <c r="AM266" s="251">
        <v>0</v>
      </c>
      <c r="AN266" s="249">
        <f t="shared" si="61"/>
        <v>0</v>
      </c>
      <c r="AO266" s="249">
        <f>SUMIFS(Таблица1[12],Таблица1[2],$D266)</f>
        <v>0</v>
      </c>
      <c r="AP266" s="249">
        <f>SUMIFS(Таблица1[13],Таблица1[2],$D266)</f>
        <v>0</v>
      </c>
      <c r="AQ266" s="61">
        <f>188.7+2.4</f>
        <v>191.1</v>
      </c>
      <c r="AR266" s="61">
        <f t="shared" si="62"/>
        <v>177.4</v>
      </c>
      <c r="AS266" s="60">
        <f>SUMIFS(Таблица1[14],Таблица1[2],$D266)</f>
        <v>13.7</v>
      </c>
      <c r="AT266" s="60">
        <f>SUMIFS(Таблица1[15],Таблица1[2],$D266)</f>
        <v>0</v>
      </c>
      <c r="AU266" s="61">
        <v>449</v>
      </c>
      <c r="AV266" s="61">
        <f t="shared" si="63"/>
        <v>449</v>
      </c>
      <c r="AW266" s="60">
        <f>SUMIFS(Таблица1[16],Таблица1[2],$D266)</f>
        <v>0</v>
      </c>
      <c r="AX266" s="60">
        <f>SUMIFS(Таблица1[17],Таблица1[2],$D266)</f>
        <v>0</v>
      </c>
      <c r="AY266" s="263"/>
      <c r="AZ266" s="264">
        <f>22.8+21.7+21.5+21.9+22.1+22.2+18.9+19+19.3</f>
        <v>189.4</v>
      </c>
      <c r="BA266" s="296">
        <v>0</v>
      </c>
      <c r="BB266" s="296">
        <f t="shared" si="57"/>
        <v>0</v>
      </c>
      <c r="BC266" s="296">
        <v>0</v>
      </c>
      <c r="BD266" s="296">
        <v>0</v>
      </c>
      <c r="BE266" s="285"/>
      <c r="BF266" s="259">
        <v>1415</v>
      </c>
      <c r="BG266" s="260">
        <f>14584</f>
        <v>14584</v>
      </c>
      <c r="BH266" s="62" t="s">
        <v>936</v>
      </c>
      <c r="BI266" s="62" t="s">
        <v>935</v>
      </c>
      <c r="BJ266" s="62" t="s">
        <v>944</v>
      </c>
      <c r="BK266" s="267"/>
      <c r="BL266" s="267"/>
      <c r="BM266" s="267" t="s">
        <v>1649</v>
      </c>
      <c r="BN266" s="268">
        <v>1</v>
      </c>
      <c r="BO266" s="62">
        <v>32</v>
      </c>
      <c r="BP266" s="63">
        <v>28229</v>
      </c>
      <c r="BQ266" s="64" t="s">
        <v>1131</v>
      </c>
      <c r="BR266" s="372" t="s">
        <v>2747</v>
      </c>
      <c r="BS266" s="62"/>
      <c r="BT266" s="323"/>
      <c r="BU266" s="62"/>
      <c r="BV266" s="323"/>
      <c r="BW266" s="62"/>
      <c r="BX266" s="336"/>
      <c r="BY266" s="336" t="s">
        <v>1649</v>
      </c>
    </row>
    <row r="267" spans="1:77" ht="13.15" hidden="1" customHeight="1" outlineLevel="1" x14ac:dyDescent="0.2">
      <c r="A267" s="50">
        <f t="shared" si="69"/>
        <v>262</v>
      </c>
      <c r="B267" s="51">
        <v>40</v>
      </c>
      <c r="C267" s="51">
        <v>86</v>
      </c>
      <c r="D267" s="18" t="s">
        <v>387</v>
      </c>
      <c r="E267" s="18">
        <v>9</v>
      </c>
      <c r="F267" s="18">
        <v>1</v>
      </c>
      <c r="G267" s="52">
        <v>1</v>
      </c>
      <c r="H267" s="237">
        <v>1</v>
      </c>
      <c r="I267" s="65">
        <v>1952</v>
      </c>
      <c r="J267" s="349">
        <v>5</v>
      </c>
      <c r="K267" s="346">
        <f t="shared" si="70"/>
        <v>6</v>
      </c>
      <c r="L267" s="346">
        <v>1</v>
      </c>
      <c r="M267" s="349">
        <v>5</v>
      </c>
      <c r="N267" s="255">
        <f t="shared" si="68"/>
        <v>3</v>
      </c>
      <c r="O267" s="310">
        <v>63</v>
      </c>
      <c r="P267" s="66">
        <v>2</v>
      </c>
      <c r="Q267" s="66"/>
      <c r="R267" s="66">
        <v>0</v>
      </c>
      <c r="S267" s="66">
        <v>61</v>
      </c>
      <c r="T267" s="66">
        <v>0</v>
      </c>
      <c r="U267" s="66">
        <v>2</v>
      </c>
      <c r="V267" s="66">
        <v>0</v>
      </c>
      <c r="W267" s="54">
        <v>0</v>
      </c>
      <c r="X267" s="55">
        <f>SUMIFS(Таблица3[Кол-во квартир],Таблица3[Адрес МКД],$D267)</f>
        <v>58</v>
      </c>
      <c r="Y267" s="56">
        <f t="shared" si="59"/>
        <v>6400</v>
      </c>
      <c r="Z267" s="253">
        <f>SUMIFS(Таблица3[Площадь жилая],Таблица3[Адрес МКД],$D267)</f>
        <v>3258.2000000000003</v>
      </c>
      <c r="AA267" s="261">
        <f>SUMIFS(Таблица3[Площадь нежилых помещений],Таблица3[Адрес МКД],$D267)</f>
        <v>974.4</v>
      </c>
      <c r="AB267" s="252">
        <f>SUMIFS(Таблица1[1],Таблица1[2],$D267)</f>
        <v>982.99999999999989</v>
      </c>
      <c r="AC267" s="57">
        <f t="shared" si="64"/>
        <v>968</v>
      </c>
      <c r="AD267" s="57">
        <f t="shared" si="65"/>
        <v>15</v>
      </c>
      <c r="AE267" s="58">
        <f>SUMIFS(Таблица1[8],Таблица1[2],$D267)+SUMIFS(Таблица1[18],Таблица1[2],$D267)</f>
        <v>786.19999999999993</v>
      </c>
      <c r="AF267" s="58">
        <f>SUMIFS(Таблица1[9],Таблица1[2],$D267)+SUMIFS(Таблица1[19],Таблица1[2],$D267)</f>
        <v>0</v>
      </c>
      <c r="AG267" s="59">
        <f t="shared" si="66"/>
        <v>2152.4</v>
      </c>
      <c r="AH267" s="59">
        <f t="shared" si="67"/>
        <v>2167.4</v>
      </c>
      <c r="AI267" s="60">
        <f>685.1-AM267</f>
        <v>496.90000000000003</v>
      </c>
      <c r="AJ267" s="60">
        <f t="shared" si="60"/>
        <v>496.90000000000003</v>
      </c>
      <c r="AK267" s="60">
        <f>SUMIFS(Таблица1[10],Таблица1[2],$D267)</f>
        <v>0</v>
      </c>
      <c r="AL267" s="60">
        <f>SUMIFS(Таблица1[11],Таблица1[2],$D267)</f>
        <v>0</v>
      </c>
      <c r="AM267" s="251">
        <f>63+125.2</f>
        <v>188.2</v>
      </c>
      <c r="AN267" s="249">
        <f t="shared" si="61"/>
        <v>6.3999999999999773</v>
      </c>
      <c r="AO267" s="249">
        <f>SUMIFS(Таблица1[12],Таблица1[2],$D267)</f>
        <v>181.8</v>
      </c>
      <c r="AP267" s="249">
        <f>SUMIFS(Таблица1[13],Таблица1[2],$D267)</f>
        <v>0</v>
      </c>
      <c r="AQ267" s="61">
        <f>717.3</f>
        <v>717.3</v>
      </c>
      <c r="AR267" s="61">
        <f t="shared" si="62"/>
        <v>702.3</v>
      </c>
      <c r="AS267" s="60">
        <f>SUMIFS(Таблица1[14],Таблица1[2],$D267)</f>
        <v>0</v>
      </c>
      <c r="AT267" s="60">
        <f>SUMIFS(Таблица1[15],Таблица1[2],$D267)</f>
        <v>15</v>
      </c>
      <c r="AU267" s="61">
        <v>953.2</v>
      </c>
      <c r="AV267" s="61">
        <f t="shared" si="63"/>
        <v>953.2</v>
      </c>
      <c r="AW267" s="60">
        <f>SUMIFS(Таблица1[16],Таблица1[2],$D267)</f>
        <v>0</v>
      </c>
      <c r="AX267" s="60">
        <f>SUMIFS(Таблица1[17],Таблица1[2],$D267)</f>
        <v>0</v>
      </c>
      <c r="AY267" s="263"/>
      <c r="AZ267" s="264"/>
      <c r="BA267" s="296">
        <v>0</v>
      </c>
      <c r="BB267" s="296">
        <f t="shared" si="57"/>
        <v>0</v>
      </c>
      <c r="BC267" s="296">
        <v>0</v>
      </c>
      <c r="BD267" s="296">
        <v>0</v>
      </c>
      <c r="BE267" s="285"/>
      <c r="BF267" s="259">
        <v>3298</v>
      </c>
      <c r="BG267" s="260">
        <f>1709+3113+738+14275+66+65+84</f>
        <v>20050</v>
      </c>
      <c r="BH267" s="62" t="s">
        <v>939</v>
      </c>
      <c r="BI267" s="62" t="s">
        <v>944</v>
      </c>
      <c r="BJ267" s="62"/>
      <c r="BK267" s="267"/>
      <c r="BL267" s="267"/>
      <c r="BM267" s="267" t="s">
        <v>1649</v>
      </c>
      <c r="BN267" s="268"/>
      <c r="BO267" s="62">
        <v>25</v>
      </c>
      <c r="BP267" s="63">
        <v>31027</v>
      </c>
      <c r="BQ267" s="64" t="s">
        <v>1131</v>
      </c>
      <c r="BR267" s="372" t="s">
        <v>2747</v>
      </c>
      <c r="BS267" s="62"/>
      <c r="BT267" s="323"/>
      <c r="BU267" s="62"/>
      <c r="BV267" s="323"/>
      <c r="BW267" s="62"/>
      <c r="BX267" s="336"/>
      <c r="BY267" s="336"/>
    </row>
    <row r="268" spans="1:77" ht="13.15" hidden="1" customHeight="1" outlineLevel="1" x14ac:dyDescent="0.2">
      <c r="A268" s="50">
        <f t="shared" si="69"/>
        <v>263</v>
      </c>
      <c r="B268" s="51">
        <v>65</v>
      </c>
      <c r="C268" s="51">
        <v>87</v>
      </c>
      <c r="D268" s="18" t="s">
        <v>490</v>
      </c>
      <c r="E268" s="18">
        <v>10</v>
      </c>
      <c r="F268" s="18">
        <v>1</v>
      </c>
      <c r="G268" s="52">
        <v>1</v>
      </c>
      <c r="H268" s="237">
        <v>1</v>
      </c>
      <c r="I268" s="65">
        <v>1957</v>
      </c>
      <c r="J268" s="351">
        <v>5.7</v>
      </c>
      <c r="K268" s="345">
        <v>6.8</v>
      </c>
      <c r="L268" s="346">
        <v>1</v>
      </c>
      <c r="M268" s="353">
        <v>2.5</v>
      </c>
      <c r="N268" s="255">
        <f t="shared" si="68"/>
        <v>2</v>
      </c>
      <c r="O268" s="310">
        <v>48</v>
      </c>
      <c r="P268" s="66">
        <v>0</v>
      </c>
      <c r="Q268" s="66"/>
      <c r="R268" s="66">
        <v>4</v>
      </c>
      <c r="S268" s="66">
        <v>20</v>
      </c>
      <c r="T268" s="66">
        <v>24</v>
      </c>
      <c r="U268" s="66">
        <v>0</v>
      </c>
      <c r="V268" s="66">
        <v>0</v>
      </c>
      <c r="W268" s="54">
        <v>0</v>
      </c>
      <c r="X268" s="55">
        <f>SUMIFS(Таблица3[Кол-во квартир],Таблица3[Адрес МКД],$D268)</f>
        <v>46</v>
      </c>
      <c r="Y268" s="56">
        <f t="shared" si="59"/>
        <v>6858.5</v>
      </c>
      <c r="Z268" s="253">
        <f>SUMIFS(Таблица3[Площадь жилая],Таблица3[Адрес МКД],$D268)</f>
        <v>3258.4</v>
      </c>
      <c r="AA268" s="261">
        <f>SUMIFS(Таблица3[Площадь нежилых помещений],Таблица3[Адрес МКД],$D268)</f>
        <v>2106.6999999999998</v>
      </c>
      <c r="AB268" s="252">
        <f>SUMIFS(Таблица1[1],Таблица1[2],$D268)</f>
        <v>2106.6999999999998</v>
      </c>
      <c r="AC268" s="57">
        <f>AE268+AK268+AO268+AS268+AW268</f>
        <v>2106.6999999999998</v>
      </c>
      <c r="AD268" s="57">
        <f t="shared" si="65"/>
        <v>0</v>
      </c>
      <c r="AE268" s="58">
        <f>Нежилые!S1519+Нежилые!S1520+Нежилые!I1519+Нежилые!I1520+Нежилые!I1522</f>
        <v>1355.6</v>
      </c>
      <c r="AF268" s="58">
        <f>SUMIFS(Таблица1[9],Таблица1[2],$D268)+SUMIFS(Таблица1[19],Таблица1[2],$D268)</f>
        <v>0</v>
      </c>
      <c r="AG268" s="59">
        <f>AJ268+AR268+AV268+AZ268</f>
        <v>1493.4</v>
      </c>
      <c r="AH268" s="59">
        <f>AJ268+AL268+AR268+AT268+AV268+AX268+AZ268</f>
        <v>1493.4</v>
      </c>
      <c r="AI268" s="60">
        <f>751.1-AM268</f>
        <v>751.1</v>
      </c>
      <c r="AJ268" s="60">
        <f t="shared" si="60"/>
        <v>0</v>
      </c>
      <c r="AK268" s="60">
        <f>SUMIFS(Таблица1[10],Таблица1[2],$D268)+Нежилые!S1521</f>
        <v>751.1</v>
      </c>
      <c r="AL268" s="60">
        <f>SUMIFS(Таблица1[11],Таблица1[2],$D268)</f>
        <v>0</v>
      </c>
      <c r="AM268" s="251">
        <v>0</v>
      </c>
      <c r="AN268" s="249">
        <f t="shared" si="61"/>
        <v>0</v>
      </c>
      <c r="AO268" s="249">
        <f>SUMIFS(Таблица1[12],Таблица1[2],$D268)</f>
        <v>0</v>
      </c>
      <c r="AP268" s="249">
        <f>SUMIFS(Таблица1[13],Таблица1[2],$D268)</f>
        <v>0</v>
      </c>
      <c r="AQ268" s="61">
        <f>660.3</f>
        <v>660.3</v>
      </c>
      <c r="AR268" s="61">
        <f t="shared" si="62"/>
        <v>660.3</v>
      </c>
      <c r="AS268" s="60">
        <f>SUMIFS(Таблица1[14],Таблица1[2],$D268)</f>
        <v>0</v>
      </c>
      <c r="AT268" s="60">
        <f>SUMIFS(Таблица1[15],Таблица1[2],$D268)</f>
        <v>0</v>
      </c>
      <c r="AU268" s="61">
        <v>735.6</v>
      </c>
      <c r="AV268" s="61">
        <f t="shared" si="63"/>
        <v>735.6</v>
      </c>
      <c r="AW268" s="60">
        <f>SUMIFS(Таблица1[16],Таблица1[2],$D268)</f>
        <v>0</v>
      </c>
      <c r="AX268" s="60">
        <f>SUMIFS(Таблица1[17],Таблица1[2],$D268)</f>
        <v>0</v>
      </c>
      <c r="AY268" s="263"/>
      <c r="AZ268" s="264">
        <v>97.5</v>
      </c>
      <c r="BA268" s="296">
        <v>0</v>
      </c>
      <c r="BB268" s="296">
        <f t="shared" si="57"/>
        <v>0</v>
      </c>
      <c r="BC268" s="296">
        <v>0</v>
      </c>
      <c r="BD268" s="296">
        <v>0</v>
      </c>
      <c r="BE268" s="285" t="s">
        <v>1649</v>
      </c>
      <c r="BF268" s="259">
        <v>2040</v>
      </c>
      <c r="BG268" s="260">
        <v>7984</v>
      </c>
      <c r="BH268" s="62" t="s">
        <v>936</v>
      </c>
      <c r="BI268" s="62" t="s">
        <v>935</v>
      </c>
      <c r="BJ268" s="62" t="s">
        <v>2722</v>
      </c>
      <c r="BK268" s="267"/>
      <c r="BL268" s="267"/>
      <c r="BM268" s="267" t="s">
        <v>1649</v>
      </c>
      <c r="BN268" s="268">
        <v>2</v>
      </c>
      <c r="BO268" s="62">
        <v>49</v>
      </c>
      <c r="BP268" s="63">
        <v>44085</v>
      </c>
      <c r="BQ268" s="64" t="s">
        <v>1131</v>
      </c>
      <c r="BR268" s="372" t="s">
        <v>2747</v>
      </c>
      <c r="BS268" s="62"/>
      <c r="BT268" s="323"/>
      <c r="BU268" s="62"/>
      <c r="BV268" s="323"/>
      <c r="BW268" s="62"/>
      <c r="BX268" s="336"/>
      <c r="BY268" s="336"/>
    </row>
    <row r="269" spans="1:77" ht="13.15" hidden="1" customHeight="1" outlineLevel="1" x14ac:dyDescent="0.2">
      <c r="A269" s="50">
        <f t="shared" si="69"/>
        <v>264</v>
      </c>
      <c r="B269" s="51">
        <v>41</v>
      </c>
      <c r="C269" s="51">
        <v>88</v>
      </c>
      <c r="D269" s="18" t="s">
        <v>388</v>
      </c>
      <c r="E269" s="18">
        <v>9</v>
      </c>
      <c r="F269" s="18">
        <v>1</v>
      </c>
      <c r="G269" s="52">
        <v>1</v>
      </c>
      <c r="H269" s="237">
        <v>1</v>
      </c>
      <c r="I269" s="65">
        <v>1956</v>
      </c>
      <c r="J269" s="349">
        <v>8</v>
      </c>
      <c r="K269" s="346">
        <f t="shared" si="70"/>
        <v>9</v>
      </c>
      <c r="L269" s="346">
        <v>1</v>
      </c>
      <c r="M269" s="349">
        <v>1</v>
      </c>
      <c r="N269" s="255">
        <f t="shared" si="68"/>
        <v>0</v>
      </c>
      <c r="O269" s="310">
        <v>36</v>
      </c>
      <c r="P269" s="327">
        <v>4</v>
      </c>
      <c r="Q269" s="66"/>
      <c r="R269" s="66">
        <v>1</v>
      </c>
      <c r="S269" s="66">
        <v>14</v>
      </c>
      <c r="T269" s="66">
        <v>18</v>
      </c>
      <c r="U269" s="66">
        <v>3</v>
      </c>
      <c r="V269" s="66">
        <v>0</v>
      </c>
      <c r="W269" s="54">
        <v>0</v>
      </c>
      <c r="X269" s="55">
        <f>SUMIFS(Таблица3[Кол-во квартир],Таблица3[Адрес МКД],$D269)</f>
        <v>32</v>
      </c>
      <c r="Y269" s="56">
        <f t="shared" si="59"/>
        <v>4071.07</v>
      </c>
      <c r="Z269" s="253">
        <f>SUMIFS(Таблица3[Площадь жилая],Таблица3[Адрес МКД],$D269)</f>
        <v>2542.5700000000002</v>
      </c>
      <c r="AA269" s="261">
        <f>SUMIFS(Таблица3[Площадь нежилых помещений],Таблица3[Адрес МКД],$D269)</f>
        <v>347.1</v>
      </c>
      <c r="AB269" s="252">
        <f>SUMIFS(Таблица1[1],Таблица1[2],$D269)</f>
        <v>347.09999999999997</v>
      </c>
      <c r="AC269" s="57">
        <f t="shared" si="64"/>
        <v>347.09999999999997</v>
      </c>
      <c r="AD269" s="57">
        <f t="shared" si="65"/>
        <v>0</v>
      </c>
      <c r="AE269" s="58">
        <f>SUMIFS(Таблица1[8],Таблица1[2],$D269)+SUMIFS(Таблица1[18],Таблица1[2],$D269)</f>
        <v>347.09999999999997</v>
      </c>
      <c r="AF269" s="58">
        <f>SUMIFS(Таблица1[9],Таблица1[2],$D269)+SUMIFS(Таблица1[19],Таблица1[2],$D269)</f>
        <v>0</v>
      </c>
      <c r="AG269" s="59">
        <f>AJ269+AR269+AV269+AZ269+BB269</f>
        <v>1181.4000000000001</v>
      </c>
      <c r="AH269" s="59">
        <f>AJ269+AL269+AR269+AT269+AV269+AX269+AZ269+BB269+BD269</f>
        <v>1181.4000000000001</v>
      </c>
      <c r="AI269" s="60">
        <f>368.6-AM269</f>
        <v>368.6</v>
      </c>
      <c r="AJ269" s="60">
        <f t="shared" si="60"/>
        <v>368.6</v>
      </c>
      <c r="AK269" s="60">
        <f>SUMIFS(Таблица1[10],Таблица1[2],$D269)</f>
        <v>0</v>
      </c>
      <c r="AL269" s="60">
        <f>SUMIFS(Таблица1[11],Таблица1[2],$D269)</f>
        <v>0</v>
      </c>
      <c r="AM269" s="251">
        <v>0</v>
      </c>
      <c r="AN269" s="249">
        <f t="shared" si="61"/>
        <v>0</v>
      </c>
      <c r="AO269" s="249">
        <f>SUMIFS(Таблица1[12],Таблица1[2],$D269)</f>
        <v>0</v>
      </c>
      <c r="AP269" s="249">
        <f>SUMIFS(Таблица1[13],Таблица1[2],$D269)</f>
        <v>0</v>
      </c>
      <c r="AQ269" s="61">
        <f>195.2+2.5</f>
        <v>197.7</v>
      </c>
      <c r="AR269" s="61">
        <f t="shared" si="62"/>
        <v>197.7</v>
      </c>
      <c r="AS269" s="60">
        <f>SUMIFS(Таблица1[14],Таблица1[2],$D269)</f>
        <v>0</v>
      </c>
      <c r="AT269" s="60">
        <f>SUMIFS(Таблица1[15],Таблица1[2],$D269)</f>
        <v>0</v>
      </c>
      <c r="AU269" s="61">
        <v>434.7</v>
      </c>
      <c r="AV269" s="61">
        <f t="shared" si="63"/>
        <v>434.7</v>
      </c>
      <c r="AW269" s="60">
        <f>SUMIFS(Таблица1[16],Таблица1[2],$D269)</f>
        <v>0</v>
      </c>
      <c r="AX269" s="60">
        <f>SUMIFS(Таблица1[17],Таблица1[2],$D269)</f>
        <v>0</v>
      </c>
      <c r="AY269" s="263"/>
      <c r="AZ269" s="264">
        <f>46+19.7+20+20.1+20.5+18.3+18+17.8</f>
        <v>180.40000000000003</v>
      </c>
      <c r="BA269" s="296">
        <v>36.700000000000003</v>
      </c>
      <c r="BB269" s="296">
        <f t="shared" si="57"/>
        <v>0</v>
      </c>
      <c r="BC269" s="296">
        <f>Нежилые!I1330</f>
        <v>36.700000000000003</v>
      </c>
      <c r="BD269" s="296">
        <v>0</v>
      </c>
      <c r="BE269" s="285" t="s">
        <v>1649</v>
      </c>
      <c r="BF269" s="259">
        <v>1341</v>
      </c>
      <c r="BG269" s="260">
        <f>1654+11597</f>
        <v>13251</v>
      </c>
      <c r="BH269" s="62" t="s">
        <v>939</v>
      </c>
      <c r="BI269" s="62" t="s">
        <v>935</v>
      </c>
      <c r="BJ269" s="62" t="s">
        <v>944</v>
      </c>
      <c r="BK269" s="267"/>
      <c r="BL269" s="267"/>
      <c r="BM269" s="267" t="s">
        <v>1649</v>
      </c>
      <c r="BN269" s="268">
        <v>1</v>
      </c>
      <c r="BO269" s="62">
        <v>18</v>
      </c>
      <c r="BP269" s="63">
        <v>30391</v>
      </c>
      <c r="BQ269" s="64" t="s">
        <v>1131</v>
      </c>
      <c r="BR269" s="372" t="s">
        <v>2747</v>
      </c>
      <c r="BS269" s="62"/>
      <c r="BT269" s="323"/>
      <c r="BU269" s="62"/>
      <c r="BV269" s="323"/>
      <c r="BW269" s="62"/>
      <c r="BX269" s="336"/>
      <c r="BY269" s="336"/>
    </row>
    <row r="270" spans="1:77" ht="13.15" hidden="1" customHeight="1" outlineLevel="1" x14ac:dyDescent="0.2">
      <c r="A270" s="50">
        <f t="shared" si="69"/>
        <v>265</v>
      </c>
      <c r="B270" s="68">
        <v>42</v>
      </c>
      <c r="C270" s="68">
        <v>89</v>
      </c>
      <c r="D270" s="18" t="s">
        <v>389</v>
      </c>
      <c r="E270" s="18">
        <v>9</v>
      </c>
      <c r="F270" s="18">
        <v>1</v>
      </c>
      <c r="G270" s="52">
        <v>1</v>
      </c>
      <c r="H270" s="237">
        <v>1</v>
      </c>
      <c r="I270" s="65">
        <v>1952</v>
      </c>
      <c r="J270" s="349">
        <v>4</v>
      </c>
      <c r="K270" s="346">
        <f t="shared" si="70"/>
        <v>5</v>
      </c>
      <c r="L270" s="346">
        <v>1</v>
      </c>
      <c r="M270" s="349">
        <v>1</v>
      </c>
      <c r="N270" s="255">
        <f t="shared" si="68"/>
        <v>0</v>
      </c>
      <c r="O270" s="310">
        <v>6</v>
      </c>
      <c r="P270" s="66">
        <v>0</v>
      </c>
      <c r="Q270" s="66"/>
      <c r="R270" s="66">
        <v>0</v>
      </c>
      <c r="S270" s="66">
        <v>0</v>
      </c>
      <c r="T270" s="66">
        <v>4</v>
      </c>
      <c r="U270" s="66">
        <v>2</v>
      </c>
      <c r="V270" s="66">
        <v>0</v>
      </c>
      <c r="W270" s="54">
        <v>0</v>
      </c>
      <c r="X270" s="55">
        <f>SUMIFS(Таблица3[Кол-во квартир],Таблица3[Адрес МКД],$D270)</f>
        <v>6</v>
      </c>
      <c r="Y270" s="56">
        <f t="shared" si="59"/>
        <v>881.90000000000009</v>
      </c>
      <c r="Z270" s="253">
        <f>SUMIFS(Таблица3[Площадь жилая],Таблица3[Адрес МКД],$D270)</f>
        <v>442.8</v>
      </c>
      <c r="AA270" s="261">
        <f>SUMIFS(Таблица3[Площадь нежилых помещений],Таблица3[Адрес МКД],$D270)</f>
        <v>13.6</v>
      </c>
      <c r="AB270" s="252">
        <f>SUMIFS(Таблица1[1],Таблица1[2],$D270)</f>
        <v>13.6</v>
      </c>
      <c r="AC270" s="57">
        <f t="shared" si="64"/>
        <v>13.6</v>
      </c>
      <c r="AD270" s="57">
        <f t="shared" si="65"/>
        <v>0</v>
      </c>
      <c r="AE270" s="58">
        <f>SUMIFS(Таблица1[8],Таблица1[2],$D270)+SUMIFS(Таблица1[18],Таблица1[2],$D270)</f>
        <v>13.6</v>
      </c>
      <c r="AF270" s="58">
        <f>SUMIFS(Таблица1[9],Таблица1[2],$D270)+SUMIFS(Таблица1[19],Таблица1[2],$D270)</f>
        <v>0</v>
      </c>
      <c r="AG270" s="59">
        <f t="shared" si="66"/>
        <v>425.5</v>
      </c>
      <c r="AH270" s="59">
        <f t="shared" si="67"/>
        <v>425.5</v>
      </c>
      <c r="AI270" s="60">
        <f>60.6-AM270</f>
        <v>60.6</v>
      </c>
      <c r="AJ270" s="60">
        <f t="shared" si="60"/>
        <v>60.6</v>
      </c>
      <c r="AK270" s="60">
        <f>SUMIFS(Таблица1[10],Таблица1[2],$D270)</f>
        <v>0</v>
      </c>
      <c r="AL270" s="60">
        <f>SUMIFS(Таблица1[11],Таблица1[2],$D270)</f>
        <v>0</v>
      </c>
      <c r="AM270" s="251">
        <v>0</v>
      </c>
      <c r="AN270" s="249">
        <f t="shared" si="61"/>
        <v>0</v>
      </c>
      <c r="AO270" s="249">
        <f>SUMIFS(Таблица1[12],Таблица1[2],$D270)</f>
        <v>0</v>
      </c>
      <c r="AP270" s="249">
        <f>SUMIFS(Таблица1[13],Таблица1[2],$D270)</f>
        <v>0</v>
      </c>
      <c r="AQ270" s="61">
        <v>102.9</v>
      </c>
      <c r="AR270" s="61">
        <f t="shared" si="62"/>
        <v>102.9</v>
      </c>
      <c r="AS270" s="60">
        <f>SUMIFS(Таблица1[14],Таблица1[2],$D270)</f>
        <v>0</v>
      </c>
      <c r="AT270" s="60">
        <f>SUMIFS(Таблица1[15],Таблица1[2],$D270)</f>
        <v>0</v>
      </c>
      <c r="AU270" s="61">
        <v>262</v>
      </c>
      <c r="AV270" s="61">
        <f t="shared" si="63"/>
        <v>262</v>
      </c>
      <c r="AW270" s="60">
        <f>SUMIFS(Таблица1[16],Таблица1[2],$D270)</f>
        <v>0</v>
      </c>
      <c r="AX270" s="60">
        <f>SUMIFS(Таблица1[17],Таблица1[2],$D270)</f>
        <v>0</v>
      </c>
      <c r="AY270" s="263"/>
      <c r="AZ270" s="264"/>
      <c r="BA270" s="296">
        <v>0</v>
      </c>
      <c r="BB270" s="296">
        <f t="shared" si="57"/>
        <v>0</v>
      </c>
      <c r="BC270" s="296">
        <v>0</v>
      </c>
      <c r="BD270" s="296">
        <v>0</v>
      </c>
      <c r="BE270" s="285"/>
      <c r="BF270" s="259">
        <v>832</v>
      </c>
      <c r="BG270" s="260">
        <f>389+1938</f>
        <v>2327</v>
      </c>
      <c r="BH270" s="62" t="s">
        <v>939</v>
      </c>
      <c r="BI270" s="62" t="s">
        <v>944</v>
      </c>
      <c r="BJ270" s="62"/>
      <c r="BK270" s="267"/>
      <c r="BL270" s="267"/>
      <c r="BM270" s="267" t="s">
        <v>1649</v>
      </c>
      <c r="BN270" s="268"/>
      <c r="BO270" s="62">
        <v>26</v>
      </c>
      <c r="BP270" s="63">
        <v>31027</v>
      </c>
      <c r="BQ270" s="64" t="s">
        <v>1131</v>
      </c>
      <c r="BR270" s="372" t="s">
        <v>2747</v>
      </c>
      <c r="BS270" s="62"/>
      <c r="BT270" s="323"/>
      <c r="BU270" s="62"/>
      <c r="BV270" s="323"/>
      <c r="BW270" s="62"/>
      <c r="BX270" s="336"/>
      <c r="BY270" s="336"/>
    </row>
    <row r="271" spans="1:77" ht="13.15" hidden="1" customHeight="1" outlineLevel="1" x14ac:dyDescent="0.2">
      <c r="A271" s="50">
        <f t="shared" si="69"/>
        <v>266</v>
      </c>
      <c r="B271" s="51">
        <v>34</v>
      </c>
      <c r="C271" s="51">
        <v>62</v>
      </c>
      <c r="D271" s="18" t="s">
        <v>528</v>
      </c>
      <c r="E271" s="18">
        <v>11</v>
      </c>
      <c r="F271" s="18">
        <v>2</v>
      </c>
      <c r="G271" s="52">
        <v>2</v>
      </c>
      <c r="H271" s="237">
        <v>2</v>
      </c>
      <c r="I271" s="65">
        <v>1956</v>
      </c>
      <c r="J271" s="349">
        <v>5</v>
      </c>
      <c r="K271" s="346">
        <f t="shared" si="70"/>
        <v>6</v>
      </c>
      <c r="L271" s="346">
        <v>1</v>
      </c>
      <c r="M271" s="349">
        <v>9</v>
      </c>
      <c r="N271" s="255">
        <f t="shared" si="68"/>
        <v>3</v>
      </c>
      <c r="O271" s="310">
        <f>61+36</f>
        <v>97</v>
      </c>
      <c r="P271" s="66">
        <v>5</v>
      </c>
      <c r="Q271" s="66"/>
      <c r="R271" s="66">
        <f>0+6</f>
        <v>6</v>
      </c>
      <c r="S271" s="66">
        <f>29+34</f>
        <v>63</v>
      </c>
      <c r="T271" s="66">
        <f>7+13</f>
        <v>20</v>
      </c>
      <c r="U271" s="66">
        <f>0+7</f>
        <v>7</v>
      </c>
      <c r="V271" s="66">
        <f>0+1</f>
        <v>1</v>
      </c>
      <c r="W271" s="54">
        <v>0</v>
      </c>
      <c r="X271" s="55">
        <f>SUMIFS(Таблица3[Кол-во квартир],Таблица3[Адрес МКД],$D271)</f>
        <v>89</v>
      </c>
      <c r="Y271" s="56">
        <f t="shared" si="59"/>
        <v>9015.17</v>
      </c>
      <c r="Z271" s="253">
        <f>SUMIFS(Таблица3[Площадь жилая],Таблица3[Адрес МКД],$D271)</f>
        <v>5070.7</v>
      </c>
      <c r="AA271" s="261">
        <f>SUMIFS(Таблица3[Площадь нежилых помещений],Таблица3[Адрес МКД],$D271)</f>
        <v>1337.8</v>
      </c>
      <c r="AB271" s="252">
        <f>SUMIFS(Таблица1[1],Таблица1[2],$D271)</f>
        <v>1405.9999999999998</v>
      </c>
      <c r="AC271" s="57">
        <f t="shared" si="64"/>
        <v>1405.9999999999998</v>
      </c>
      <c r="AD271" s="57">
        <f t="shared" si="65"/>
        <v>0</v>
      </c>
      <c r="AE271" s="58">
        <f>SUMIFS(Таблица1[8],Таблица1[2],$D271)+SUMIFS(Таблица1[18],Таблица1[2],$D271)</f>
        <v>1073.8999999999999</v>
      </c>
      <c r="AF271" s="58">
        <f>SUMIFS(Таблица1[9],Таблица1[2],$D271)+SUMIFS(Таблица1[19],Таблица1[2],$D271)</f>
        <v>0</v>
      </c>
      <c r="AG271" s="59">
        <f t="shared" si="66"/>
        <v>2538.4700000000003</v>
      </c>
      <c r="AH271" s="59">
        <f t="shared" si="67"/>
        <v>2538.4700000000003</v>
      </c>
      <c r="AI271" s="60">
        <f>226.4+85.5+68.2-AM271</f>
        <v>219.49999999999997</v>
      </c>
      <c r="AJ271" s="60">
        <f t="shared" si="60"/>
        <v>47.999999999999972</v>
      </c>
      <c r="AK271" s="60">
        <f>SUMIFS(Таблица1[10],Таблица1[2],$D271)</f>
        <v>171.5</v>
      </c>
      <c r="AL271" s="60">
        <f>SUMIFS(Таблица1[11],Таблица1[2],$D271)</f>
        <v>0</v>
      </c>
      <c r="AM271" s="251">
        <v>160.6</v>
      </c>
      <c r="AN271" s="249">
        <f t="shared" si="61"/>
        <v>0</v>
      </c>
      <c r="AO271" s="249">
        <f>SUMIFS(Таблица1[12],Таблица1[2],$D271)</f>
        <v>160.6</v>
      </c>
      <c r="AP271" s="249">
        <f>SUMIFS(Таблица1[13],Таблица1[2],$D271)</f>
        <v>0</v>
      </c>
      <c r="AQ271" s="61">
        <f>866.3</f>
        <v>866.3</v>
      </c>
      <c r="AR271" s="61">
        <f t="shared" si="62"/>
        <v>866.3</v>
      </c>
      <c r="AS271" s="60">
        <f>SUMIFS(Таблица1[14],Таблица1[2],$D271)</f>
        <v>0</v>
      </c>
      <c r="AT271" s="60">
        <f>SUMIFS(Таблица1[15],Таблица1[2],$D271)</f>
        <v>0</v>
      </c>
      <c r="AU271" s="61">
        <v>1624.17</v>
      </c>
      <c r="AV271" s="61">
        <f t="shared" si="63"/>
        <v>1624.17</v>
      </c>
      <c r="AW271" s="60">
        <f>SUMIFS(Таблица1[16],Таблица1[2],$D271)</f>
        <v>0</v>
      </c>
      <c r="AX271" s="60">
        <f>SUMIFS(Таблица1[17],Таблица1[2],$D271)</f>
        <v>0</v>
      </c>
      <c r="AY271" s="263">
        <f>Нежилые!G1343</f>
        <v>68.2</v>
      </c>
      <c r="AZ271" s="264"/>
      <c r="BA271" s="296">
        <v>0</v>
      </c>
      <c r="BB271" s="296">
        <f t="shared" si="57"/>
        <v>0</v>
      </c>
      <c r="BC271" s="296">
        <v>0</v>
      </c>
      <c r="BD271" s="296">
        <v>0</v>
      </c>
      <c r="BE271" s="285"/>
      <c r="BF271" s="259">
        <f>3371+1664</f>
        <v>5035</v>
      </c>
      <c r="BG271" s="260">
        <f>11102+7508+102+4302+6512</f>
        <v>29526</v>
      </c>
      <c r="BH271" s="62" t="s">
        <v>939</v>
      </c>
      <c r="BI271" s="62" t="s">
        <v>935</v>
      </c>
      <c r="BJ271" s="62"/>
      <c r="BK271" s="267"/>
      <c r="BL271" s="267"/>
      <c r="BM271" s="267" t="s">
        <v>1649</v>
      </c>
      <c r="BN271" s="268"/>
      <c r="BO271" s="62">
        <v>22</v>
      </c>
      <c r="BP271" s="63">
        <v>29693</v>
      </c>
      <c r="BQ271" s="64" t="s">
        <v>1131</v>
      </c>
      <c r="BR271" s="372" t="s">
        <v>2747</v>
      </c>
      <c r="BS271" s="62"/>
      <c r="BT271" s="323"/>
      <c r="BU271" s="62"/>
      <c r="BV271" s="323"/>
      <c r="BW271" s="62"/>
      <c r="BX271" s="336"/>
      <c r="BY271" s="336"/>
    </row>
    <row r="272" spans="1:77" ht="13.15" hidden="1" customHeight="1" outlineLevel="1" x14ac:dyDescent="0.2">
      <c r="A272" s="50">
        <f t="shared" si="69"/>
        <v>267</v>
      </c>
      <c r="B272" s="51">
        <v>35</v>
      </c>
      <c r="C272" s="51">
        <v>63</v>
      </c>
      <c r="D272" s="18" t="s">
        <v>529</v>
      </c>
      <c r="E272" s="18">
        <v>11</v>
      </c>
      <c r="F272" s="18">
        <v>2</v>
      </c>
      <c r="G272" s="52">
        <v>1</v>
      </c>
      <c r="H272" s="237">
        <v>1</v>
      </c>
      <c r="I272" s="53">
        <v>1953</v>
      </c>
      <c r="J272" s="348">
        <v>4</v>
      </c>
      <c r="K272" s="356">
        <f t="shared" si="70"/>
        <v>5</v>
      </c>
      <c r="L272" s="356">
        <v>1</v>
      </c>
      <c r="M272" s="349">
        <v>3</v>
      </c>
      <c r="N272" s="255">
        <f t="shared" si="68"/>
        <v>0</v>
      </c>
      <c r="O272" s="310">
        <v>27</v>
      </c>
      <c r="P272" s="66">
        <v>0</v>
      </c>
      <c r="Q272" s="66"/>
      <c r="R272" s="66">
        <v>0</v>
      </c>
      <c r="S272" s="66">
        <v>27</v>
      </c>
      <c r="T272" s="66">
        <v>0</v>
      </c>
      <c r="U272" s="66">
        <v>0</v>
      </c>
      <c r="V272" s="66">
        <v>0</v>
      </c>
      <c r="W272" s="54">
        <v>0</v>
      </c>
      <c r="X272" s="55">
        <f>SUMIFS(Таблица3[Кол-во квартир],Таблица3[Адрес МКД],$D272)</f>
        <v>27</v>
      </c>
      <c r="Y272" s="56">
        <f t="shared" si="59"/>
        <v>2827.7999999999997</v>
      </c>
      <c r="Z272" s="253">
        <f>SUMIFS(Таблица3[Площадь жилая],Таблица3[Адрес МКД],$D272)</f>
        <v>1323.3</v>
      </c>
      <c r="AA272" s="261">
        <f>SUMIFS(Таблица3[Площадь нежилых помещений],Таблица3[Адрес МКД],$D272)</f>
        <v>691.4</v>
      </c>
      <c r="AB272" s="252">
        <f>SUMIFS(Таблица1[1],Таблица1[2],$D272)</f>
        <v>691.4</v>
      </c>
      <c r="AC272" s="57">
        <f t="shared" si="64"/>
        <v>691.4</v>
      </c>
      <c r="AD272" s="57">
        <f t="shared" si="65"/>
        <v>0</v>
      </c>
      <c r="AE272" s="58">
        <f>SUMIFS(Таблица1[8],Таблица1[2],$D272)+SUMIFS(Таблица1[18],Таблица1[2],$D272)</f>
        <v>451.9</v>
      </c>
      <c r="AF272" s="58">
        <f>SUMIFS(Таблица1[9],Таблица1[2],$D272)+SUMIFS(Таблица1[19],Таблица1[2],$D272)</f>
        <v>0</v>
      </c>
      <c r="AG272" s="59">
        <f t="shared" si="66"/>
        <v>813.1</v>
      </c>
      <c r="AH272" s="59">
        <f t="shared" si="67"/>
        <v>813.1</v>
      </c>
      <c r="AI272" s="60">
        <f>239.5-AM272</f>
        <v>0</v>
      </c>
      <c r="AJ272" s="60">
        <f t="shared" si="60"/>
        <v>0</v>
      </c>
      <c r="AK272" s="60">
        <f>SUMIFS(Таблица1[10],Таблица1[2],$D272)</f>
        <v>0</v>
      </c>
      <c r="AL272" s="60">
        <f>SUMIFS(Таблица1[11],Таблица1[2],$D272)</f>
        <v>0</v>
      </c>
      <c r="AM272" s="251">
        <v>239.5</v>
      </c>
      <c r="AN272" s="249">
        <f t="shared" si="61"/>
        <v>0</v>
      </c>
      <c r="AO272" s="249">
        <f>SUMIFS(Таблица1[12],Таблица1[2],$D272)</f>
        <v>239.5</v>
      </c>
      <c r="AP272" s="249">
        <f>SUMIFS(Таблица1[13],Таблица1[2],$D272)</f>
        <v>0</v>
      </c>
      <c r="AQ272" s="61">
        <v>219.9</v>
      </c>
      <c r="AR272" s="61">
        <f t="shared" si="62"/>
        <v>219.9</v>
      </c>
      <c r="AS272" s="60">
        <f>SUMIFS(Таблица1[14],Таблица1[2],$D272)</f>
        <v>0</v>
      </c>
      <c r="AT272" s="60">
        <f>SUMIFS(Таблица1[15],Таблица1[2],$D272)</f>
        <v>0</v>
      </c>
      <c r="AU272" s="61">
        <v>593.20000000000005</v>
      </c>
      <c r="AV272" s="61">
        <f t="shared" si="63"/>
        <v>593.20000000000005</v>
      </c>
      <c r="AW272" s="60">
        <f>SUMIFS(Таблица1[16],Таблица1[2],$D272)</f>
        <v>0</v>
      </c>
      <c r="AX272" s="60">
        <f>SUMIFS(Таблица1[17],Таблица1[2],$D272)</f>
        <v>0</v>
      </c>
      <c r="AY272" s="263"/>
      <c r="AZ272" s="264"/>
      <c r="BA272" s="296">
        <v>0</v>
      </c>
      <c r="BB272" s="296">
        <f t="shared" si="57"/>
        <v>0</v>
      </c>
      <c r="BC272" s="296">
        <v>0</v>
      </c>
      <c r="BD272" s="296">
        <v>0</v>
      </c>
      <c r="BE272" s="285"/>
      <c r="BF272" s="259">
        <v>1334</v>
      </c>
      <c r="BG272" s="260">
        <f>2322+6473</f>
        <v>8795</v>
      </c>
      <c r="BH272" s="62" t="s">
        <v>939</v>
      </c>
      <c r="BI272" s="62" t="s">
        <v>935</v>
      </c>
      <c r="BJ272" s="62"/>
      <c r="BK272" s="267"/>
      <c r="BL272" s="267"/>
      <c r="BM272" s="267" t="s">
        <v>1649</v>
      </c>
      <c r="BN272" s="268"/>
      <c r="BO272" s="62">
        <v>23</v>
      </c>
      <c r="BP272" s="63">
        <v>34864</v>
      </c>
      <c r="BQ272" s="64" t="s">
        <v>1131</v>
      </c>
      <c r="BR272" s="372" t="s">
        <v>2747</v>
      </c>
      <c r="BS272" s="62"/>
      <c r="BT272" s="323"/>
      <c r="BU272" s="62"/>
      <c r="BV272" s="323"/>
      <c r="BW272" s="62"/>
      <c r="BX272" s="336"/>
      <c r="BY272" s="336"/>
    </row>
    <row r="273" spans="1:77" ht="13.15" hidden="1" customHeight="1" outlineLevel="1" x14ac:dyDescent="0.2">
      <c r="A273" s="50">
        <f t="shared" si="69"/>
        <v>268</v>
      </c>
      <c r="B273" s="51">
        <v>36</v>
      </c>
      <c r="C273" s="51">
        <v>64</v>
      </c>
      <c r="D273" s="18" t="s">
        <v>530</v>
      </c>
      <c r="E273" s="18">
        <v>11</v>
      </c>
      <c r="F273" s="18">
        <v>2</v>
      </c>
      <c r="G273" s="52">
        <v>1</v>
      </c>
      <c r="H273" s="237">
        <v>1</v>
      </c>
      <c r="I273" s="53">
        <v>1953</v>
      </c>
      <c r="J273" s="348">
        <v>4</v>
      </c>
      <c r="K273" s="346">
        <f t="shared" si="70"/>
        <v>5</v>
      </c>
      <c r="L273" s="346">
        <v>1</v>
      </c>
      <c r="M273" s="349">
        <v>3</v>
      </c>
      <c r="N273" s="255">
        <f t="shared" si="68"/>
        <v>2</v>
      </c>
      <c r="O273" s="310">
        <v>27</v>
      </c>
      <c r="P273" s="66">
        <v>0</v>
      </c>
      <c r="Q273" s="66"/>
      <c r="R273" s="66">
        <v>0</v>
      </c>
      <c r="S273" s="66">
        <v>27</v>
      </c>
      <c r="T273" s="66">
        <v>0</v>
      </c>
      <c r="U273" s="66">
        <v>0</v>
      </c>
      <c r="V273" s="66">
        <v>0</v>
      </c>
      <c r="W273" s="54">
        <v>0</v>
      </c>
      <c r="X273" s="55">
        <f>SUMIFS(Таблица3[Кол-во квартир],Таблица3[Адрес МКД],$D273)</f>
        <v>25</v>
      </c>
      <c r="Y273" s="56">
        <f t="shared" si="59"/>
        <v>2981.29</v>
      </c>
      <c r="Z273" s="253">
        <f>SUMIFS(Таблица3[Площадь жилая],Таблица3[Адрес МКД],$D273)</f>
        <v>1319.5</v>
      </c>
      <c r="AA273" s="261">
        <f>SUMIFS(Таблица3[Площадь нежилых помещений],Таблица3[Адрес МКД],$D273)</f>
        <v>682.5</v>
      </c>
      <c r="AB273" s="252">
        <f>SUMIFS(Таблица1[1],Таблица1[2],$D273)</f>
        <v>682.5</v>
      </c>
      <c r="AC273" s="57">
        <f t="shared" si="64"/>
        <v>682.5</v>
      </c>
      <c r="AD273" s="57">
        <f t="shared" si="65"/>
        <v>0</v>
      </c>
      <c r="AE273" s="58">
        <f>SUMIFS(Таблица1[8],Таблица1[2],$D273)+SUMIFS(Таблица1[18],Таблица1[2],$D273)</f>
        <v>441.2</v>
      </c>
      <c r="AF273" s="58">
        <f>SUMIFS(Таблица1[9],Таблица1[2],$D273)+SUMIFS(Таблица1[19],Таблица1[2],$D273)</f>
        <v>0</v>
      </c>
      <c r="AG273" s="59">
        <f t="shared" si="66"/>
        <v>979.29</v>
      </c>
      <c r="AH273" s="59">
        <f t="shared" si="67"/>
        <v>979.29</v>
      </c>
      <c r="AI273" s="60">
        <f>342.9-AM273</f>
        <v>101.59999999999997</v>
      </c>
      <c r="AJ273" s="60">
        <f t="shared" si="60"/>
        <v>101.59999999999997</v>
      </c>
      <c r="AK273" s="60">
        <f>SUMIFS(Таблица1[10],Таблица1[2],$D273)</f>
        <v>0</v>
      </c>
      <c r="AL273" s="60">
        <f>SUMIFS(Таблица1[11],Таблица1[2],$D273)</f>
        <v>0</v>
      </c>
      <c r="AM273" s="251">
        <v>241.3</v>
      </c>
      <c r="AN273" s="249">
        <f t="shared" si="61"/>
        <v>0</v>
      </c>
      <c r="AO273" s="249">
        <f>SUMIFS(Таблица1[12],Таблица1[2],$D273)</f>
        <v>241.3</v>
      </c>
      <c r="AP273" s="249">
        <f>SUMIFS(Таблица1[13],Таблица1[2],$D273)</f>
        <v>0</v>
      </c>
      <c r="AQ273" s="61">
        <v>280.2</v>
      </c>
      <c r="AR273" s="61">
        <f t="shared" si="62"/>
        <v>280.2</v>
      </c>
      <c r="AS273" s="60">
        <f>SUMIFS(Таблица1[14],Таблица1[2],$D273)</f>
        <v>0</v>
      </c>
      <c r="AT273" s="60">
        <f>SUMIFS(Таблица1[15],Таблица1[2],$D273)</f>
        <v>0</v>
      </c>
      <c r="AU273" s="61">
        <v>597.49</v>
      </c>
      <c r="AV273" s="61">
        <f t="shared" si="63"/>
        <v>597.49</v>
      </c>
      <c r="AW273" s="60">
        <f>SUMIFS(Таблица1[16],Таблица1[2],$D273)</f>
        <v>0</v>
      </c>
      <c r="AX273" s="60">
        <f>SUMIFS(Таблица1[17],Таблица1[2],$D273)</f>
        <v>0</v>
      </c>
      <c r="AY273" s="263"/>
      <c r="AZ273" s="264"/>
      <c r="BA273" s="296">
        <v>0</v>
      </c>
      <c r="BB273" s="296">
        <f t="shared" si="57"/>
        <v>0</v>
      </c>
      <c r="BC273" s="296">
        <v>0</v>
      </c>
      <c r="BD273" s="296">
        <v>0</v>
      </c>
      <c r="BE273" s="285"/>
      <c r="BF273" s="259">
        <v>1628</v>
      </c>
      <c r="BG273" s="260">
        <f>2274+6465</f>
        <v>8739</v>
      </c>
      <c r="BH273" s="62" t="s">
        <v>939</v>
      </c>
      <c r="BI273" s="62" t="s">
        <v>935</v>
      </c>
      <c r="BJ273" s="62"/>
      <c r="BK273" s="267"/>
      <c r="BL273" s="267"/>
      <c r="BM273" s="267" t="s">
        <v>1649</v>
      </c>
      <c r="BN273" s="268"/>
      <c r="BO273" s="62">
        <v>23</v>
      </c>
      <c r="BP273" s="63">
        <v>29643</v>
      </c>
      <c r="BQ273" s="64" t="s">
        <v>1131</v>
      </c>
      <c r="BR273" s="372" t="s">
        <v>2747</v>
      </c>
      <c r="BS273" s="62"/>
      <c r="BT273" s="323"/>
      <c r="BU273" s="62"/>
      <c r="BV273" s="323"/>
      <c r="BW273" s="62"/>
      <c r="BX273" s="336"/>
      <c r="BY273" s="336"/>
    </row>
    <row r="274" spans="1:77" ht="13.15" hidden="1" customHeight="1" outlineLevel="1" x14ac:dyDescent="0.2">
      <c r="A274" s="50">
        <f t="shared" si="69"/>
        <v>269</v>
      </c>
      <c r="B274" s="51">
        <v>43</v>
      </c>
      <c r="C274" s="51">
        <v>90</v>
      </c>
      <c r="D274" s="18" t="s">
        <v>390</v>
      </c>
      <c r="E274" s="18">
        <v>9</v>
      </c>
      <c r="F274" s="18">
        <v>1</v>
      </c>
      <c r="G274" s="52">
        <v>1</v>
      </c>
      <c r="H274" s="237">
        <v>1</v>
      </c>
      <c r="I274" s="65">
        <v>1952</v>
      </c>
      <c r="J274" s="351">
        <v>5.6</v>
      </c>
      <c r="K274" s="345">
        <v>6.7</v>
      </c>
      <c r="L274" s="346">
        <v>1</v>
      </c>
      <c r="M274" s="349">
        <v>3</v>
      </c>
      <c r="N274" s="255">
        <f t="shared" si="68"/>
        <v>0</v>
      </c>
      <c r="O274" s="310">
        <v>41</v>
      </c>
      <c r="P274" s="66">
        <v>2</v>
      </c>
      <c r="Q274" s="66"/>
      <c r="R274" s="66">
        <v>0</v>
      </c>
      <c r="S274" s="66">
        <v>38</v>
      </c>
      <c r="T274" s="66">
        <v>1</v>
      </c>
      <c r="U274" s="66">
        <v>1</v>
      </c>
      <c r="V274" s="66">
        <v>1</v>
      </c>
      <c r="W274" s="54">
        <v>0</v>
      </c>
      <c r="X274" s="55">
        <f>SUMIFS(Таблица3[Кол-во квартир],Таблица3[Адрес МКД],$D274)</f>
        <v>39</v>
      </c>
      <c r="Y274" s="56">
        <f t="shared" si="59"/>
        <v>3776.5600000000004</v>
      </c>
      <c r="Z274" s="253">
        <f>SUMIFS(Таблица3[Площадь жилая],Таблица3[Адрес МКД],$D274)</f>
        <v>2009.46</v>
      </c>
      <c r="AA274" s="261">
        <f>SUMIFS(Таблица3[Площадь нежилых помещений],Таблица3[Адрес МКД],$D274)</f>
        <v>648.1</v>
      </c>
      <c r="AB274" s="252">
        <f>SUMIFS(Таблица1[1],Таблица1[2],$D274)</f>
        <v>638.80000000000007</v>
      </c>
      <c r="AC274" s="57">
        <f t="shared" si="64"/>
        <v>638.80000000000007</v>
      </c>
      <c r="AD274" s="57">
        <f t="shared" si="65"/>
        <v>0</v>
      </c>
      <c r="AE274" s="58">
        <f>SUMIFS(Таблица1[8],Таблица1[2],$D274)+SUMIFS(Таблица1[18],Таблица1[2],$D274)</f>
        <v>464.8</v>
      </c>
      <c r="AF274" s="58">
        <f>SUMIFS(Таблица1[9],Таблица1[2],$D274)+SUMIFS(Таблица1[19],Таблица1[2],$D274)</f>
        <v>0</v>
      </c>
      <c r="AG274" s="59">
        <f t="shared" si="66"/>
        <v>1119</v>
      </c>
      <c r="AH274" s="59">
        <f t="shared" si="67"/>
        <v>1119</v>
      </c>
      <c r="AI274" s="60">
        <f>419.3-AM274</f>
        <v>299.3</v>
      </c>
      <c r="AJ274" s="60">
        <f t="shared" si="60"/>
        <v>236</v>
      </c>
      <c r="AK274" s="60">
        <f>SUMIFS(Таблица1[10],Таблица1[2],$D274)</f>
        <v>63.3</v>
      </c>
      <c r="AL274" s="60">
        <f>SUMIFS(Таблица1[11],Таблица1[2],$D274)</f>
        <v>0</v>
      </c>
      <c r="AM274" s="251">
        <v>120</v>
      </c>
      <c r="AN274" s="249">
        <f t="shared" si="61"/>
        <v>9.2999999999999972</v>
      </c>
      <c r="AO274" s="249">
        <f>SUMIFS(Таблица1[12],Таблица1[2],$D274)</f>
        <v>110.7</v>
      </c>
      <c r="AP274" s="249">
        <f>SUMIFS(Таблица1[13],Таблица1[2],$D274)</f>
        <v>0</v>
      </c>
      <c r="AQ274" s="61">
        <v>316.2</v>
      </c>
      <c r="AR274" s="61">
        <f t="shared" si="62"/>
        <v>316.2</v>
      </c>
      <c r="AS274" s="60">
        <f>SUMIFS(Таблица1[14],Таблица1[2],$D274)</f>
        <v>0</v>
      </c>
      <c r="AT274" s="60">
        <f>SUMIFS(Таблица1[15],Таблица1[2],$D274)</f>
        <v>0</v>
      </c>
      <c r="AU274" s="61">
        <v>566.79999999999995</v>
      </c>
      <c r="AV274" s="61">
        <f t="shared" si="63"/>
        <v>566.79999999999995</v>
      </c>
      <c r="AW274" s="60">
        <f>SUMIFS(Таблица1[16],Таблица1[2],$D274)</f>
        <v>0</v>
      </c>
      <c r="AX274" s="60">
        <f>SUMIFS(Таблица1[17],Таблица1[2],$D274)</f>
        <v>0</v>
      </c>
      <c r="AY274" s="263"/>
      <c r="AZ274" s="264"/>
      <c r="BA274" s="296">
        <v>0</v>
      </c>
      <c r="BB274" s="296">
        <f t="shared" si="57"/>
        <v>0</v>
      </c>
      <c r="BC274" s="296">
        <v>0</v>
      </c>
      <c r="BD274" s="296">
        <v>0</v>
      </c>
      <c r="BE274" s="285"/>
      <c r="BF274" s="259">
        <v>1794</v>
      </c>
      <c r="BG274" s="260">
        <f>327+598+2084+8600+739+68</f>
        <v>12416</v>
      </c>
      <c r="BH274" s="62" t="s">
        <v>939</v>
      </c>
      <c r="BI274" s="62" t="s">
        <v>944</v>
      </c>
      <c r="BJ274" s="62"/>
      <c r="BK274" s="267"/>
      <c r="BL274" s="267"/>
      <c r="BM274" s="267" t="s">
        <v>1649</v>
      </c>
      <c r="BN274" s="268"/>
      <c r="BO274" s="62">
        <v>25</v>
      </c>
      <c r="BP274" s="63">
        <v>32128</v>
      </c>
      <c r="BQ274" s="64" t="s">
        <v>1131</v>
      </c>
      <c r="BR274" s="372" t="s">
        <v>2747</v>
      </c>
      <c r="BS274" s="62"/>
      <c r="BT274" s="323"/>
      <c r="BU274" s="62"/>
      <c r="BV274" s="323"/>
      <c r="BW274" s="62"/>
      <c r="BX274" s="336"/>
      <c r="BY274" s="336"/>
    </row>
    <row r="275" spans="1:77" ht="13.15" hidden="1" customHeight="1" outlineLevel="1" x14ac:dyDescent="0.2">
      <c r="A275" s="50">
        <f t="shared" si="69"/>
        <v>270</v>
      </c>
      <c r="B275" s="51">
        <v>44</v>
      </c>
      <c r="C275" s="51">
        <v>91</v>
      </c>
      <c r="D275" s="18" t="s">
        <v>391</v>
      </c>
      <c r="E275" s="18">
        <v>9</v>
      </c>
      <c r="F275" s="18">
        <v>1</v>
      </c>
      <c r="G275" s="52">
        <v>1</v>
      </c>
      <c r="H275" s="237">
        <v>1</v>
      </c>
      <c r="I275" s="65">
        <v>1952</v>
      </c>
      <c r="J275" s="349">
        <v>4</v>
      </c>
      <c r="K275" s="346">
        <f t="shared" si="70"/>
        <v>5</v>
      </c>
      <c r="L275" s="346">
        <v>1</v>
      </c>
      <c r="M275" s="349">
        <v>1</v>
      </c>
      <c r="N275" s="255">
        <f t="shared" si="68"/>
        <v>-1</v>
      </c>
      <c r="O275" s="310">
        <v>9</v>
      </c>
      <c r="P275" s="66">
        <v>0</v>
      </c>
      <c r="Q275" s="66"/>
      <c r="R275" s="66">
        <v>0</v>
      </c>
      <c r="S275" s="66">
        <v>9</v>
      </c>
      <c r="T275" s="66">
        <v>0</v>
      </c>
      <c r="U275" s="66">
        <v>0</v>
      </c>
      <c r="V275" s="66">
        <v>0</v>
      </c>
      <c r="W275" s="54">
        <v>0</v>
      </c>
      <c r="X275" s="55">
        <f>SUMIFS(Таблица3[Кол-во квартир],Таблица3[Адрес МКД],$D275)</f>
        <v>10</v>
      </c>
      <c r="Y275" s="56">
        <f t="shared" si="59"/>
        <v>763.3</v>
      </c>
      <c r="Z275" s="253">
        <f>SUMIFS(Таблица3[Площадь жилая],Таблица3[Адрес МКД],$D275)</f>
        <v>444.2</v>
      </c>
      <c r="AA275" s="261">
        <f>SUMIFS(Таблица3[Площадь нежилых помещений],Таблица3[Адрес МКД],$D275)</f>
        <v>28.8</v>
      </c>
      <c r="AB275" s="252">
        <f>SUMIFS(Таблица1[1],Таблица1[2],$D275)</f>
        <v>41.7</v>
      </c>
      <c r="AC275" s="57">
        <f t="shared" si="64"/>
        <v>28.8</v>
      </c>
      <c r="AD275" s="57">
        <f t="shared" si="65"/>
        <v>12.9</v>
      </c>
      <c r="AE275" s="58">
        <f>SUMIFS(Таблица1[8],Таблица1[2],$D275)+SUMIFS(Таблица1[18],Таблица1[2],$D275)</f>
        <v>28.8</v>
      </c>
      <c r="AF275" s="58">
        <f>SUMIFS(Таблица1[9],Таблица1[2],$D275)+SUMIFS(Таблица1[19],Таблица1[2],$D275)</f>
        <v>0</v>
      </c>
      <c r="AG275" s="59">
        <f t="shared" si="66"/>
        <v>277.39999999999998</v>
      </c>
      <c r="AH275" s="59">
        <f t="shared" si="67"/>
        <v>290.3</v>
      </c>
      <c r="AI275" s="60">
        <f>54.8-AM275</f>
        <v>54.8</v>
      </c>
      <c r="AJ275" s="60">
        <f t="shared" si="60"/>
        <v>54.8</v>
      </c>
      <c r="AK275" s="60">
        <f>SUMIFS(Таблица1[10],Таблица1[2],$D275)</f>
        <v>0</v>
      </c>
      <c r="AL275" s="60">
        <f>SUMIFS(Таблица1[11],Таблица1[2],$D275)</f>
        <v>0</v>
      </c>
      <c r="AM275" s="251">
        <v>0</v>
      </c>
      <c r="AN275" s="249">
        <f t="shared" si="61"/>
        <v>0</v>
      </c>
      <c r="AO275" s="249">
        <f>SUMIFS(Таблица1[12],Таблица1[2],$D275)</f>
        <v>0</v>
      </c>
      <c r="AP275" s="249">
        <f>SUMIFS(Таблица1[13],Таблица1[2],$D275)</f>
        <v>0</v>
      </c>
      <c r="AQ275" s="61">
        <f>73.9</f>
        <v>73.900000000000006</v>
      </c>
      <c r="AR275" s="61">
        <f t="shared" si="62"/>
        <v>61.000000000000007</v>
      </c>
      <c r="AS275" s="60">
        <f>SUMIFS(Таблица1[14],Таблица1[2],$D275)</f>
        <v>0</v>
      </c>
      <c r="AT275" s="60">
        <f>SUMIFS(Таблица1[15],Таблица1[2],$D275)</f>
        <v>12.9</v>
      </c>
      <c r="AU275" s="61">
        <v>161.6</v>
      </c>
      <c r="AV275" s="61">
        <f t="shared" si="63"/>
        <v>161.6</v>
      </c>
      <c r="AW275" s="60">
        <f>SUMIFS(Таблица1[16],Таблица1[2],$D275)</f>
        <v>0</v>
      </c>
      <c r="AX275" s="60">
        <f>SUMIFS(Таблица1[17],Таблица1[2],$D275)</f>
        <v>0</v>
      </c>
      <c r="AY275" s="263"/>
      <c r="AZ275" s="264"/>
      <c r="BA275" s="296">
        <v>0</v>
      </c>
      <c r="BB275" s="296">
        <f t="shared" si="57"/>
        <v>0</v>
      </c>
      <c r="BC275" s="296">
        <v>0</v>
      </c>
      <c r="BD275" s="296">
        <v>0</v>
      </c>
      <c r="BE275" s="285"/>
      <c r="BF275" s="259">
        <v>501</v>
      </c>
      <c r="BG275" s="260">
        <f>187+415+1938</f>
        <v>2540</v>
      </c>
      <c r="BH275" s="62" t="s">
        <v>939</v>
      </c>
      <c r="BI275" s="62" t="s">
        <v>935</v>
      </c>
      <c r="BJ275" s="62"/>
      <c r="BK275" s="267"/>
      <c r="BL275" s="267"/>
      <c r="BM275" s="267" t="s">
        <v>1649</v>
      </c>
      <c r="BN275" s="268"/>
      <c r="BO275" s="62">
        <v>30</v>
      </c>
      <c r="BP275" s="63">
        <v>33658</v>
      </c>
      <c r="BQ275" s="64" t="s">
        <v>1131</v>
      </c>
      <c r="BR275" s="372" t="s">
        <v>2747</v>
      </c>
      <c r="BS275" s="62"/>
      <c r="BT275" s="323"/>
      <c r="BU275" s="62"/>
      <c r="BV275" s="323"/>
      <c r="BW275" s="62"/>
      <c r="BX275" s="336"/>
      <c r="BY275" s="336"/>
    </row>
    <row r="276" spans="1:77" ht="13.15" hidden="1" customHeight="1" outlineLevel="1" x14ac:dyDescent="0.2">
      <c r="A276" s="50">
        <f t="shared" si="69"/>
        <v>271</v>
      </c>
      <c r="B276" s="51">
        <v>37</v>
      </c>
      <c r="C276" s="51">
        <v>65</v>
      </c>
      <c r="D276" s="18" t="s">
        <v>531</v>
      </c>
      <c r="E276" s="18">
        <v>11</v>
      </c>
      <c r="F276" s="18">
        <v>2</v>
      </c>
      <c r="G276" s="52">
        <v>1</v>
      </c>
      <c r="H276" s="237">
        <v>1</v>
      </c>
      <c r="I276" s="65">
        <v>1952</v>
      </c>
      <c r="J276" s="351">
        <v>5.7</v>
      </c>
      <c r="K276" s="355">
        <v>6.8</v>
      </c>
      <c r="L276" s="346">
        <v>1</v>
      </c>
      <c r="M276" s="349">
        <v>5</v>
      </c>
      <c r="N276" s="255">
        <f t="shared" si="68"/>
        <v>0</v>
      </c>
      <c r="O276" s="310">
        <v>67</v>
      </c>
      <c r="P276" s="66">
        <v>0</v>
      </c>
      <c r="Q276" s="66"/>
      <c r="R276" s="66">
        <v>0</v>
      </c>
      <c r="S276" s="66">
        <v>46</v>
      </c>
      <c r="T276" s="66">
        <v>17</v>
      </c>
      <c r="U276" s="66">
        <v>4</v>
      </c>
      <c r="V276" s="66">
        <v>0</v>
      </c>
      <c r="W276" s="54">
        <v>0</v>
      </c>
      <c r="X276" s="55">
        <f>SUMIFS(Таблица3[Кол-во квартир],Таблица3[Адрес МКД],$D276)</f>
        <v>67</v>
      </c>
      <c r="Y276" s="56">
        <f t="shared" si="59"/>
        <v>7586.53</v>
      </c>
      <c r="Z276" s="253">
        <f>SUMIFS(Таблица3[Площадь жилая],Таблица3[Адрес МКД],$D276)</f>
        <v>4185.74</v>
      </c>
      <c r="AA276" s="261">
        <f>SUMIFS(Таблица3[Площадь нежилых помещений],Таблица3[Адрес МКД],$D276)</f>
        <v>1187</v>
      </c>
      <c r="AB276" s="252">
        <f>SUMIFS(Таблица1[1],Таблица1[2],$D276)</f>
        <v>1187</v>
      </c>
      <c r="AC276" s="57">
        <f t="shared" si="64"/>
        <v>1187</v>
      </c>
      <c r="AD276" s="57">
        <f t="shared" si="65"/>
        <v>0</v>
      </c>
      <c r="AE276" s="58">
        <f>SUMIFS(Таблица1[8],Таблица1[2],$D276)+SUMIFS(Таблица1[18],Таблица1[2],$D276)</f>
        <v>709.1</v>
      </c>
      <c r="AF276" s="58">
        <f>SUMIFS(Таблица1[9],Таблица1[2],$D276)+SUMIFS(Таблица1[19],Таблица1[2],$D276)</f>
        <v>0</v>
      </c>
      <c r="AG276" s="59">
        <f t="shared" si="66"/>
        <v>2213.79</v>
      </c>
      <c r="AH276" s="59">
        <f t="shared" si="67"/>
        <v>2213.79</v>
      </c>
      <c r="AI276" s="60">
        <f>760.9-AM276</f>
        <v>465.09999999999997</v>
      </c>
      <c r="AJ276" s="60">
        <f t="shared" si="60"/>
        <v>283</v>
      </c>
      <c r="AK276" s="60">
        <f>SUMIFS(Таблица1[10],Таблица1[2],$D276)</f>
        <v>182.1</v>
      </c>
      <c r="AL276" s="60">
        <f>SUMIFS(Таблица1[11],Таблица1[2],$D276)</f>
        <v>0</v>
      </c>
      <c r="AM276" s="251">
        <v>295.8</v>
      </c>
      <c r="AN276" s="249">
        <f t="shared" si="61"/>
        <v>0</v>
      </c>
      <c r="AO276" s="249">
        <f>SUMIFS(Таблица1[12],Таблица1[2],$D276)</f>
        <v>295.8</v>
      </c>
      <c r="AP276" s="249">
        <f>SUMIFS(Таблица1[13],Таблица1[2],$D276)</f>
        <v>0</v>
      </c>
      <c r="AQ276" s="61">
        <v>734.5</v>
      </c>
      <c r="AR276" s="61">
        <f t="shared" si="62"/>
        <v>734.5</v>
      </c>
      <c r="AS276" s="60">
        <f>SUMIFS(Таблица1[14],Таблица1[2],$D276)</f>
        <v>0</v>
      </c>
      <c r="AT276" s="60">
        <f>SUMIFS(Таблица1[15],Таблица1[2],$D276)</f>
        <v>0</v>
      </c>
      <c r="AU276" s="61">
        <v>1196.29</v>
      </c>
      <c r="AV276" s="61">
        <f t="shared" si="63"/>
        <v>1196.29</v>
      </c>
      <c r="AW276" s="60">
        <f>SUMIFS(Таблица1[16],Таблица1[2],$D276)</f>
        <v>0</v>
      </c>
      <c r="AX276" s="60">
        <f>SUMIFS(Таблица1[17],Таблица1[2],$D276)</f>
        <v>0</v>
      </c>
      <c r="AY276" s="263"/>
      <c r="AZ276" s="264"/>
      <c r="BA276" s="296">
        <v>0</v>
      </c>
      <c r="BB276" s="296">
        <f t="shared" ref="BB276:BB339" si="71">BA276-BC276-BD276</f>
        <v>0</v>
      </c>
      <c r="BC276" s="296">
        <v>0</v>
      </c>
      <c r="BD276" s="296">
        <v>0</v>
      </c>
      <c r="BE276" s="285" t="s">
        <v>1649</v>
      </c>
      <c r="BF276" s="259">
        <v>3206</v>
      </c>
      <c r="BG276" s="260">
        <f>7305+12951+4159+2373+42</f>
        <v>26830</v>
      </c>
      <c r="BH276" s="62" t="s">
        <v>936</v>
      </c>
      <c r="BI276" s="62" t="s">
        <v>935</v>
      </c>
      <c r="BJ276" s="62"/>
      <c r="BK276" s="267"/>
      <c r="BL276" s="267"/>
      <c r="BM276" s="267" t="s">
        <v>1649</v>
      </c>
      <c r="BN276" s="268">
        <v>1</v>
      </c>
      <c r="BO276" s="62">
        <v>21</v>
      </c>
      <c r="BP276" s="63">
        <v>30798</v>
      </c>
      <c r="BQ276" s="64" t="s">
        <v>1131</v>
      </c>
      <c r="BR276" s="372" t="s">
        <v>1649</v>
      </c>
      <c r="BS276" s="62"/>
      <c r="BT276" s="323"/>
      <c r="BU276" s="62"/>
      <c r="BV276" s="323"/>
      <c r="BW276" s="62"/>
      <c r="BX276" s="336"/>
      <c r="BY276" s="336"/>
    </row>
    <row r="277" spans="1:77" ht="13.15" hidden="1" customHeight="1" outlineLevel="1" x14ac:dyDescent="0.2">
      <c r="A277" s="50">
        <f t="shared" si="69"/>
        <v>272</v>
      </c>
      <c r="B277" s="51">
        <v>38</v>
      </c>
      <c r="C277" s="51">
        <v>66</v>
      </c>
      <c r="D277" s="18" t="s">
        <v>532</v>
      </c>
      <c r="E277" s="18">
        <v>11</v>
      </c>
      <c r="F277" s="18">
        <v>2</v>
      </c>
      <c r="G277" s="52">
        <v>1</v>
      </c>
      <c r="H277" s="237">
        <v>1</v>
      </c>
      <c r="I277" s="65">
        <v>1951</v>
      </c>
      <c r="J277" s="349">
        <v>3</v>
      </c>
      <c r="K277" s="346">
        <f t="shared" si="70"/>
        <v>4</v>
      </c>
      <c r="L277" s="346">
        <v>1</v>
      </c>
      <c r="M277" s="349">
        <v>3</v>
      </c>
      <c r="N277" s="255">
        <f t="shared" si="68"/>
        <v>1</v>
      </c>
      <c r="O277" s="310">
        <v>27</v>
      </c>
      <c r="P277" s="66">
        <v>0</v>
      </c>
      <c r="Q277" s="66"/>
      <c r="R277" s="66">
        <v>0</v>
      </c>
      <c r="S277" s="66">
        <v>27</v>
      </c>
      <c r="T277" s="66">
        <v>0</v>
      </c>
      <c r="U277" s="66">
        <v>0</v>
      </c>
      <c r="V277" s="66">
        <v>0</v>
      </c>
      <c r="W277" s="54">
        <v>0</v>
      </c>
      <c r="X277" s="55">
        <f>SUMIFS(Таблица3[Кол-во квартир],Таблица3[Адрес МКД],$D277)</f>
        <v>26</v>
      </c>
      <c r="Y277" s="56">
        <f t="shared" si="59"/>
        <v>3300.4699999999993</v>
      </c>
      <c r="Z277" s="253">
        <f>SUMIFS(Таблица3[Площадь жилая],Таблица3[Адрес МКД],$D277)</f>
        <v>1380.2099999999998</v>
      </c>
      <c r="AA277" s="261">
        <f>SUMIFS(Таблица3[Площадь нежилых помещений],Таблица3[Адрес МКД],$D277)</f>
        <v>628.20000000000005</v>
      </c>
      <c r="AB277" s="252">
        <f>SUMIFS(Таблица1[1],Таблица1[2],$D277)</f>
        <v>680.40000000000009</v>
      </c>
      <c r="AC277" s="57">
        <f t="shared" si="64"/>
        <v>628.20000000000005</v>
      </c>
      <c r="AD277" s="57">
        <f t="shared" si="65"/>
        <v>52.2</v>
      </c>
      <c r="AE277" s="58">
        <f>SUMIFS(Таблица1[8],Таблица1[2],$D277)+SUMIFS(Таблица1[18],Таблица1[2],$D277)</f>
        <v>295.2</v>
      </c>
      <c r="AF277" s="58">
        <f>SUMIFS(Таблица1[9],Таблица1[2],$D277)+SUMIFS(Таблица1[19],Таблица1[2],$D277)</f>
        <v>52.2</v>
      </c>
      <c r="AG277" s="59">
        <f>AJ277+AR277+AV277+AZ277+BB277</f>
        <v>1239.8599999999999</v>
      </c>
      <c r="AH277" s="59">
        <f>AJ277+AL277+AR277+AT277+AV277+AX277+BB277+BD277</f>
        <v>1239.8599999999999</v>
      </c>
      <c r="AI277" s="60">
        <f>500.7-AM277</f>
        <v>240.5</v>
      </c>
      <c r="AJ277" s="60">
        <f t="shared" si="60"/>
        <v>167.7</v>
      </c>
      <c r="AK277" s="60">
        <f>SUMIFS(Таблица1[10],Таблица1[2],$D277)</f>
        <v>72.8</v>
      </c>
      <c r="AL277" s="60">
        <f>SUMIFS(Таблица1[11],Таблица1[2],$D277)</f>
        <v>0</v>
      </c>
      <c r="AM277" s="251">
        <v>260.2</v>
      </c>
      <c r="AN277" s="249">
        <f t="shared" si="61"/>
        <v>0</v>
      </c>
      <c r="AO277" s="249">
        <f>SUMIFS(Таблица1[12],Таблица1[2],$D277)</f>
        <v>260.2</v>
      </c>
      <c r="AP277" s="249">
        <f>SUMIFS(Таблица1[13],Таблица1[2],$D277)</f>
        <v>0</v>
      </c>
      <c r="AQ277" s="61">
        <v>289.39999999999998</v>
      </c>
      <c r="AR277" s="61">
        <f t="shared" si="62"/>
        <v>289.39999999999998</v>
      </c>
      <c r="AS277" s="60">
        <f>SUMIFS(Таблица1[14],Таблица1[2],$D277)</f>
        <v>0</v>
      </c>
      <c r="AT277" s="60">
        <f>SUMIFS(Таблица1[15],Таблица1[2],$D277)</f>
        <v>0</v>
      </c>
      <c r="AU277" s="61">
        <v>782.76</v>
      </c>
      <c r="AV277" s="61">
        <f t="shared" si="63"/>
        <v>782.76</v>
      </c>
      <c r="AW277" s="60">
        <f>SUMIFS(Таблица1[16],Таблица1[2],$D277)</f>
        <v>0</v>
      </c>
      <c r="AX277" s="60">
        <f>SUMIFS(Таблица1[17],Таблица1[2],$D277)</f>
        <v>0</v>
      </c>
      <c r="AY277" s="263"/>
      <c r="AZ277" s="264"/>
      <c r="BA277" s="296">
        <v>27.8</v>
      </c>
      <c r="BB277" s="296">
        <f t="shared" si="71"/>
        <v>0</v>
      </c>
      <c r="BC277" s="296">
        <f>Нежилые!I1377</f>
        <v>27.8</v>
      </c>
      <c r="BD277" s="296">
        <v>0</v>
      </c>
      <c r="BE277" s="285"/>
      <c r="BF277" s="259">
        <v>2205</v>
      </c>
      <c r="BG277" s="260">
        <f>2415+397+5387</f>
        <v>8199</v>
      </c>
      <c r="BH277" s="62" t="s">
        <v>936</v>
      </c>
      <c r="BI277" s="62" t="s">
        <v>935</v>
      </c>
      <c r="BJ277" s="62"/>
      <c r="BK277" s="267"/>
      <c r="BL277" s="267"/>
      <c r="BM277" s="267" t="s">
        <v>1649</v>
      </c>
      <c r="BN277" s="268"/>
      <c r="BO277" s="62">
        <v>25</v>
      </c>
      <c r="BP277" s="63">
        <v>30133</v>
      </c>
      <c r="BQ277" s="64" t="s">
        <v>1131</v>
      </c>
      <c r="BR277" s="372" t="s">
        <v>2747</v>
      </c>
      <c r="BS277" s="62"/>
      <c r="BT277" s="323"/>
      <c r="BU277" s="62"/>
      <c r="BV277" s="323"/>
      <c r="BW277" s="62"/>
      <c r="BX277" s="336"/>
      <c r="BY277" s="336"/>
    </row>
    <row r="278" spans="1:77" ht="13.15" hidden="1" customHeight="1" outlineLevel="1" x14ac:dyDescent="0.2">
      <c r="A278" s="50">
        <f t="shared" si="69"/>
        <v>273</v>
      </c>
      <c r="B278" s="51">
        <v>45</v>
      </c>
      <c r="C278" s="51">
        <v>92</v>
      </c>
      <c r="D278" s="18" t="s">
        <v>392</v>
      </c>
      <c r="E278" s="18">
        <v>9</v>
      </c>
      <c r="F278" s="18">
        <v>1</v>
      </c>
      <c r="G278" s="52">
        <v>1</v>
      </c>
      <c r="H278" s="237">
        <v>1</v>
      </c>
      <c r="I278" s="65">
        <v>1952</v>
      </c>
      <c r="J278" s="351">
        <v>5.6</v>
      </c>
      <c r="K278" s="345">
        <v>6.7</v>
      </c>
      <c r="L278" s="346">
        <v>1</v>
      </c>
      <c r="M278" s="349">
        <v>6</v>
      </c>
      <c r="N278" s="255">
        <f t="shared" si="68"/>
        <v>3</v>
      </c>
      <c r="O278" s="310">
        <v>93</v>
      </c>
      <c r="P278" s="66">
        <v>2</v>
      </c>
      <c r="Q278" s="66"/>
      <c r="R278" s="66">
        <v>20</v>
      </c>
      <c r="S278" s="66">
        <f>54-9</f>
        <v>45</v>
      </c>
      <c r="T278" s="66">
        <v>23</v>
      </c>
      <c r="U278" s="66">
        <v>5</v>
      </c>
      <c r="V278" s="66">
        <v>0</v>
      </c>
      <c r="W278" s="54">
        <v>0</v>
      </c>
      <c r="X278" s="55">
        <f>SUMIFS(Таблица3[Кол-во квартир],Таблица3[Адрес МКД],$D278)</f>
        <v>88</v>
      </c>
      <c r="Y278" s="56">
        <f t="shared" si="59"/>
        <v>9655.0499999999993</v>
      </c>
      <c r="Z278" s="253">
        <f>SUMIFS(Таблица3[Площадь жилая],Таблица3[Адрес МКД],$D278)</f>
        <v>5137.8500000000004</v>
      </c>
      <c r="AA278" s="261">
        <f>SUMIFS(Таблица3[Площадь нежилых помещений],Таблица3[Адрес МКД],$D278)</f>
        <v>1423.9</v>
      </c>
      <c r="AB278" s="252">
        <f>SUMIFS(Таблица1[1],Таблица1[2],$D278)</f>
        <v>1450</v>
      </c>
      <c r="AC278" s="57">
        <f t="shared" si="64"/>
        <v>1423.9</v>
      </c>
      <c r="AD278" s="57">
        <f t="shared" si="65"/>
        <v>26.1</v>
      </c>
      <c r="AE278" s="58">
        <f>SUMIFS(Таблица1[8],Таблица1[2],$D278)+SUMIFS(Таблица1[18],Таблица1[2],$D278)</f>
        <v>1076.3</v>
      </c>
      <c r="AF278" s="58">
        <f>SUMIFS(Таблица1[9],Таблица1[2],$D278)+SUMIFS(Таблица1[19],Таблица1[2],$D278)</f>
        <v>0</v>
      </c>
      <c r="AG278" s="59">
        <f>AJ278+AR278+AV278+AZ278+BB278</f>
        <v>3067.2</v>
      </c>
      <c r="AH278" s="59">
        <f>AJ278+AL278+AR278+AT278+AV278+AX278+BB278+BD278</f>
        <v>3093.2999999999997</v>
      </c>
      <c r="AI278" s="60">
        <f>1132.3-AM278</f>
        <v>938.4</v>
      </c>
      <c r="AJ278" s="60">
        <f t="shared" si="60"/>
        <v>784.7</v>
      </c>
      <c r="AK278" s="60">
        <f>SUMIFS(Таблица1[10],Таблица1[2],$D278)</f>
        <v>153.69999999999999</v>
      </c>
      <c r="AL278" s="60">
        <f>SUMIFS(Таблица1[11],Таблица1[2],$D278)</f>
        <v>0</v>
      </c>
      <c r="AM278" s="251">
        <v>193.9</v>
      </c>
      <c r="AN278" s="249">
        <f t="shared" si="61"/>
        <v>0</v>
      </c>
      <c r="AO278" s="249">
        <f>SUMIFS(Таблица1[12],Таблица1[2],$D278)</f>
        <v>193.9</v>
      </c>
      <c r="AP278" s="249">
        <f>SUMIFS(Таблица1[13],Таблица1[2],$D278)</f>
        <v>0</v>
      </c>
      <c r="AQ278" s="61">
        <f>852</f>
        <v>852</v>
      </c>
      <c r="AR278" s="61">
        <f t="shared" si="62"/>
        <v>825.9</v>
      </c>
      <c r="AS278" s="60">
        <f>SUMIFS(Таблица1[14],Таблица1[2],$D278)</f>
        <v>0</v>
      </c>
      <c r="AT278" s="60">
        <f>SUMIFS(Таблица1[15],Таблица1[2],$D278)</f>
        <v>26.1</v>
      </c>
      <c r="AU278" s="61">
        <v>1456.6</v>
      </c>
      <c r="AV278" s="61">
        <f t="shared" si="63"/>
        <v>1456.6</v>
      </c>
      <c r="AW278" s="60">
        <f>SUMIFS(Таблица1[16],Таблица1[2],$D278)</f>
        <v>0</v>
      </c>
      <c r="AX278" s="60">
        <f>SUMIFS(Таблица1[17],Таблица1[2],$D278)</f>
        <v>0</v>
      </c>
      <c r="AY278" s="263"/>
      <c r="AZ278" s="264"/>
      <c r="BA278" s="296">
        <v>0</v>
      </c>
      <c r="BB278" s="296">
        <v>0</v>
      </c>
      <c r="BC278" s="296">
        <v>0</v>
      </c>
      <c r="BD278" s="296">
        <v>0</v>
      </c>
      <c r="BE278" s="285" t="s">
        <v>1649</v>
      </c>
      <c r="BF278" s="259">
        <f>501+4047</f>
        <v>4548</v>
      </c>
      <c r="BG278" s="260">
        <f>3300+96+30363+1442+269+62</f>
        <v>35532</v>
      </c>
      <c r="BH278" s="62" t="s">
        <v>939</v>
      </c>
      <c r="BI278" s="62" t="s">
        <v>935</v>
      </c>
      <c r="BJ278" s="62" t="s">
        <v>944</v>
      </c>
      <c r="BK278" s="267"/>
      <c r="BL278" s="267"/>
      <c r="BM278" s="267" t="s">
        <v>1649</v>
      </c>
      <c r="BN278" s="268"/>
      <c r="BO278" s="62">
        <v>20</v>
      </c>
      <c r="BP278" s="63">
        <v>29834</v>
      </c>
      <c r="BQ278" s="64" t="s">
        <v>1131</v>
      </c>
      <c r="BR278" s="372" t="s">
        <v>2747</v>
      </c>
      <c r="BS278" s="62"/>
      <c r="BT278" s="323"/>
      <c r="BU278" s="62"/>
      <c r="BV278" s="323"/>
      <c r="BW278" s="62"/>
      <c r="BX278" s="336"/>
      <c r="BY278" s="336"/>
    </row>
    <row r="279" spans="1:77" ht="13.15" hidden="1" customHeight="1" outlineLevel="1" x14ac:dyDescent="0.2">
      <c r="A279" s="50">
        <f t="shared" si="69"/>
        <v>274</v>
      </c>
      <c r="B279" s="51">
        <v>46</v>
      </c>
      <c r="C279" s="51">
        <v>93</v>
      </c>
      <c r="D279" s="18" t="s">
        <v>393</v>
      </c>
      <c r="E279" s="18">
        <v>9</v>
      </c>
      <c r="F279" s="18">
        <v>1</v>
      </c>
      <c r="G279" s="52">
        <v>1</v>
      </c>
      <c r="H279" s="333"/>
      <c r="I279" s="65">
        <v>1952</v>
      </c>
      <c r="J279" s="349">
        <v>3</v>
      </c>
      <c r="K279" s="346">
        <f t="shared" si="70"/>
        <v>4</v>
      </c>
      <c r="L279" s="346">
        <v>1</v>
      </c>
      <c r="M279" s="349">
        <v>3</v>
      </c>
      <c r="N279" s="255">
        <f t="shared" si="68"/>
        <v>0</v>
      </c>
      <c r="O279" s="310">
        <v>18</v>
      </c>
      <c r="P279" s="66">
        <v>0</v>
      </c>
      <c r="Q279" s="66"/>
      <c r="R279" s="66">
        <v>0</v>
      </c>
      <c r="S279" s="66">
        <v>18</v>
      </c>
      <c r="T279" s="66">
        <v>0</v>
      </c>
      <c r="U279" s="66">
        <v>0</v>
      </c>
      <c r="V279" s="66">
        <v>0</v>
      </c>
      <c r="W279" s="54">
        <v>0</v>
      </c>
      <c r="X279" s="55">
        <f>SUMIFS(Таблица3[Кол-во квартир],Таблица3[Адрес МКД],$D279)</f>
        <v>18</v>
      </c>
      <c r="Y279" s="56">
        <f t="shared" si="59"/>
        <v>2554.8000000000002</v>
      </c>
      <c r="Z279" s="253">
        <f>SUMIFS(Таблица3[Площадь жилая],Таблица3[Адрес МКД],$D279)</f>
        <v>879</v>
      </c>
      <c r="AA279" s="261">
        <f>SUMIFS(Таблица3[Площадь нежилых помещений],Таблица3[Адрес МКД],$D279)</f>
        <v>685.2</v>
      </c>
      <c r="AB279" s="252">
        <f>SUMIFS(Таблица1[1],Таблица1[2],$D279)</f>
        <v>680.4</v>
      </c>
      <c r="AC279" s="57">
        <f t="shared" si="64"/>
        <v>680.39999999999986</v>
      </c>
      <c r="AD279" s="57">
        <f t="shared" si="65"/>
        <v>0</v>
      </c>
      <c r="AE279" s="58">
        <f>SUMIFS(Таблица1[8],Таблица1[2],$D279)+SUMIFS(Таблица1[18],Таблица1[2],$D279)</f>
        <v>506.29999999999995</v>
      </c>
      <c r="AF279" s="58">
        <f>SUMIFS(Таблица1[9],Таблица1[2],$D279)+SUMIFS(Таблица1[19],Таблица1[2],$D279)</f>
        <v>0</v>
      </c>
      <c r="AG279" s="59">
        <f t="shared" si="66"/>
        <v>990.6</v>
      </c>
      <c r="AH279" s="59">
        <f t="shared" si="67"/>
        <v>990.6</v>
      </c>
      <c r="AI279" s="60">
        <f>433.2-AM279</f>
        <v>307.10000000000002</v>
      </c>
      <c r="AJ279" s="60">
        <f t="shared" si="60"/>
        <v>254.3</v>
      </c>
      <c r="AK279" s="60">
        <f>SUMIFS(Таблица1[10],Таблица1[2],$D279)</f>
        <v>52.8</v>
      </c>
      <c r="AL279" s="60">
        <f>SUMIFS(Таблица1[11],Таблица1[2],$D279)</f>
        <v>0</v>
      </c>
      <c r="AM279" s="251">
        <v>126.1</v>
      </c>
      <c r="AN279" s="249">
        <f t="shared" si="61"/>
        <v>4.7999999999999972</v>
      </c>
      <c r="AO279" s="249">
        <f>SUMIFS(Таблица1[12],Таблица1[2],$D279)</f>
        <v>121.3</v>
      </c>
      <c r="AP279" s="249">
        <f>SUMIFS(Таблица1[13],Таблица1[2],$D279)</f>
        <v>0</v>
      </c>
      <c r="AQ279" s="61">
        <v>185.1</v>
      </c>
      <c r="AR279" s="61">
        <f t="shared" si="62"/>
        <v>185.1</v>
      </c>
      <c r="AS279" s="60">
        <f>SUMIFS(Таблица1[14],Таблица1[2],$D279)</f>
        <v>0</v>
      </c>
      <c r="AT279" s="60">
        <f>SUMIFS(Таблица1[15],Таблица1[2],$D279)</f>
        <v>0</v>
      </c>
      <c r="AU279" s="61">
        <v>551.20000000000005</v>
      </c>
      <c r="AV279" s="61">
        <f t="shared" si="63"/>
        <v>551.20000000000005</v>
      </c>
      <c r="AW279" s="60">
        <f>SUMIFS(Таблица1[16],Таблица1[2],$D279)</f>
        <v>0</v>
      </c>
      <c r="AX279" s="60">
        <f>SUMIFS(Таблица1[17],Таблица1[2],$D279)</f>
        <v>0</v>
      </c>
      <c r="AY279" s="263"/>
      <c r="AZ279" s="264"/>
      <c r="BA279" s="296">
        <v>0</v>
      </c>
      <c r="BB279" s="296">
        <f t="shared" si="71"/>
        <v>0</v>
      </c>
      <c r="BC279" s="296">
        <v>0</v>
      </c>
      <c r="BD279" s="296">
        <v>0</v>
      </c>
      <c r="BE279" s="285"/>
      <c r="BF279" s="259">
        <v>2011</v>
      </c>
      <c r="BG279" s="260">
        <f>6482+51</f>
        <v>6533</v>
      </c>
      <c r="BH279" s="62" t="s">
        <v>939</v>
      </c>
      <c r="BI279" s="62" t="s">
        <v>935</v>
      </c>
      <c r="BJ279" s="62"/>
      <c r="BK279" s="267"/>
      <c r="BL279" s="267"/>
      <c r="BM279" s="267" t="s">
        <v>1649</v>
      </c>
      <c r="BN279" s="268"/>
      <c r="BO279" s="62">
        <v>26</v>
      </c>
      <c r="BP279" s="63">
        <v>29956</v>
      </c>
      <c r="BQ279" s="64" t="s">
        <v>1131</v>
      </c>
      <c r="BR279" s="372" t="s">
        <v>2747</v>
      </c>
      <c r="BS279" s="62"/>
      <c r="BT279" s="323"/>
      <c r="BU279" s="62"/>
      <c r="BV279" s="323"/>
      <c r="BW279" s="62"/>
      <c r="BX279" s="336"/>
      <c r="BY279" s="336"/>
    </row>
    <row r="280" spans="1:77" ht="13.15" hidden="1" customHeight="1" outlineLevel="1" x14ac:dyDescent="0.2">
      <c r="A280" s="50">
        <f t="shared" si="69"/>
        <v>275</v>
      </c>
      <c r="B280" s="51">
        <v>39</v>
      </c>
      <c r="C280" s="51">
        <v>67</v>
      </c>
      <c r="D280" s="18" t="s">
        <v>533</v>
      </c>
      <c r="E280" s="18">
        <v>11</v>
      </c>
      <c r="F280" s="18">
        <v>2</v>
      </c>
      <c r="G280" s="52">
        <v>1</v>
      </c>
      <c r="H280" s="237">
        <v>1</v>
      </c>
      <c r="I280" s="53">
        <v>1952</v>
      </c>
      <c r="J280" s="348">
        <v>5</v>
      </c>
      <c r="K280" s="346">
        <f t="shared" si="70"/>
        <v>6</v>
      </c>
      <c r="L280" s="346">
        <v>1</v>
      </c>
      <c r="M280" s="349">
        <v>4</v>
      </c>
      <c r="N280" s="255">
        <f t="shared" si="68"/>
        <v>1</v>
      </c>
      <c r="O280" s="310">
        <v>51</v>
      </c>
      <c r="P280" s="66">
        <v>2</v>
      </c>
      <c r="Q280" s="66"/>
      <c r="R280" s="66">
        <v>0</v>
      </c>
      <c r="S280" s="66">
        <v>37</v>
      </c>
      <c r="T280" s="66">
        <v>14</v>
      </c>
      <c r="U280" s="66">
        <v>0</v>
      </c>
      <c r="V280" s="66">
        <v>0</v>
      </c>
      <c r="W280" s="54">
        <v>0</v>
      </c>
      <c r="X280" s="55">
        <f>SUMIFS(Таблица3[Кол-во квартир],Таблица3[Адрес МКД],$D280)</f>
        <v>48</v>
      </c>
      <c r="Y280" s="56">
        <f t="shared" si="59"/>
        <v>5401</v>
      </c>
      <c r="Z280" s="253">
        <f>SUMIFS(Таблица3[Площадь жилая],Таблица3[Адрес МКД],$D280)</f>
        <v>2905.3</v>
      </c>
      <c r="AA280" s="261">
        <f>SUMIFS(Таблица3[Площадь нежилых помещений],Таблица3[Адрес МКД],$D280)</f>
        <v>903.6</v>
      </c>
      <c r="AB280" s="252">
        <f>SUMIFS(Таблица1[1],Таблица1[2],$D280)</f>
        <v>865.9</v>
      </c>
      <c r="AC280" s="57">
        <f t="shared" si="64"/>
        <v>865.89999999999986</v>
      </c>
      <c r="AD280" s="57">
        <f t="shared" si="65"/>
        <v>0</v>
      </c>
      <c r="AE280" s="58">
        <f>SUMIFS(Таблица1[8],Таблица1[2],$D280)+SUMIFS(Таблица1[18],Таблица1[2],$D280)</f>
        <v>123.4</v>
      </c>
      <c r="AF280" s="58">
        <f>SUMIFS(Таблица1[9],Таблица1[2],$D280)+SUMIFS(Таблица1[19],Таблица1[2],$D280)</f>
        <v>0</v>
      </c>
      <c r="AG280" s="59">
        <f t="shared" si="66"/>
        <v>1624.3000000000002</v>
      </c>
      <c r="AH280" s="59">
        <f t="shared" si="67"/>
        <v>1624.3000000000002</v>
      </c>
      <c r="AI280" s="60">
        <f>242.9+639.1-AM280</f>
        <v>811.6</v>
      </c>
      <c r="AJ280" s="60">
        <f t="shared" si="60"/>
        <v>134.00000000000011</v>
      </c>
      <c r="AK280" s="60">
        <f>SUMIFS(Таблица1[10],Таблица1[2],$D280)</f>
        <v>677.59999999999991</v>
      </c>
      <c r="AL280" s="60">
        <f>SUMIFS(Таблица1[11],Таблица1[2],$D280)</f>
        <v>0</v>
      </c>
      <c r="AM280" s="251">
        <f>102.6-32.2</f>
        <v>70.399999999999991</v>
      </c>
      <c r="AN280" s="249">
        <f t="shared" si="61"/>
        <v>5.4999999999999858</v>
      </c>
      <c r="AO280" s="249">
        <f>SUMIFS(Таблица1[12],Таблица1[2],$D280)</f>
        <v>64.900000000000006</v>
      </c>
      <c r="AP280" s="249">
        <f>SUMIFS(Таблица1[13],Таблица1[2],$D280)</f>
        <v>0</v>
      </c>
      <c r="AQ280" s="61">
        <v>518.29999999999995</v>
      </c>
      <c r="AR280" s="61">
        <f t="shared" si="62"/>
        <v>518.29999999999995</v>
      </c>
      <c r="AS280" s="60">
        <f>SUMIFS(Таблица1[14],Таблица1[2],$D280)</f>
        <v>0</v>
      </c>
      <c r="AT280" s="60">
        <f>SUMIFS(Таблица1[15],Таблица1[2],$D280)</f>
        <v>0</v>
      </c>
      <c r="AU280" s="61">
        <v>972</v>
      </c>
      <c r="AV280" s="61">
        <f t="shared" si="63"/>
        <v>972</v>
      </c>
      <c r="AW280" s="60">
        <f>SUMIFS(Таблица1[16],Таблица1[2],$D280)</f>
        <v>0</v>
      </c>
      <c r="AX280" s="60">
        <f>SUMIFS(Таблица1[17],Таблица1[2],$D280)</f>
        <v>0</v>
      </c>
      <c r="AY280" s="263"/>
      <c r="AZ280" s="264"/>
      <c r="BA280" s="296">
        <v>0</v>
      </c>
      <c r="BB280" s="296">
        <f t="shared" si="71"/>
        <v>0</v>
      </c>
      <c r="BC280" s="296">
        <v>0</v>
      </c>
      <c r="BD280" s="296">
        <v>0</v>
      </c>
      <c r="BE280" s="285"/>
      <c r="BF280" s="259">
        <f>1532+3738</f>
        <v>5270</v>
      </c>
      <c r="BG280" s="260">
        <f>1192+9724+3198</f>
        <v>14114</v>
      </c>
      <c r="BH280" s="62" t="s">
        <v>939</v>
      </c>
      <c r="BI280" s="62" t="s">
        <v>935</v>
      </c>
      <c r="BJ280" s="62"/>
      <c r="BK280" s="267"/>
      <c r="BL280" s="267"/>
      <c r="BM280" s="267" t="s">
        <v>1649</v>
      </c>
      <c r="BN280" s="268"/>
      <c r="BO280" s="62">
        <v>25</v>
      </c>
      <c r="BP280" s="63">
        <v>30145</v>
      </c>
      <c r="BQ280" s="64" t="s">
        <v>1131</v>
      </c>
      <c r="BR280" s="372" t="s">
        <v>2747</v>
      </c>
      <c r="BS280" s="62"/>
      <c r="BT280" s="323"/>
      <c r="BU280" s="62"/>
      <c r="BV280" s="323"/>
      <c r="BW280" s="62"/>
      <c r="BX280" s="336"/>
      <c r="BY280" s="336"/>
    </row>
    <row r="281" spans="1:77" ht="13.15" hidden="1" customHeight="1" outlineLevel="1" x14ac:dyDescent="0.2">
      <c r="A281" s="50">
        <f t="shared" si="69"/>
        <v>276</v>
      </c>
      <c r="B281" s="51">
        <v>47</v>
      </c>
      <c r="C281" s="51">
        <v>94</v>
      </c>
      <c r="D281" s="18" t="s">
        <v>394</v>
      </c>
      <c r="E281" s="18">
        <v>9</v>
      </c>
      <c r="F281" s="18">
        <v>1</v>
      </c>
      <c r="G281" s="52">
        <v>1</v>
      </c>
      <c r="H281" s="237">
        <v>1</v>
      </c>
      <c r="I281" s="65">
        <v>1951</v>
      </c>
      <c r="J281" s="349">
        <v>5</v>
      </c>
      <c r="K281" s="346">
        <f t="shared" si="70"/>
        <v>6</v>
      </c>
      <c r="L281" s="346">
        <v>1</v>
      </c>
      <c r="M281" s="349">
        <v>5</v>
      </c>
      <c r="N281" s="255">
        <f t="shared" si="68"/>
        <v>1</v>
      </c>
      <c r="O281" s="310">
        <v>67</v>
      </c>
      <c r="P281" s="66">
        <v>4</v>
      </c>
      <c r="Q281" s="66"/>
      <c r="R281" s="66">
        <v>1</v>
      </c>
      <c r="S281" s="66">
        <v>55</v>
      </c>
      <c r="T281" s="66">
        <v>11</v>
      </c>
      <c r="U281" s="66">
        <v>0</v>
      </c>
      <c r="V281" s="66">
        <v>0</v>
      </c>
      <c r="W281" s="54">
        <v>0</v>
      </c>
      <c r="X281" s="55">
        <f>SUMIFS(Таблица3[Кол-во квартир],Таблица3[Адрес МКД],$D281)</f>
        <v>62</v>
      </c>
      <c r="Y281" s="56">
        <f t="shared" si="59"/>
        <v>6256.5</v>
      </c>
      <c r="Z281" s="253">
        <f>SUMIFS(Таблица3[Площадь жилая],Таблица3[Адрес МКД],$D281)</f>
        <v>3391.9</v>
      </c>
      <c r="AA281" s="261">
        <f>SUMIFS(Таблица3[Площадь нежилых помещений],Таблица3[Адрес МКД],$D281)</f>
        <v>925.1</v>
      </c>
      <c r="AB281" s="252">
        <f>SUMIFS(Таблица1[1],Таблица1[2],$D281)</f>
        <v>938</v>
      </c>
      <c r="AC281" s="57">
        <f t="shared" si="64"/>
        <v>938</v>
      </c>
      <c r="AD281" s="57">
        <f t="shared" si="65"/>
        <v>0</v>
      </c>
      <c r="AE281" s="58">
        <f>SUMIFS(Таблица1[8],Таблица1[2],$D281)+SUMIFS(Таблица1[18],Таблица1[2],$D281)</f>
        <v>580.6</v>
      </c>
      <c r="AF281" s="58">
        <f>SUMIFS(Таблица1[9],Таблица1[2],$D281)+SUMIFS(Таблица1[19],Таблица1[2],$D281)</f>
        <v>0</v>
      </c>
      <c r="AG281" s="59">
        <f t="shared" si="66"/>
        <v>1933.8</v>
      </c>
      <c r="AH281" s="59">
        <f t="shared" si="67"/>
        <v>1933.8</v>
      </c>
      <c r="AI281" s="60">
        <f>643.6-AM281</f>
        <v>516.4</v>
      </c>
      <c r="AJ281" s="60">
        <f t="shared" si="60"/>
        <v>293.39999999999998</v>
      </c>
      <c r="AK281" s="60">
        <f>SUMIFS(Таблица1[10],Таблица1[2],$D281)</f>
        <v>223</v>
      </c>
      <c r="AL281" s="60">
        <f>SUMIFS(Таблица1[11],Таблица1[2],$D281)</f>
        <v>0</v>
      </c>
      <c r="AM281" s="251">
        <f>121.5+5.7</f>
        <v>127.2</v>
      </c>
      <c r="AN281" s="249">
        <f t="shared" si="61"/>
        <v>-7.2000000000000028</v>
      </c>
      <c r="AO281" s="249">
        <f>SUMIFS(Таблица1[12],Таблица1[2],$D281)</f>
        <v>134.4</v>
      </c>
      <c r="AP281" s="249">
        <f>SUMIFS(Таблица1[13],Таблица1[2],$D281)</f>
        <v>0</v>
      </c>
      <c r="AQ281" s="61">
        <v>621</v>
      </c>
      <c r="AR281" s="61">
        <f t="shared" si="62"/>
        <v>621</v>
      </c>
      <c r="AS281" s="60">
        <f>SUMIFS(Таблица1[14],Таблица1[2],$D281)</f>
        <v>0</v>
      </c>
      <c r="AT281" s="60">
        <f>SUMIFS(Таблица1[15],Таблица1[2],$D281)</f>
        <v>0</v>
      </c>
      <c r="AU281" s="61">
        <v>1019.4</v>
      </c>
      <c r="AV281" s="61">
        <f t="shared" si="63"/>
        <v>1019.4</v>
      </c>
      <c r="AW281" s="60">
        <f>SUMIFS(Таблица1[16],Таблица1[2],$D281)</f>
        <v>0</v>
      </c>
      <c r="AX281" s="60">
        <f>SUMIFS(Таблица1[17],Таблица1[2],$D281)</f>
        <v>0</v>
      </c>
      <c r="AY281" s="263"/>
      <c r="AZ281" s="264"/>
      <c r="BA281" s="296">
        <v>0</v>
      </c>
      <c r="BB281" s="296">
        <f t="shared" si="71"/>
        <v>0</v>
      </c>
      <c r="BC281" s="296">
        <v>0</v>
      </c>
      <c r="BD281" s="296">
        <v>0</v>
      </c>
      <c r="BE281" s="285" t="s">
        <v>1649</v>
      </c>
      <c r="BF281" s="259">
        <v>2514</v>
      </c>
      <c r="BG281" s="260">
        <f>3828+316+7526</f>
        <v>11670</v>
      </c>
      <c r="BH281" s="62" t="s">
        <v>936</v>
      </c>
      <c r="BI281" s="62" t="s">
        <v>935</v>
      </c>
      <c r="BJ281" s="62" t="s">
        <v>944</v>
      </c>
      <c r="BK281" s="267"/>
      <c r="BL281" s="267"/>
      <c r="BM281" s="267" t="s">
        <v>1649</v>
      </c>
      <c r="BN281" s="268"/>
      <c r="BO281" s="62">
        <v>29</v>
      </c>
      <c r="BP281" s="63">
        <v>29971</v>
      </c>
      <c r="BQ281" s="64" t="s">
        <v>1131</v>
      </c>
      <c r="BR281" s="372" t="s">
        <v>2747</v>
      </c>
      <c r="BS281" s="62"/>
      <c r="BT281" s="323"/>
      <c r="BU281" s="62"/>
      <c r="BV281" s="323"/>
      <c r="BW281" s="62"/>
      <c r="BX281" s="336"/>
      <c r="BY281" s="336"/>
    </row>
    <row r="282" spans="1:77" ht="13.15" hidden="1" customHeight="1" outlineLevel="1" x14ac:dyDescent="0.2">
      <c r="A282" s="50">
        <f t="shared" si="69"/>
        <v>277</v>
      </c>
      <c r="B282" s="51">
        <v>40</v>
      </c>
      <c r="C282" s="51">
        <v>68</v>
      </c>
      <c r="D282" s="18" t="s">
        <v>534</v>
      </c>
      <c r="E282" s="18">
        <v>11</v>
      </c>
      <c r="F282" s="18">
        <v>2</v>
      </c>
      <c r="G282" s="52">
        <v>1</v>
      </c>
      <c r="H282" s="237">
        <v>1</v>
      </c>
      <c r="I282" s="53">
        <v>1952</v>
      </c>
      <c r="J282" s="348">
        <v>5</v>
      </c>
      <c r="K282" s="346">
        <f t="shared" si="70"/>
        <v>6</v>
      </c>
      <c r="L282" s="346">
        <v>1</v>
      </c>
      <c r="M282" s="349">
        <v>6</v>
      </c>
      <c r="N282" s="255">
        <f t="shared" si="68"/>
        <v>2</v>
      </c>
      <c r="O282" s="310">
        <v>84</v>
      </c>
      <c r="P282" s="66">
        <v>1</v>
      </c>
      <c r="Q282" s="66"/>
      <c r="R282" s="66">
        <v>0</v>
      </c>
      <c r="S282" s="66">
        <v>60</v>
      </c>
      <c r="T282" s="66">
        <v>24</v>
      </c>
      <c r="U282" s="66">
        <v>0</v>
      </c>
      <c r="V282" s="66">
        <v>0</v>
      </c>
      <c r="W282" s="54">
        <v>0</v>
      </c>
      <c r="X282" s="55">
        <f>SUMIFS(Таблица3[Кол-во квартир],Таблица3[Адрес МКД],$D282)</f>
        <v>81</v>
      </c>
      <c r="Y282" s="56">
        <f t="shared" si="59"/>
        <v>9589.1699999999983</v>
      </c>
      <c r="Z282" s="253">
        <f>SUMIFS(Таблица3[Площадь жилая],Таблица3[Адрес МКД],$D282)</f>
        <v>5067.5499999999993</v>
      </c>
      <c r="AA282" s="261">
        <f>SUMIFS(Таблица3[Площадь нежилых помещений],Таблица3[Адрес МКД],$D282)</f>
        <v>1716.4</v>
      </c>
      <c r="AB282" s="252">
        <f>SUMIFS(Таблица1[1],Таблица1[2],$D282)</f>
        <v>1716.4</v>
      </c>
      <c r="AC282" s="57">
        <f t="shared" si="64"/>
        <v>1716.4</v>
      </c>
      <c r="AD282" s="57">
        <f t="shared" si="65"/>
        <v>0</v>
      </c>
      <c r="AE282" s="58">
        <f>SUMIFS(Таблица1[8],Таблица1[2],$D282)+SUMIFS(Таблица1[18],Таблица1[2],$D282)</f>
        <v>1068.7</v>
      </c>
      <c r="AF282" s="58">
        <f>SUMIFS(Таблица1[9],Таблица1[2],$D282)+SUMIFS(Таблица1[19],Таблица1[2],$D282)</f>
        <v>0</v>
      </c>
      <c r="AG282" s="59">
        <f t="shared" si="66"/>
        <v>2805.2200000000003</v>
      </c>
      <c r="AH282" s="59">
        <f t="shared" si="67"/>
        <v>2805.2200000000003</v>
      </c>
      <c r="AI282" s="60">
        <f>923.8-AM282</f>
        <v>494.59999999999997</v>
      </c>
      <c r="AJ282" s="60">
        <f t="shared" si="60"/>
        <v>276.09999999999997</v>
      </c>
      <c r="AK282" s="60">
        <f>SUMIFS(Таблица1[10],Таблица1[2],$D282)</f>
        <v>218.5</v>
      </c>
      <c r="AL282" s="60">
        <f>SUMIFS(Таблица1[11],Таблица1[2],$D282)</f>
        <v>0</v>
      </c>
      <c r="AM282" s="251">
        <f>186.2+243</f>
        <v>429.2</v>
      </c>
      <c r="AN282" s="249">
        <f t="shared" si="61"/>
        <v>0</v>
      </c>
      <c r="AO282" s="249">
        <f>SUMIFS(Таблица1[12],Таблица1[2],$D282)</f>
        <v>429.2</v>
      </c>
      <c r="AP282" s="249">
        <f>SUMIFS(Таблица1[13],Таблица1[2],$D282)</f>
        <v>0</v>
      </c>
      <c r="AQ282" s="61">
        <v>799.2</v>
      </c>
      <c r="AR282" s="61">
        <f t="shared" si="62"/>
        <v>799.2</v>
      </c>
      <c r="AS282" s="60">
        <f>SUMIFS(Таблица1[14],Таблица1[2],$D282)</f>
        <v>0</v>
      </c>
      <c r="AT282" s="60">
        <f>SUMIFS(Таблица1[15],Таблица1[2],$D282)</f>
        <v>0</v>
      </c>
      <c r="AU282" s="61">
        <v>1729.92</v>
      </c>
      <c r="AV282" s="61">
        <f t="shared" si="63"/>
        <v>1729.92</v>
      </c>
      <c r="AW282" s="60">
        <f>SUMIFS(Таблица1[16],Таблица1[2],$D282)</f>
        <v>0</v>
      </c>
      <c r="AX282" s="60">
        <f>SUMIFS(Таблица1[17],Таблица1[2],$D282)</f>
        <v>0</v>
      </c>
      <c r="AY282" s="263"/>
      <c r="AZ282" s="264"/>
      <c r="BA282" s="296">
        <v>0</v>
      </c>
      <c r="BB282" s="296">
        <f t="shared" si="71"/>
        <v>0</v>
      </c>
      <c r="BC282" s="296">
        <v>0</v>
      </c>
      <c r="BD282" s="296">
        <v>0</v>
      </c>
      <c r="BE282" s="285"/>
      <c r="BF282" s="259">
        <v>4708</v>
      </c>
      <c r="BG282" s="260">
        <f>27080+233</f>
        <v>27313</v>
      </c>
      <c r="BH282" s="62" t="s">
        <v>936</v>
      </c>
      <c r="BI282" s="62" t="s">
        <v>944</v>
      </c>
      <c r="BJ282" s="62"/>
      <c r="BK282" s="267"/>
      <c r="BL282" s="267"/>
      <c r="BM282" s="267" t="s">
        <v>1649</v>
      </c>
      <c r="BN282" s="268"/>
      <c r="BO282" s="62">
        <v>22</v>
      </c>
      <c r="BP282" s="63">
        <v>29264</v>
      </c>
      <c r="BQ282" s="64" t="s">
        <v>1131</v>
      </c>
      <c r="BR282" s="372" t="s">
        <v>2747</v>
      </c>
      <c r="BS282" s="62"/>
      <c r="BT282" s="323"/>
      <c r="BU282" s="62"/>
      <c r="BV282" s="323"/>
      <c r="BW282" s="62"/>
      <c r="BX282" s="336"/>
      <c r="BY282" s="336" t="s">
        <v>1649</v>
      </c>
    </row>
    <row r="283" spans="1:77" ht="13.15" hidden="1" customHeight="1" outlineLevel="1" x14ac:dyDescent="0.2">
      <c r="A283" s="50">
        <f t="shared" si="69"/>
        <v>278</v>
      </c>
      <c r="B283" s="51">
        <v>41</v>
      </c>
      <c r="C283" s="51">
        <v>69</v>
      </c>
      <c r="D283" s="18" t="s">
        <v>535</v>
      </c>
      <c r="E283" s="18">
        <v>11</v>
      </c>
      <c r="F283" s="18">
        <v>2</v>
      </c>
      <c r="G283" s="52">
        <v>1</v>
      </c>
      <c r="H283" s="237">
        <v>1</v>
      </c>
      <c r="I283" s="53">
        <v>1952</v>
      </c>
      <c r="J283" s="348">
        <v>3</v>
      </c>
      <c r="K283" s="346">
        <f t="shared" si="70"/>
        <v>4</v>
      </c>
      <c r="L283" s="346">
        <v>1</v>
      </c>
      <c r="M283" s="349">
        <v>4</v>
      </c>
      <c r="N283" s="255">
        <f t="shared" si="68"/>
        <v>0</v>
      </c>
      <c r="O283" s="310">
        <v>39</v>
      </c>
      <c r="P283" s="66">
        <v>0</v>
      </c>
      <c r="Q283" s="66"/>
      <c r="R283" s="66">
        <v>0</v>
      </c>
      <c r="S283" s="66">
        <v>30</v>
      </c>
      <c r="T283" s="66">
        <v>9</v>
      </c>
      <c r="U283" s="66">
        <v>0</v>
      </c>
      <c r="V283" s="66">
        <v>0</v>
      </c>
      <c r="W283" s="54">
        <v>0</v>
      </c>
      <c r="X283" s="55">
        <f>SUMIFS(Таблица3[Кол-во квартир],Таблица3[Адрес МКД],$D283)</f>
        <v>39</v>
      </c>
      <c r="Y283" s="56">
        <f t="shared" si="59"/>
        <v>4055.93</v>
      </c>
      <c r="Z283" s="253">
        <f>SUMIFS(Таблица3[Площадь жилая],Таблица3[Адрес МКД],$D283)</f>
        <v>2219.6999999999998</v>
      </c>
      <c r="AA283" s="261">
        <f>SUMIFS(Таблица3[Площадь нежилых помещений],Таблица3[Адрес МКД],$D283)</f>
        <v>205.4</v>
      </c>
      <c r="AB283" s="252">
        <f>SUMIFS(Таблица1[1],Таблица1[2],$D283)</f>
        <v>303</v>
      </c>
      <c r="AC283" s="57">
        <f t="shared" si="64"/>
        <v>303</v>
      </c>
      <c r="AD283" s="57">
        <f t="shared" si="65"/>
        <v>0</v>
      </c>
      <c r="AE283" s="58">
        <f>SUMIFS(Таблица1[8],Таблица1[2],$D283)+SUMIFS(Таблица1[18],Таблица1[2],$D283)</f>
        <v>0</v>
      </c>
      <c r="AF283" s="58">
        <f>SUMIFS(Таблица1[9],Таблица1[2],$D283)+SUMIFS(Таблица1[19],Таблица1[2],$D283)</f>
        <v>0</v>
      </c>
      <c r="AG283" s="59">
        <f t="shared" si="66"/>
        <v>1533.23</v>
      </c>
      <c r="AH283" s="59">
        <f t="shared" si="67"/>
        <v>1533.23</v>
      </c>
      <c r="AI283" s="60">
        <f>573.9-AM283</f>
        <v>368.5</v>
      </c>
      <c r="AJ283" s="60">
        <f t="shared" si="60"/>
        <v>270.89999999999998</v>
      </c>
      <c r="AK283" s="60">
        <f>SUMIFS(Таблица1[10],Таблица1[2],$D283)</f>
        <v>97.6</v>
      </c>
      <c r="AL283" s="60">
        <f>SUMIFS(Таблица1[11],Таблица1[2],$D283)</f>
        <v>0</v>
      </c>
      <c r="AM283" s="251">
        <v>205.4</v>
      </c>
      <c r="AN283" s="249">
        <f t="shared" si="61"/>
        <v>0</v>
      </c>
      <c r="AO283" s="249">
        <f>SUMIFS(Таблица1[12],Таблица1[2],$D283)</f>
        <v>205.4</v>
      </c>
      <c r="AP283" s="249">
        <f>SUMIFS(Таблица1[13],Таблица1[2],$D283)</f>
        <v>0</v>
      </c>
      <c r="AQ283" s="61">
        <v>317.5</v>
      </c>
      <c r="AR283" s="61">
        <f t="shared" si="62"/>
        <v>317.5</v>
      </c>
      <c r="AS283" s="60">
        <f>SUMIFS(Таблица1[14],Таблица1[2],$D283)</f>
        <v>0</v>
      </c>
      <c r="AT283" s="60">
        <f>SUMIFS(Таблица1[15],Таблица1[2],$D283)</f>
        <v>0</v>
      </c>
      <c r="AU283" s="61">
        <v>944.83</v>
      </c>
      <c r="AV283" s="61">
        <f t="shared" si="63"/>
        <v>944.83</v>
      </c>
      <c r="AW283" s="60">
        <f>SUMIFS(Таблица1[16],Таблица1[2],$D283)</f>
        <v>0</v>
      </c>
      <c r="AX283" s="60">
        <f>SUMIFS(Таблица1[17],Таблица1[2],$D283)</f>
        <v>0</v>
      </c>
      <c r="AY283" s="263">
        <f>Нежилые!G1416</f>
        <v>97.6</v>
      </c>
      <c r="AZ283" s="264"/>
      <c r="BA283" s="296">
        <v>0</v>
      </c>
      <c r="BB283" s="296">
        <f t="shared" si="71"/>
        <v>0</v>
      </c>
      <c r="BC283" s="296">
        <v>0</v>
      </c>
      <c r="BD283" s="296">
        <v>0</v>
      </c>
      <c r="BE283" s="285"/>
      <c r="BF283" s="259">
        <v>2936</v>
      </c>
      <c r="BG283" s="260">
        <f>6730+3404</f>
        <v>10134</v>
      </c>
      <c r="BH283" s="62" t="s">
        <v>936</v>
      </c>
      <c r="BI283" s="62" t="s">
        <v>935</v>
      </c>
      <c r="BJ283" s="62"/>
      <c r="BK283" s="267"/>
      <c r="BL283" s="267"/>
      <c r="BM283" s="267" t="s">
        <v>1649</v>
      </c>
      <c r="BN283" s="268"/>
      <c r="BO283" s="62">
        <v>30</v>
      </c>
      <c r="BP283" s="63">
        <v>28562</v>
      </c>
      <c r="BQ283" s="64" t="s">
        <v>1131</v>
      </c>
      <c r="BR283" s="372" t="s">
        <v>2747</v>
      </c>
      <c r="BS283" s="62"/>
      <c r="BT283" s="323"/>
      <c r="BU283" s="62"/>
      <c r="BV283" s="323"/>
      <c r="BW283" s="62"/>
      <c r="BX283" s="336"/>
      <c r="BY283" s="336" t="s">
        <v>1649</v>
      </c>
    </row>
    <row r="284" spans="1:77" ht="13.15" customHeight="1" outlineLevel="1" x14ac:dyDescent="0.2">
      <c r="A284" s="50">
        <f t="shared" si="69"/>
        <v>279</v>
      </c>
      <c r="B284" s="51">
        <v>59</v>
      </c>
      <c r="C284" s="51">
        <v>81</v>
      </c>
      <c r="D284" s="18" t="s">
        <v>610</v>
      </c>
      <c r="E284" s="18">
        <v>12</v>
      </c>
      <c r="F284" s="18">
        <v>4</v>
      </c>
      <c r="G284" s="52">
        <v>1</v>
      </c>
      <c r="H284" s="366">
        <v>1</v>
      </c>
      <c r="I284" s="53">
        <v>1961</v>
      </c>
      <c r="J284" s="348">
        <v>3</v>
      </c>
      <c r="K284" s="346">
        <f t="shared" si="70"/>
        <v>3</v>
      </c>
      <c r="L284" s="346">
        <v>0</v>
      </c>
      <c r="M284" s="349">
        <v>2</v>
      </c>
      <c r="N284" s="255">
        <f t="shared" si="68"/>
        <v>0</v>
      </c>
      <c r="O284" s="310">
        <v>22</v>
      </c>
      <c r="P284" s="66">
        <v>0</v>
      </c>
      <c r="Q284" s="66"/>
      <c r="R284" s="66">
        <v>5</v>
      </c>
      <c r="S284" s="66">
        <v>17</v>
      </c>
      <c r="T284" s="66">
        <v>0</v>
      </c>
      <c r="U284" s="66">
        <v>0</v>
      </c>
      <c r="V284" s="66">
        <v>0</v>
      </c>
      <c r="W284" s="54">
        <v>0</v>
      </c>
      <c r="X284" s="55">
        <f>SUMIFS(Таблица3[Кол-во квартир],Таблица3[Адрес МКД],$D284)</f>
        <v>22</v>
      </c>
      <c r="Y284" s="56">
        <f t="shared" si="59"/>
        <v>1429.6799999999998</v>
      </c>
      <c r="Z284" s="253">
        <f>SUMIFS(Таблица3[Площадь жилая],Таблица3[Адрес МКД],$D284)</f>
        <v>896.4</v>
      </c>
      <c r="AA284" s="261">
        <f>SUMIFS(Таблица3[Площадь нежилых помещений],Таблица3[Адрес МКД],$D284)</f>
        <v>73.3</v>
      </c>
      <c r="AB284" s="252">
        <f>SUMIFS(Таблица1[1],Таблица1[2],$D284)</f>
        <v>73.3</v>
      </c>
      <c r="AC284" s="57">
        <f t="shared" si="64"/>
        <v>73.3</v>
      </c>
      <c r="AD284" s="57">
        <f t="shared" si="65"/>
        <v>0</v>
      </c>
      <c r="AE284" s="58">
        <f>SUMIFS(Таблица1[8],Таблица1[2],$D284)+SUMIFS(Таблица1[18],Таблица1[2],$D284)</f>
        <v>73.3</v>
      </c>
      <c r="AF284" s="58">
        <f>SUMIFS(Таблица1[9],Таблица1[2],$D284)+SUMIFS(Таблица1[19],Таблица1[2],$D284)</f>
        <v>0</v>
      </c>
      <c r="AG284" s="59">
        <f t="shared" si="66"/>
        <v>459.98</v>
      </c>
      <c r="AH284" s="59">
        <f t="shared" si="67"/>
        <v>459.98</v>
      </c>
      <c r="AI284" s="60">
        <f>0-AM284</f>
        <v>0</v>
      </c>
      <c r="AJ284" s="60">
        <f t="shared" si="60"/>
        <v>0</v>
      </c>
      <c r="AK284" s="60">
        <f>SUMIFS(Таблица1[10],Таблица1[2],$D284)</f>
        <v>0</v>
      </c>
      <c r="AL284" s="60">
        <f>SUMIFS(Таблица1[11],Таблица1[2],$D284)</f>
        <v>0</v>
      </c>
      <c r="AM284" s="251">
        <v>0</v>
      </c>
      <c r="AN284" s="249">
        <f t="shared" si="61"/>
        <v>0</v>
      </c>
      <c r="AO284" s="249">
        <f>SUMIFS(Таблица1[12],Таблица1[2],$D284)</f>
        <v>0</v>
      </c>
      <c r="AP284" s="249">
        <f>SUMIFS(Таблица1[13],Таблица1[2],$D284)</f>
        <v>0</v>
      </c>
      <c r="AQ284" s="61">
        <v>73.5</v>
      </c>
      <c r="AR284" s="61">
        <f t="shared" si="62"/>
        <v>73.5</v>
      </c>
      <c r="AS284" s="60">
        <f>SUMIFS(Таблица1[14],Таблица1[2],$D284)</f>
        <v>0</v>
      </c>
      <c r="AT284" s="60">
        <f>SUMIFS(Таблица1[15],Таблица1[2],$D284)</f>
        <v>0</v>
      </c>
      <c r="AU284" s="61">
        <v>386.48</v>
      </c>
      <c r="AV284" s="61">
        <f t="shared" si="63"/>
        <v>386.48</v>
      </c>
      <c r="AW284" s="60">
        <f>SUMIFS(Таблица1[16],Таблица1[2],$D284)</f>
        <v>0</v>
      </c>
      <c r="AX284" s="60">
        <f>SUMIFS(Таблица1[17],Таблица1[2],$D284)</f>
        <v>0</v>
      </c>
      <c r="AY284" s="263"/>
      <c r="AZ284" s="264"/>
      <c r="BA284" s="296">
        <v>0</v>
      </c>
      <c r="BB284" s="296">
        <f t="shared" si="71"/>
        <v>0</v>
      </c>
      <c r="BC284" s="296">
        <v>0</v>
      </c>
      <c r="BD284" s="296">
        <v>0</v>
      </c>
      <c r="BE284" s="285"/>
      <c r="BF284" s="259">
        <v>0</v>
      </c>
      <c r="BG284" s="260">
        <v>3731</v>
      </c>
      <c r="BH284" s="62" t="s">
        <v>943</v>
      </c>
      <c r="BI284" s="62" t="s">
        <v>935</v>
      </c>
      <c r="BJ284" s="62" t="s">
        <v>1017</v>
      </c>
      <c r="BK284" s="267"/>
      <c r="BL284" s="267" t="s">
        <v>1649</v>
      </c>
      <c r="BM284" s="267" t="s">
        <v>58</v>
      </c>
      <c r="BN284" s="268"/>
      <c r="BO284" s="62">
        <v>35</v>
      </c>
      <c r="BP284" s="63">
        <v>44082</v>
      </c>
      <c r="BQ284" s="64" t="s">
        <v>1148</v>
      </c>
      <c r="BR284" s="372" t="s">
        <v>2747</v>
      </c>
      <c r="BS284" s="62"/>
      <c r="BT284" s="323"/>
      <c r="BU284" s="62"/>
      <c r="BV284" s="323"/>
      <c r="BW284" s="62"/>
      <c r="BX284" s="336"/>
      <c r="BY284" s="336"/>
    </row>
    <row r="285" spans="1:77" ht="13.15" hidden="1" customHeight="1" outlineLevel="1" x14ac:dyDescent="0.2">
      <c r="A285" s="50">
        <f t="shared" si="69"/>
        <v>280</v>
      </c>
      <c r="B285" s="51">
        <v>12</v>
      </c>
      <c r="C285" s="51">
        <v>32</v>
      </c>
      <c r="D285" s="18" t="s">
        <v>630</v>
      </c>
      <c r="E285" s="18">
        <v>14</v>
      </c>
      <c r="F285" s="18">
        <v>3</v>
      </c>
      <c r="G285" s="52">
        <v>1</v>
      </c>
      <c r="H285" s="237">
        <v>1</v>
      </c>
      <c r="I285" s="65">
        <v>1955</v>
      </c>
      <c r="J285" s="349">
        <v>5</v>
      </c>
      <c r="K285" s="346">
        <f t="shared" si="70"/>
        <v>6</v>
      </c>
      <c r="L285" s="346">
        <v>1</v>
      </c>
      <c r="M285" s="349">
        <v>5</v>
      </c>
      <c r="N285" s="255">
        <f t="shared" si="68"/>
        <v>-1</v>
      </c>
      <c r="O285" s="310">
        <v>84</v>
      </c>
      <c r="P285" s="66">
        <v>0</v>
      </c>
      <c r="Q285" s="66"/>
      <c r="R285" s="66">
        <v>0</v>
      </c>
      <c r="S285" s="66">
        <v>66</v>
      </c>
      <c r="T285" s="66">
        <v>18</v>
      </c>
      <c r="U285" s="66">
        <v>0</v>
      </c>
      <c r="V285" s="66">
        <v>0</v>
      </c>
      <c r="W285" s="54">
        <v>0</v>
      </c>
      <c r="X285" s="55">
        <f>SUMIFS(Таблица3[Кол-во квартир],Таблица3[Адрес МКД],$D285)</f>
        <v>85</v>
      </c>
      <c r="Y285" s="56">
        <f t="shared" ref="Y285:Y312" si="72">Z285+AB285+AG285+AN285</f>
        <v>7376</v>
      </c>
      <c r="Z285" s="253">
        <f>SUMIFS(Таблица3[Площадь жилая],Таблица3[Адрес МКД],$D285)</f>
        <v>4865.8</v>
      </c>
      <c r="AA285" s="261">
        <f>SUMIFS(Таблица3[Площадь нежилых помещений],Таблица3[Адрес МКД],$D285)</f>
        <v>371.3</v>
      </c>
      <c r="AB285" s="252">
        <f>SUMIFS(Таблица1[1],Таблица1[2],$D285)</f>
        <v>487.40000000000003</v>
      </c>
      <c r="AC285" s="57">
        <f t="shared" si="64"/>
        <v>487.40000000000009</v>
      </c>
      <c r="AD285" s="57">
        <f t="shared" si="65"/>
        <v>0</v>
      </c>
      <c r="AE285" s="58">
        <f>SUMIFS(Таблица1[8],Таблица1[2],$D285)+SUMIFS(Таблица1[18],Таблица1[2],$D285)</f>
        <v>27.1</v>
      </c>
      <c r="AF285" s="58">
        <f>SUMIFS(Таблица1[9],Таблица1[2],$D285)+SUMIFS(Таблица1[19],Таблица1[2],$D285)</f>
        <v>0</v>
      </c>
      <c r="AG285" s="59">
        <f>AJ285+AR285+AV285+AZ285+BB285</f>
        <v>2022.8</v>
      </c>
      <c r="AH285" s="59">
        <f>AJ285+AL285+AR285+AT285+AV285+AX285+BB285+BD285</f>
        <v>2022.8</v>
      </c>
      <c r="AI285" s="60">
        <f>638.8-AM285</f>
        <v>484.59999999999997</v>
      </c>
      <c r="AJ285" s="60">
        <f t="shared" si="60"/>
        <v>178.49999999999994</v>
      </c>
      <c r="AK285" s="60">
        <f>SUMIFS(Таблица1[10],Таблица1[2],$D285)</f>
        <v>306.10000000000002</v>
      </c>
      <c r="AL285" s="60">
        <f>SUMIFS(Таблица1[11],Таблица1[2],$D285)</f>
        <v>0</v>
      </c>
      <c r="AM285" s="251">
        <v>154.19999999999999</v>
      </c>
      <c r="AN285" s="249">
        <f t="shared" si="61"/>
        <v>-2.8421709430404007E-14</v>
      </c>
      <c r="AO285" s="249">
        <f>SUMIFS(Таблица1[12],Таблица1[2],$D285)</f>
        <v>154.20000000000002</v>
      </c>
      <c r="AP285" s="249">
        <f>SUMIFS(Таблица1[13],Таблица1[2],$D285)</f>
        <v>0</v>
      </c>
      <c r="AQ285" s="61">
        <v>573.29999999999995</v>
      </c>
      <c r="AR285" s="61">
        <f t="shared" si="62"/>
        <v>573.29999999999995</v>
      </c>
      <c r="AS285" s="60">
        <f>SUMIFS(Таблица1[14],Таблица1[2],$D285)</f>
        <v>0</v>
      </c>
      <c r="AT285" s="60">
        <f>SUMIFS(Таблица1[15],Таблица1[2],$D285)</f>
        <v>0</v>
      </c>
      <c r="AU285" s="61">
        <v>1271</v>
      </c>
      <c r="AV285" s="61">
        <f t="shared" si="63"/>
        <v>1271</v>
      </c>
      <c r="AW285" s="60">
        <f>SUMIFS(Таблица1[16],Таблица1[2],$D285)</f>
        <v>0</v>
      </c>
      <c r="AX285" s="60">
        <f>SUMIFS(Таблица1[17],Таблица1[2],$D285)</f>
        <v>0</v>
      </c>
      <c r="AY285" s="263">
        <f>Нежилые!G1553</f>
        <v>116.1</v>
      </c>
      <c r="AZ285" s="264"/>
      <c r="BA285" s="296">
        <v>27.1</v>
      </c>
      <c r="BB285" s="296">
        <f t="shared" si="71"/>
        <v>0</v>
      </c>
      <c r="BC285" s="296">
        <f>Нежилые!I1554</f>
        <v>27.1</v>
      </c>
      <c r="BD285" s="296">
        <v>0</v>
      </c>
      <c r="BE285" s="285"/>
      <c r="BF285" s="259">
        <v>4139</v>
      </c>
      <c r="BG285" s="260">
        <f>22293+86</f>
        <v>22379</v>
      </c>
      <c r="BH285" s="62" t="s">
        <v>936</v>
      </c>
      <c r="BI285" s="62" t="s">
        <v>935</v>
      </c>
      <c r="BJ285" s="62"/>
      <c r="BK285" s="267"/>
      <c r="BL285" s="267"/>
      <c r="BM285" s="267" t="s">
        <v>1649</v>
      </c>
      <c r="BN285" s="268"/>
      <c r="BO285" s="62">
        <v>43</v>
      </c>
      <c r="BP285" s="63">
        <v>32114</v>
      </c>
      <c r="BQ285" s="64" t="s">
        <v>1131</v>
      </c>
      <c r="BR285" s="372" t="s">
        <v>2747</v>
      </c>
      <c r="BS285" s="62"/>
      <c r="BT285" s="323"/>
      <c r="BU285" s="62"/>
      <c r="BV285" s="323"/>
      <c r="BW285" s="62"/>
      <c r="BX285" s="336"/>
      <c r="BY285" s="336"/>
    </row>
    <row r="286" spans="1:77" ht="13.15" hidden="1" customHeight="1" outlineLevel="1" x14ac:dyDescent="0.2">
      <c r="A286" s="50">
        <f t="shared" si="69"/>
        <v>281</v>
      </c>
      <c r="B286" s="51">
        <v>13</v>
      </c>
      <c r="C286" s="51">
        <v>33</v>
      </c>
      <c r="D286" s="18" t="s">
        <v>631</v>
      </c>
      <c r="E286" s="18">
        <v>14</v>
      </c>
      <c r="F286" s="18">
        <v>3</v>
      </c>
      <c r="G286" s="52">
        <v>1</v>
      </c>
      <c r="H286" s="366">
        <v>1</v>
      </c>
      <c r="I286" s="65">
        <v>1955</v>
      </c>
      <c r="J286" s="349">
        <v>6</v>
      </c>
      <c r="K286" s="346">
        <f t="shared" si="70"/>
        <v>6</v>
      </c>
      <c r="L286" s="346">
        <v>0</v>
      </c>
      <c r="M286" s="349">
        <v>2</v>
      </c>
      <c r="N286" s="255">
        <f t="shared" si="68"/>
        <v>0</v>
      </c>
      <c r="O286" s="310">
        <v>12</v>
      </c>
      <c r="P286" s="66">
        <v>1</v>
      </c>
      <c r="Q286" s="66"/>
      <c r="R286" s="66">
        <v>0</v>
      </c>
      <c r="S286" s="66">
        <v>4</v>
      </c>
      <c r="T286" s="66">
        <v>4</v>
      </c>
      <c r="U286" s="66">
        <v>4</v>
      </c>
      <c r="V286" s="66">
        <v>0</v>
      </c>
      <c r="W286" s="54">
        <v>0</v>
      </c>
      <c r="X286" s="55">
        <f>SUMIFS(Таблица3[Кол-во квартир],Таблица3[Адрес МКД],$D286)</f>
        <v>11</v>
      </c>
      <c r="Y286" s="56">
        <f t="shared" si="72"/>
        <v>1252.5999999999999</v>
      </c>
      <c r="Z286" s="253">
        <f>SUMIFS(Таблица3[Площадь жилая],Таблица3[Адрес МКД],$D286)</f>
        <v>846.6</v>
      </c>
      <c r="AA286" s="261">
        <f>SUMIFS(Таблица3[Площадь нежилых помещений],Таблица3[Адрес МКД],$D286)</f>
        <v>47</v>
      </c>
      <c r="AB286" s="252">
        <f>SUMIFS(Таблица1[1],Таблица1[2],$D286)</f>
        <v>61.4</v>
      </c>
      <c r="AC286" s="57">
        <f t="shared" si="64"/>
        <v>47</v>
      </c>
      <c r="AD286" s="57">
        <f t="shared" si="65"/>
        <v>14.4</v>
      </c>
      <c r="AE286" s="58">
        <f>SUMIFS(Таблица1[8],Таблица1[2],$D286)+SUMIFS(Таблица1[18],Таблица1[2],$D286)</f>
        <v>47</v>
      </c>
      <c r="AF286" s="58">
        <f>SUMIFS(Таблица1[9],Таблица1[2],$D286)+SUMIFS(Таблица1[19],Таблица1[2],$D286)</f>
        <v>0</v>
      </c>
      <c r="AG286" s="59">
        <f t="shared" si="66"/>
        <v>344.6</v>
      </c>
      <c r="AH286" s="59">
        <f t="shared" si="67"/>
        <v>359</v>
      </c>
      <c r="AI286" s="60">
        <f>547.5*0-AM286</f>
        <v>0</v>
      </c>
      <c r="AJ286" s="60">
        <f t="shared" si="60"/>
        <v>0</v>
      </c>
      <c r="AK286" s="60">
        <f>SUMIFS(Таблица1[10],Таблица1[2],$D286)</f>
        <v>0</v>
      </c>
      <c r="AL286" s="60">
        <f>SUMIFS(Таблица1[11],Таблица1[2],$D286)</f>
        <v>0</v>
      </c>
      <c r="AM286" s="251">
        <v>0</v>
      </c>
      <c r="AN286" s="249">
        <f t="shared" si="61"/>
        <v>0</v>
      </c>
      <c r="AO286" s="249">
        <f>SUMIFS(Таблица1[12],Таблица1[2],$D286)</f>
        <v>0</v>
      </c>
      <c r="AP286" s="249">
        <f>SUMIFS(Таблица1[13],Таблица1[2],$D286)</f>
        <v>0</v>
      </c>
      <c r="AQ286" s="61">
        <f>160</f>
        <v>160</v>
      </c>
      <c r="AR286" s="61">
        <f t="shared" si="62"/>
        <v>145.6</v>
      </c>
      <c r="AS286" s="60">
        <f>SUMIFS(Таблица1[14],Таблица1[2],$D286)</f>
        <v>0</v>
      </c>
      <c r="AT286" s="60">
        <f>SUMIFS(Таблица1[15],Таблица1[2],$D286)</f>
        <v>14.4</v>
      </c>
      <c r="AU286" s="61">
        <v>199</v>
      </c>
      <c r="AV286" s="61">
        <f t="shared" si="63"/>
        <v>199</v>
      </c>
      <c r="AW286" s="60">
        <f>SUMIFS(Таблица1[16],Таблица1[2],$D286)</f>
        <v>0</v>
      </c>
      <c r="AX286" s="60">
        <f>SUMIFS(Таблица1[17],Таблица1[2],$D286)</f>
        <v>0</v>
      </c>
      <c r="AY286" s="263"/>
      <c r="AZ286" s="264"/>
      <c r="BA286" s="296">
        <v>0</v>
      </c>
      <c r="BB286" s="296">
        <f t="shared" si="71"/>
        <v>0</v>
      </c>
      <c r="BC286" s="296">
        <v>0</v>
      </c>
      <c r="BD286" s="296">
        <v>0</v>
      </c>
      <c r="BE286" s="285"/>
      <c r="BF286" s="259">
        <v>0</v>
      </c>
      <c r="BG286" s="260">
        <v>4687</v>
      </c>
      <c r="BH286" s="62" t="s">
        <v>936</v>
      </c>
      <c r="BI286" s="62" t="s">
        <v>935</v>
      </c>
      <c r="BJ286" s="62"/>
      <c r="BK286" s="267"/>
      <c r="BL286" s="267"/>
      <c r="BM286" s="267" t="s">
        <v>1649</v>
      </c>
      <c r="BN286" s="268"/>
      <c r="BO286" s="62">
        <v>36</v>
      </c>
      <c r="BP286" s="63">
        <v>32114</v>
      </c>
      <c r="BQ286" s="64" t="s">
        <v>1131</v>
      </c>
      <c r="BR286" s="372" t="s">
        <v>2747</v>
      </c>
      <c r="BS286" s="62"/>
      <c r="BT286" s="323"/>
      <c r="BU286" s="62"/>
      <c r="BV286" s="323"/>
      <c r="BW286" s="62"/>
      <c r="BX286" s="336"/>
      <c r="BY286" s="336"/>
    </row>
    <row r="287" spans="1:77" ht="13.15" hidden="1" customHeight="1" outlineLevel="1" x14ac:dyDescent="0.2">
      <c r="A287" s="50">
        <f t="shared" si="69"/>
        <v>282</v>
      </c>
      <c r="B287" s="51">
        <v>14</v>
      </c>
      <c r="C287" s="51">
        <v>34</v>
      </c>
      <c r="D287" s="18" t="s">
        <v>1324</v>
      </c>
      <c r="E287" s="18">
        <v>14</v>
      </c>
      <c r="F287" s="18">
        <v>3</v>
      </c>
      <c r="G287" s="52">
        <v>1</v>
      </c>
      <c r="H287" s="237">
        <v>1</v>
      </c>
      <c r="I287" s="65">
        <v>1955</v>
      </c>
      <c r="J287" s="349">
        <v>4</v>
      </c>
      <c r="K287" s="346">
        <f t="shared" si="70"/>
        <v>5</v>
      </c>
      <c r="L287" s="346">
        <v>1</v>
      </c>
      <c r="M287" s="349">
        <v>2</v>
      </c>
      <c r="N287" s="255">
        <f t="shared" si="68"/>
        <v>1</v>
      </c>
      <c r="O287" s="310">
        <v>30</v>
      </c>
      <c r="P287" s="66">
        <v>1</v>
      </c>
      <c r="Q287" s="66"/>
      <c r="R287" s="66">
        <v>0</v>
      </c>
      <c r="S287" s="66">
        <v>18</v>
      </c>
      <c r="T287" s="66">
        <v>12</v>
      </c>
      <c r="U287" s="66">
        <v>0</v>
      </c>
      <c r="V287" s="66">
        <v>0</v>
      </c>
      <c r="W287" s="54">
        <v>0</v>
      </c>
      <c r="X287" s="55">
        <f>SUMIFS(Таблица3[Кол-во квартир],Таблица3[Адрес МКД],$D287)</f>
        <v>28</v>
      </c>
      <c r="Y287" s="56">
        <f t="shared" si="72"/>
        <v>3158.0999999999995</v>
      </c>
      <c r="Z287" s="253">
        <f>SUMIFS(Таблица3[Площадь жилая],Таблица3[Адрес МКД],$D287)</f>
        <v>1786.1</v>
      </c>
      <c r="AA287" s="261">
        <f>SUMIFS(Таблица3[Площадь нежилых помещений],Таблица3[Адрес МКД],$D287)</f>
        <v>336</v>
      </c>
      <c r="AB287" s="252">
        <f>SUMIFS(Таблица1[1],Таблица1[2],$D287)</f>
        <v>330.79999999999995</v>
      </c>
      <c r="AC287" s="57">
        <f t="shared" si="64"/>
        <v>330.79999999999995</v>
      </c>
      <c r="AD287" s="57">
        <f t="shared" si="65"/>
        <v>0</v>
      </c>
      <c r="AE287" s="58">
        <f>SUMIFS(Таблица1[8],Таблица1[2],$D287)+SUMIFS(Таблица1[18],Таблица1[2],$D287)</f>
        <v>252.6</v>
      </c>
      <c r="AF287" s="58">
        <f>SUMIFS(Таблица1[9],Таблица1[2],$D287)+SUMIFS(Таблица1[19],Таблица1[2],$D287)</f>
        <v>0</v>
      </c>
      <c r="AG287" s="59">
        <f t="shared" si="66"/>
        <v>1041.2</v>
      </c>
      <c r="AH287" s="59">
        <f t="shared" si="67"/>
        <v>1041.2</v>
      </c>
      <c r="AI287" s="60">
        <v>242.7</v>
      </c>
      <c r="AJ287" s="60">
        <f t="shared" si="60"/>
        <v>184.89999999999998</v>
      </c>
      <c r="AK287" s="60">
        <f>SUMIFS(Таблица1[10],Таблица1[2],$D287)</f>
        <v>57.8</v>
      </c>
      <c r="AL287" s="60">
        <f>SUMIFS(Таблица1[11],Таблица1[2],$D287)</f>
        <v>0</v>
      </c>
      <c r="AM287" s="251">
        <v>20.399999999999999</v>
      </c>
      <c r="AN287" s="249">
        <f t="shared" si="61"/>
        <v>0</v>
      </c>
      <c r="AO287" s="249">
        <f>SUMIFS(Таблица1[12],Таблица1[2],$D287)</f>
        <v>20.399999999999999</v>
      </c>
      <c r="AP287" s="249">
        <f>SUMIFS(Таблица1[13],Таблица1[2],$D287)</f>
        <v>0</v>
      </c>
      <c r="AQ287" s="61">
        <f>227.7</f>
        <v>227.7</v>
      </c>
      <c r="AR287" s="61">
        <f t="shared" si="62"/>
        <v>227.7</v>
      </c>
      <c r="AS287" s="60">
        <f>SUMIFS(Таблица1[14],Таблица1[2],$D287)</f>
        <v>0</v>
      </c>
      <c r="AT287" s="60">
        <f>SUMIFS(Таблица1[15],Таблица1[2],$D287)</f>
        <v>0</v>
      </c>
      <c r="AU287" s="61">
        <v>628.6</v>
      </c>
      <c r="AV287" s="61">
        <f t="shared" si="63"/>
        <v>628.6</v>
      </c>
      <c r="AW287" s="60">
        <f>SUMIFS(Таблица1[16],Таблица1[2],$D287)</f>
        <v>0</v>
      </c>
      <c r="AX287" s="60">
        <f>SUMIFS(Таблица1[17],Таблица1[2],$D287)</f>
        <v>0</v>
      </c>
      <c r="AY287" s="263"/>
      <c r="AZ287" s="264"/>
      <c r="BA287" s="296">
        <v>0</v>
      </c>
      <c r="BB287" s="296">
        <f t="shared" si="71"/>
        <v>0</v>
      </c>
      <c r="BC287" s="296">
        <v>0</v>
      </c>
      <c r="BD287" s="296">
        <v>0</v>
      </c>
      <c r="BE287" s="285"/>
      <c r="BF287" s="259">
        <v>292.2</v>
      </c>
      <c r="BG287" s="260">
        <v>9473.2000000000007</v>
      </c>
      <c r="BH287" s="62" t="s">
        <v>936</v>
      </c>
      <c r="BI287" s="62" t="s">
        <v>935</v>
      </c>
      <c r="BJ287" s="62" t="s">
        <v>1010</v>
      </c>
      <c r="BK287" s="267"/>
      <c r="BL287" s="267"/>
      <c r="BM287" s="267" t="s">
        <v>1649</v>
      </c>
      <c r="BN287" s="268"/>
      <c r="BO287" s="62">
        <v>29</v>
      </c>
      <c r="BP287" s="63">
        <v>32114</v>
      </c>
      <c r="BQ287" s="64" t="s">
        <v>1131</v>
      </c>
      <c r="BR287" s="372" t="s">
        <v>2747</v>
      </c>
      <c r="BS287" s="62"/>
      <c r="BT287" s="323"/>
      <c r="BU287" s="62"/>
      <c r="BV287" s="323"/>
      <c r="BW287" s="62"/>
      <c r="BX287" s="338"/>
      <c r="BY287" s="336"/>
    </row>
    <row r="288" spans="1:77" ht="13.15" hidden="1" customHeight="1" outlineLevel="1" x14ac:dyDescent="0.2">
      <c r="A288" s="50">
        <f t="shared" si="69"/>
        <v>283</v>
      </c>
      <c r="B288" s="51">
        <v>15</v>
      </c>
      <c r="C288" s="51">
        <v>35</v>
      </c>
      <c r="D288" s="18" t="s">
        <v>632</v>
      </c>
      <c r="E288" s="18">
        <v>14</v>
      </c>
      <c r="F288" s="18">
        <v>3</v>
      </c>
      <c r="G288" s="52">
        <v>4</v>
      </c>
      <c r="H288" s="237">
        <v>4</v>
      </c>
      <c r="I288" s="65">
        <v>1957</v>
      </c>
      <c r="J288" s="349">
        <v>5</v>
      </c>
      <c r="K288" s="346">
        <f t="shared" si="70"/>
        <v>6</v>
      </c>
      <c r="L288" s="346">
        <v>1</v>
      </c>
      <c r="M288" s="349">
        <v>15</v>
      </c>
      <c r="N288" s="255">
        <f t="shared" si="68"/>
        <v>5</v>
      </c>
      <c r="O288" s="310">
        <v>281</v>
      </c>
      <c r="P288" s="327">
        <v>5</v>
      </c>
      <c r="Q288" s="66"/>
      <c r="R288" s="66">
        <v>12</v>
      </c>
      <c r="S288" s="66">
        <v>172</v>
      </c>
      <c r="T288" s="66">
        <v>92</v>
      </c>
      <c r="U288" s="66">
        <v>5</v>
      </c>
      <c r="V288" s="66">
        <v>0</v>
      </c>
      <c r="W288" s="54">
        <v>0</v>
      </c>
      <c r="X288" s="55">
        <f>SUMIFS(Таблица3[Кол-во квартир],Таблица3[Адрес МКД],$D288)</f>
        <v>271</v>
      </c>
      <c r="Y288" s="56">
        <f t="shared" si="72"/>
        <v>26651.799999999996</v>
      </c>
      <c r="Z288" s="253">
        <f>SUMIFS(Таблица3[Площадь жилая],Таблица3[Адрес МКД],$D288)</f>
        <v>17825.599999999999</v>
      </c>
      <c r="AA288" s="261">
        <f>SUMIFS(Таблица3[Площадь нежилых помещений],Таблица3[Адрес МКД],$D288)</f>
        <v>1090.7</v>
      </c>
      <c r="AB288" s="252">
        <f>SUMIFS(Таблица1[1],Таблица1[2],$D288)</f>
        <v>1241.6000000000001</v>
      </c>
      <c r="AC288" s="57">
        <f t="shared" si="64"/>
        <v>1090.7</v>
      </c>
      <c r="AD288" s="57">
        <f t="shared" si="65"/>
        <v>150.9</v>
      </c>
      <c r="AE288" s="58">
        <f>SUMIFS(Таблица1[8],Таблица1[2],$D288)+SUMIFS(Таблица1[18],Таблица1[2],$D288)</f>
        <v>777.4</v>
      </c>
      <c r="AF288" s="58">
        <f>SUMIFS(Таблица1[9],Таблица1[2],$D288)+SUMIFS(Таблица1[19],Таблица1[2],$D288)</f>
        <v>0</v>
      </c>
      <c r="AG288" s="59">
        <f t="shared" si="66"/>
        <v>7584.5999999999995</v>
      </c>
      <c r="AH288" s="59">
        <f t="shared" si="67"/>
        <v>7735.5</v>
      </c>
      <c r="AI288" s="60">
        <f>3812.9-176.4-AM288</f>
        <v>3636.5</v>
      </c>
      <c r="AJ288" s="60">
        <f t="shared" si="60"/>
        <v>3172.2999999999997</v>
      </c>
      <c r="AK288" s="60">
        <f>SUMIFS(Таблица1[10],Таблица1[2],$D288)</f>
        <v>313.3</v>
      </c>
      <c r="AL288" s="60">
        <f>SUMIFS(Таблица1[11],Таблица1[2],$D288)</f>
        <v>150.9</v>
      </c>
      <c r="AM288" s="251">
        <v>0</v>
      </c>
      <c r="AN288" s="249">
        <f t="shared" si="61"/>
        <v>0</v>
      </c>
      <c r="AO288" s="249">
        <f>SUMIFS(Таблица1[12],Таблица1[2],$D288)</f>
        <v>0</v>
      </c>
      <c r="AP288" s="249">
        <f>SUMIFS(Таблица1[13],Таблица1[2],$D288)</f>
        <v>0</v>
      </c>
      <c r="AQ288" s="61">
        <v>1964.3</v>
      </c>
      <c r="AR288" s="61">
        <f t="shared" si="62"/>
        <v>1964.3</v>
      </c>
      <c r="AS288" s="60">
        <f>SUMIFS(Таблица1[14],Таблица1[2],$D288)</f>
        <v>0</v>
      </c>
      <c r="AT288" s="60">
        <f>SUMIFS(Таблица1[15],Таблица1[2],$D288)</f>
        <v>0</v>
      </c>
      <c r="AU288" s="61">
        <v>2448</v>
      </c>
      <c r="AV288" s="61">
        <f t="shared" si="63"/>
        <v>2448</v>
      </c>
      <c r="AW288" s="60">
        <f>SUMIFS(Таблица1[16],Таблица1[2],$D288)</f>
        <v>0</v>
      </c>
      <c r="AX288" s="60">
        <f>SUMIFS(Таблица1[17],Таблица1[2],$D288)</f>
        <v>0</v>
      </c>
      <c r="AY288" s="263"/>
      <c r="AZ288" s="264"/>
      <c r="BA288" s="296">
        <v>0</v>
      </c>
      <c r="BB288" s="296">
        <f t="shared" si="71"/>
        <v>0</v>
      </c>
      <c r="BC288" s="296">
        <v>0</v>
      </c>
      <c r="BD288" s="296">
        <v>0</v>
      </c>
      <c r="BE288" s="285"/>
      <c r="BF288" s="259">
        <v>1701</v>
      </c>
      <c r="BG288" s="260">
        <f>80071+14275+43</f>
        <v>94389</v>
      </c>
      <c r="BH288" s="62" t="s">
        <v>936</v>
      </c>
      <c r="BI288" s="62" t="s">
        <v>935</v>
      </c>
      <c r="BJ288" s="62" t="s">
        <v>1011</v>
      </c>
      <c r="BK288" s="267"/>
      <c r="BL288" s="267"/>
      <c r="BM288" s="267" t="s">
        <v>1649</v>
      </c>
      <c r="BN288" s="268"/>
      <c r="BO288" s="62">
        <v>36</v>
      </c>
      <c r="BP288" s="63">
        <v>41359</v>
      </c>
      <c r="BQ288" s="64" t="s">
        <v>1131</v>
      </c>
      <c r="BR288" s="372" t="s">
        <v>2747</v>
      </c>
      <c r="BS288" s="62"/>
      <c r="BT288" s="323"/>
      <c r="BU288" s="62"/>
      <c r="BV288" s="323"/>
      <c r="BW288" s="62"/>
      <c r="BX288" s="336"/>
      <c r="BY288" s="336" t="s">
        <v>1649</v>
      </c>
    </row>
    <row r="289" spans="1:77" ht="13.15" hidden="1" customHeight="1" outlineLevel="1" x14ac:dyDescent="0.2">
      <c r="A289" s="50">
        <f t="shared" si="69"/>
        <v>284</v>
      </c>
      <c r="B289" s="51">
        <v>8</v>
      </c>
      <c r="C289" s="51">
        <v>36</v>
      </c>
      <c r="D289" s="18" t="s">
        <v>626</v>
      </c>
      <c r="E289" s="18">
        <v>14</v>
      </c>
      <c r="F289" s="18">
        <v>3</v>
      </c>
      <c r="G289" s="52">
        <v>3</v>
      </c>
      <c r="H289" s="237">
        <v>3</v>
      </c>
      <c r="I289" s="65">
        <v>1957</v>
      </c>
      <c r="J289" s="349">
        <v>5</v>
      </c>
      <c r="K289" s="346">
        <f t="shared" si="70"/>
        <v>6</v>
      </c>
      <c r="L289" s="346">
        <v>1</v>
      </c>
      <c r="M289" s="349">
        <v>9</v>
      </c>
      <c r="N289" s="255">
        <f t="shared" si="68"/>
        <v>0</v>
      </c>
      <c r="O289" s="310">
        <v>145</v>
      </c>
      <c r="P289" s="66">
        <v>5</v>
      </c>
      <c r="Q289" s="66"/>
      <c r="R289" s="66">
        <v>0</v>
      </c>
      <c r="S289" s="66">
        <v>109</v>
      </c>
      <c r="T289" s="66">
        <v>33</v>
      </c>
      <c r="U289" s="66">
        <v>3</v>
      </c>
      <c r="V289" s="66">
        <v>0</v>
      </c>
      <c r="W289" s="54">
        <v>0</v>
      </c>
      <c r="X289" s="55">
        <f>SUMIFS(Таблица3[Кол-во квартир],Таблица3[Адрес МКД],$D289)</f>
        <v>140</v>
      </c>
      <c r="Y289" s="56">
        <f t="shared" si="72"/>
        <v>16335.630000000001</v>
      </c>
      <c r="Z289" s="253">
        <f>SUMIFS(Таблица3[Площадь жилая],Таблица3[Адрес МКД],$D289)</f>
        <v>8568.43</v>
      </c>
      <c r="AA289" s="261">
        <f>SUMIFS(Таблица3[Площадь нежилых помещений],Таблица3[Адрес МКД],$D289)</f>
        <v>2836.1</v>
      </c>
      <c r="AB289" s="252">
        <f>SUMIFS(Таблица1[1],Таблица1[2],$D289)</f>
        <v>3014.9</v>
      </c>
      <c r="AC289" s="57">
        <f t="shared" si="64"/>
        <v>2873</v>
      </c>
      <c r="AD289" s="57">
        <f t="shared" si="65"/>
        <v>141.9</v>
      </c>
      <c r="AE289" s="58">
        <f>SUMIFS(Таблица1[8],Таблица1[2],$D289)+SUMIFS(Таблица1[18],Таблица1[2],$D289)</f>
        <v>296.3</v>
      </c>
      <c r="AF289" s="58">
        <f>SUMIFS(Таблица1[9],Таблица1[2],$D289)+SUMIFS(Таблица1[19],Таблица1[2],$D289)</f>
        <v>0</v>
      </c>
      <c r="AG289" s="59">
        <f t="shared" si="66"/>
        <v>4752.3000000000011</v>
      </c>
      <c r="AH289" s="59">
        <f t="shared" si="67"/>
        <v>4894.2000000000007</v>
      </c>
      <c r="AI289" s="60">
        <f>1442+1827.5-AM289</f>
        <v>2623.3</v>
      </c>
      <c r="AJ289" s="60">
        <f t="shared" si="60"/>
        <v>579.70000000000039</v>
      </c>
      <c r="AK289" s="60">
        <f>SUMIFS(Таблица1[10],Таблица1[2],$D289)</f>
        <v>1930.4999999999998</v>
      </c>
      <c r="AL289" s="60">
        <f>SUMIFS(Таблица1[11],Таблица1[2],$D289)</f>
        <v>113.1</v>
      </c>
      <c r="AM289" s="251">
        <v>646.20000000000005</v>
      </c>
      <c r="AN289" s="249">
        <f t="shared" si="61"/>
        <v>0</v>
      </c>
      <c r="AO289" s="249">
        <f>SUMIFS(Таблица1[12],Таблица1[2],$D289)</f>
        <v>646.20000000000005</v>
      </c>
      <c r="AP289" s="249">
        <f>SUMIFS(Таблица1[13],Таблица1[2],$D289)</f>
        <v>0</v>
      </c>
      <c r="AQ289" s="61">
        <f>1374.4</f>
        <v>1374.4</v>
      </c>
      <c r="AR289" s="61">
        <f t="shared" si="62"/>
        <v>1345.6000000000001</v>
      </c>
      <c r="AS289" s="60">
        <f>SUMIFS(Таблица1[14],Таблица1[2],$D289)</f>
        <v>0</v>
      </c>
      <c r="AT289" s="60">
        <f>SUMIFS(Таблица1[15],Таблица1[2],$D289)</f>
        <v>28.8</v>
      </c>
      <c r="AU289" s="61">
        <v>2827</v>
      </c>
      <c r="AV289" s="61">
        <f t="shared" si="63"/>
        <v>2827</v>
      </c>
      <c r="AW289" s="60">
        <f>SUMIFS(Таблица1[16],Таблица1[2],$D289)</f>
        <v>0</v>
      </c>
      <c r="AX289" s="60">
        <f>SUMIFS(Таблица1[17],Таблица1[2],$D289)</f>
        <v>0</v>
      </c>
      <c r="AY289" s="263">
        <f>Нежилые!K1537</f>
        <v>39.1</v>
      </c>
      <c r="AZ289" s="264"/>
      <c r="BA289" s="296">
        <v>0</v>
      </c>
      <c r="BB289" s="296">
        <f t="shared" si="71"/>
        <v>0</v>
      </c>
      <c r="BC289" s="296">
        <v>0</v>
      </c>
      <c r="BD289" s="296">
        <v>0</v>
      </c>
      <c r="BE289" s="285"/>
      <c r="BF289" s="259">
        <v>7026</v>
      </c>
      <c r="BG289" s="260">
        <f>16033+34764</f>
        <v>50797</v>
      </c>
      <c r="BH289" s="62" t="s">
        <v>939</v>
      </c>
      <c r="BI289" s="62" t="s">
        <v>935</v>
      </c>
      <c r="BJ289" s="62"/>
      <c r="BK289" s="267"/>
      <c r="BL289" s="267"/>
      <c r="BM289" s="267" t="s">
        <v>1649</v>
      </c>
      <c r="BN289" s="268"/>
      <c r="BO289" s="62">
        <v>46</v>
      </c>
      <c r="BP289" s="63">
        <v>44606</v>
      </c>
      <c r="BQ289" s="64" t="s">
        <v>1131</v>
      </c>
      <c r="BR289" s="372" t="s">
        <v>2747</v>
      </c>
      <c r="BS289" s="62"/>
      <c r="BT289" s="323"/>
      <c r="BU289" s="62"/>
      <c r="BV289" s="323"/>
      <c r="BW289" s="62"/>
      <c r="BX289" s="336"/>
      <c r="BY289" s="336"/>
    </row>
    <row r="290" spans="1:77" ht="13.15" hidden="1" customHeight="1" outlineLevel="1" x14ac:dyDescent="0.2">
      <c r="A290" s="50">
        <f t="shared" si="69"/>
        <v>285</v>
      </c>
      <c r="B290" s="51">
        <v>16</v>
      </c>
      <c r="C290" s="51">
        <v>37</v>
      </c>
      <c r="D290" s="18" t="s">
        <v>633</v>
      </c>
      <c r="E290" s="18">
        <v>14</v>
      </c>
      <c r="F290" s="18">
        <v>3</v>
      </c>
      <c r="G290" s="52">
        <v>3</v>
      </c>
      <c r="H290" s="237">
        <v>3</v>
      </c>
      <c r="I290" s="65">
        <v>1959</v>
      </c>
      <c r="J290" s="349">
        <v>5</v>
      </c>
      <c r="K290" s="346">
        <f t="shared" si="70"/>
        <v>6</v>
      </c>
      <c r="L290" s="346">
        <v>1</v>
      </c>
      <c r="M290" s="349">
        <v>13</v>
      </c>
      <c r="N290" s="255">
        <f t="shared" si="68"/>
        <v>2</v>
      </c>
      <c r="O290" s="310">
        <v>214</v>
      </c>
      <c r="P290" s="66">
        <v>1</v>
      </c>
      <c r="Q290" s="66"/>
      <c r="R290" s="66">
        <v>110</v>
      </c>
      <c r="S290" s="66">
        <v>75</v>
      </c>
      <c r="T290" s="66">
        <v>29</v>
      </c>
      <c r="U290" s="66">
        <v>0</v>
      </c>
      <c r="V290" s="66">
        <v>0</v>
      </c>
      <c r="W290" s="54">
        <v>0</v>
      </c>
      <c r="X290" s="55">
        <f>SUMIFS(Таблица3[Кол-во квартир],Таблица3[Адрес МКД],$D290)</f>
        <v>211</v>
      </c>
      <c r="Y290" s="56">
        <f t="shared" si="72"/>
        <v>15324.8</v>
      </c>
      <c r="Z290" s="253">
        <f>SUMIFS(Таблица3[Площадь жилая],Таблица3[Адрес МКД],$D290)</f>
        <v>9675.5</v>
      </c>
      <c r="AA290" s="261">
        <f>SUMIFS(Таблица3[Площадь нежилых помещений],Таблица3[Адрес МКД],$D290)</f>
        <v>568.1</v>
      </c>
      <c r="AB290" s="252">
        <f>SUMIFS(Таблица1[1],Таблица1[2],$D290)</f>
        <v>656.9</v>
      </c>
      <c r="AC290" s="57">
        <f t="shared" si="64"/>
        <v>656.90000000000009</v>
      </c>
      <c r="AD290" s="57">
        <f t="shared" si="65"/>
        <v>0</v>
      </c>
      <c r="AE290" s="58">
        <f>SUMIFS(Таблица1[8],Таблица1[2],$D290)+SUMIFS(Таблица1[18],Таблица1[2],$D290)</f>
        <v>313.70000000000005</v>
      </c>
      <c r="AF290" s="58">
        <f>SUMIFS(Таблица1[9],Таблица1[2],$D290)+SUMIFS(Таблица1[19],Таблица1[2],$D290)</f>
        <v>0</v>
      </c>
      <c r="AG290" s="59">
        <f t="shared" si="66"/>
        <v>4992.3999999999996</v>
      </c>
      <c r="AH290" s="59">
        <f t="shared" si="67"/>
        <v>4992.3999999999996</v>
      </c>
      <c r="AI290" s="60">
        <f>1910.2-AM290</f>
        <v>1910.2</v>
      </c>
      <c r="AJ290" s="60">
        <f t="shared" si="60"/>
        <v>1567</v>
      </c>
      <c r="AK290" s="60">
        <f>SUMIFS(Таблица1[10],Таблица1[2],$D290)</f>
        <v>343.2</v>
      </c>
      <c r="AL290" s="60">
        <f>SUMIFS(Таблица1[11],Таблица1[2],$D290)</f>
        <v>0</v>
      </c>
      <c r="AM290" s="251">
        <v>0</v>
      </c>
      <c r="AN290" s="249">
        <f t="shared" si="61"/>
        <v>0</v>
      </c>
      <c r="AO290" s="249">
        <f>SUMIFS(Таблица1[12],Таблица1[2],$D290)</f>
        <v>0</v>
      </c>
      <c r="AP290" s="249">
        <f>SUMIFS(Таблица1[13],Таблица1[2],$D290)</f>
        <v>0</v>
      </c>
      <c r="AQ290" s="61">
        <v>1108.5999999999999</v>
      </c>
      <c r="AR290" s="61">
        <f t="shared" si="62"/>
        <v>1108.5999999999999</v>
      </c>
      <c r="AS290" s="60">
        <f>SUMIFS(Таблица1[14],Таблица1[2],$D290)</f>
        <v>0</v>
      </c>
      <c r="AT290" s="60">
        <f>SUMIFS(Таблица1[15],Таблица1[2],$D290)</f>
        <v>0</v>
      </c>
      <c r="AU290" s="61">
        <v>2316.8000000000002</v>
      </c>
      <c r="AV290" s="61">
        <f t="shared" si="63"/>
        <v>2316.8000000000002</v>
      </c>
      <c r="AW290" s="60">
        <f>SUMIFS(Таблица1[16],Таблица1[2],$D290)</f>
        <v>0</v>
      </c>
      <c r="AX290" s="60">
        <f>SUMIFS(Таблица1[17],Таблица1[2],$D290)</f>
        <v>0</v>
      </c>
      <c r="AY290" s="263">
        <f>Нежилые!G1578</f>
        <v>88.8</v>
      </c>
      <c r="AZ290" s="264"/>
      <c r="BA290" s="296">
        <v>0</v>
      </c>
      <c r="BB290" s="296">
        <f t="shared" si="71"/>
        <v>0</v>
      </c>
      <c r="BC290" s="296">
        <v>0</v>
      </c>
      <c r="BD290" s="296">
        <v>0</v>
      </c>
      <c r="BE290" s="285"/>
      <c r="BF290" s="259">
        <v>7775</v>
      </c>
      <c r="BG290" s="260">
        <v>43906</v>
      </c>
      <c r="BH290" s="67" t="s">
        <v>1007</v>
      </c>
      <c r="BI290" s="62" t="s">
        <v>935</v>
      </c>
      <c r="BJ290" s="62"/>
      <c r="BK290" s="267"/>
      <c r="BL290" s="267"/>
      <c r="BM290" s="267" t="s">
        <v>1649</v>
      </c>
      <c r="BN290" s="268"/>
      <c r="BO290" s="62">
        <v>22</v>
      </c>
      <c r="BP290" s="63">
        <v>30782</v>
      </c>
      <c r="BQ290" s="64" t="s">
        <v>1131</v>
      </c>
      <c r="BR290" s="372" t="s">
        <v>2747</v>
      </c>
      <c r="BS290" s="62"/>
      <c r="BT290" s="323"/>
      <c r="BU290" s="62"/>
      <c r="BV290" s="323"/>
      <c r="BW290" s="62"/>
      <c r="BX290" s="336"/>
      <c r="BY290" s="336"/>
    </row>
    <row r="291" spans="1:77" ht="13.15" hidden="1" customHeight="1" outlineLevel="1" x14ac:dyDescent="0.2">
      <c r="A291" s="50">
        <f t="shared" si="69"/>
        <v>286</v>
      </c>
      <c r="B291" s="51">
        <v>17</v>
      </c>
      <c r="C291" s="51">
        <v>38</v>
      </c>
      <c r="D291" s="18" t="s">
        <v>634</v>
      </c>
      <c r="E291" s="18">
        <v>14</v>
      </c>
      <c r="F291" s="18">
        <v>3</v>
      </c>
      <c r="G291" s="52">
        <v>1</v>
      </c>
      <c r="H291" s="237">
        <v>1</v>
      </c>
      <c r="I291" s="65">
        <v>1959</v>
      </c>
      <c r="J291" s="349">
        <v>5</v>
      </c>
      <c r="K291" s="346">
        <f t="shared" si="70"/>
        <v>6</v>
      </c>
      <c r="L291" s="346">
        <v>1</v>
      </c>
      <c r="M291" s="349">
        <v>4</v>
      </c>
      <c r="N291" s="255">
        <f t="shared" si="68"/>
        <v>0</v>
      </c>
      <c r="O291" s="310">
        <v>60</v>
      </c>
      <c r="P291" s="66">
        <v>0</v>
      </c>
      <c r="Q291" s="66"/>
      <c r="R291" s="66">
        <v>20</v>
      </c>
      <c r="S291" s="66">
        <v>20</v>
      </c>
      <c r="T291" s="66">
        <v>20</v>
      </c>
      <c r="U291" s="66">
        <v>0</v>
      </c>
      <c r="V291" s="66">
        <v>0</v>
      </c>
      <c r="W291" s="54">
        <v>0</v>
      </c>
      <c r="X291" s="55">
        <f>SUMIFS(Таблица3[Кол-во квартир],Таблица3[Адрес МКД],$D291)</f>
        <v>60</v>
      </c>
      <c r="Y291" s="56">
        <f t="shared" si="72"/>
        <v>5044.6000000000004</v>
      </c>
      <c r="Z291" s="253">
        <f>SUMIFS(Таблица3[Площадь жилая],Таблица3[Адрес МКД],$D291)</f>
        <v>3294.1</v>
      </c>
      <c r="AA291" s="261">
        <f>SUMIFS(Таблица3[Площадь нежилых помещений],Таблица3[Адрес МКД],$D291)</f>
        <v>0</v>
      </c>
      <c r="AB291" s="252">
        <f>SUMIFS(Таблица1[1],Таблица1[2],$D291)</f>
        <v>0</v>
      </c>
      <c r="AC291" s="57">
        <f t="shared" si="64"/>
        <v>0</v>
      </c>
      <c r="AD291" s="57">
        <f t="shared" si="65"/>
        <v>0</v>
      </c>
      <c r="AE291" s="58">
        <f>SUMIFS(Таблица1[8],Таблица1[2],$D291)+SUMIFS(Таблица1[18],Таблица1[2],$D291)</f>
        <v>0</v>
      </c>
      <c r="AF291" s="58">
        <f>SUMIFS(Таблица1[9],Таблица1[2],$D291)+SUMIFS(Таблица1[19],Таблица1[2],$D291)</f>
        <v>0</v>
      </c>
      <c r="AG291" s="59">
        <f t="shared" si="66"/>
        <v>1750.5</v>
      </c>
      <c r="AH291" s="59">
        <f t="shared" si="67"/>
        <v>1750.5</v>
      </c>
      <c r="AI291" s="60">
        <f>646.2-AM291</f>
        <v>646.20000000000005</v>
      </c>
      <c r="AJ291" s="60">
        <f t="shared" si="60"/>
        <v>646.20000000000005</v>
      </c>
      <c r="AK291" s="60">
        <f>SUMIFS(Таблица1[10],Таблица1[2],$D291)</f>
        <v>0</v>
      </c>
      <c r="AL291" s="60">
        <f>SUMIFS(Таблица1[11],Таблица1[2],$D291)</f>
        <v>0</v>
      </c>
      <c r="AM291" s="251">
        <v>0</v>
      </c>
      <c r="AN291" s="249">
        <f t="shared" si="61"/>
        <v>0</v>
      </c>
      <c r="AO291" s="249">
        <f>SUMIFS(Таблица1[12],Таблица1[2],$D291)</f>
        <v>0</v>
      </c>
      <c r="AP291" s="249">
        <f>SUMIFS(Таблица1[13],Таблица1[2],$D291)</f>
        <v>0</v>
      </c>
      <c r="AQ291" s="61">
        <v>335.3</v>
      </c>
      <c r="AR291" s="61">
        <f t="shared" si="62"/>
        <v>335.3</v>
      </c>
      <c r="AS291" s="60">
        <f>SUMIFS(Таблица1[14],Таблица1[2],$D291)</f>
        <v>0</v>
      </c>
      <c r="AT291" s="60">
        <f>SUMIFS(Таблица1[15],Таблица1[2],$D291)</f>
        <v>0</v>
      </c>
      <c r="AU291" s="61">
        <v>769</v>
      </c>
      <c r="AV291" s="61">
        <f t="shared" si="63"/>
        <v>769</v>
      </c>
      <c r="AW291" s="60">
        <f>SUMIFS(Таблица1[16],Таблица1[2],$D291)</f>
        <v>0</v>
      </c>
      <c r="AX291" s="60">
        <f>SUMIFS(Таблица1[17],Таблица1[2],$D291)</f>
        <v>0</v>
      </c>
      <c r="AY291" s="263"/>
      <c r="AZ291" s="264"/>
      <c r="BA291" s="296">
        <v>0</v>
      </c>
      <c r="BB291" s="296">
        <f t="shared" si="71"/>
        <v>0</v>
      </c>
      <c r="BC291" s="296">
        <v>0</v>
      </c>
      <c r="BD291" s="296">
        <v>0</v>
      </c>
      <c r="BE291" s="285"/>
      <c r="BF291" s="259">
        <v>2333</v>
      </c>
      <c r="BG291" s="260">
        <v>13871</v>
      </c>
      <c r="BH291" s="62" t="s">
        <v>940</v>
      </c>
      <c r="BI291" s="62" t="s">
        <v>935</v>
      </c>
      <c r="BJ291" s="62"/>
      <c r="BK291" s="267"/>
      <c r="BL291" s="267"/>
      <c r="BM291" s="267" t="s">
        <v>1649</v>
      </c>
      <c r="BN291" s="268"/>
      <c r="BO291" s="62">
        <v>14</v>
      </c>
      <c r="BP291" s="63">
        <v>28640</v>
      </c>
      <c r="BQ291" s="64" t="s">
        <v>1131</v>
      </c>
      <c r="BR291" s="372" t="s">
        <v>2747</v>
      </c>
      <c r="BS291" s="62"/>
      <c r="BT291" s="323"/>
      <c r="BU291" s="62"/>
      <c r="BV291" s="323"/>
      <c r="BW291" s="62"/>
      <c r="BX291" s="336"/>
      <c r="BY291" s="336"/>
    </row>
    <row r="292" spans="1:77" ht="13.15" hidden="1" customHeight="1" outlineLevel="1" x14ac:dyDescent="0.2">
      <c r="A292" s="50">
        <f t="shared" si="69"/>
        <v>287</v>
      </c>
      <c r="B292" s="51">
        <v>18</v>
      </c>
      <c r="C292" s="51">
        <v>39</v>
      </c>
      <c r="D292" s="18" t="s">
        <v>635</v>
      </c>
      <c r="E292" s="18">
        <v>14</v>
      </c>
      <c r="F292" s="18">
        <v>3</v>
      </c>
      <c r="G292" s="52">
        <v>1</v>
      </c>
      <c r="H292" s="237">
        <v>1</v>
      </c>
      <c r="I292" s="65">
        <v>1958</v>
      </c>
      <c r="J292" s="349">
        <v>4</v>
      </c>
      <c r="K292" s="346">
        <f t="shared" si="70"/>
        <v>5</v>
      </c>
      <c r="L292" s="346">
        <v>1</v>
      </c>
      <c r="M292" s="349">
        <v>5</v>
      </c>
      <c r="N292" s="255">
        <f t="shared" si="68"/>
        <v>0</v>
      </c>
      <c r="O292" s="310">
        <v>80</v>
      </c>
      <c r="P292" s="66">
        <v>0</v>
      </c>
      <c r="Q292" s="66"/>
      <c r="R292" s="66">
        <v>60</v>
      </c>
      <c r="S292" s="66">
        <v>20</v>
      </c>
      <c r="T292" s="66">
        <v>0</v>
      </c>
      <c r="U292" s="66">
        <v>0</v>
      </c>
      <c r="V292" s="66">
        <v>0</v>
      </c>
      <c r="W292" s="54">
        <v>0</v>
      </c>
      <c r="X292" s="55">
        <f>SUMIFS(Таблица3[Кол-во квартир],Таблица3[Адрес МКД],$D292)</f>
        <v>80</v>
      </c>
      <c r="Y292" s="56">
        <f t="shared" si="72"/>
        <v>4744.6499999999996</v>
      </c>
      <c r="Z292" s="253">
        <f>SUMIFS(Таблица3[Площадь жилая],Таблица3[Адрес МКД],$D292)</f>
        <v>2792.95</v>
      </c>
      <c r="AA292" s="261">
        <f>SUMIFS(Таблица3[Площадь нежилых помещений],Таблица3[Адрес МКД],$D292)</f>
        <v>24.4</v>
      </c>
      <c r="AB292" s="252">
        <f>SUMIFS(Таблица1[1],Таблица1[2],$D292)</f>
        <v>24.4</v>
      </c>
      <c r="AC292" s="57">
        <f t="shared" si="64"/>
        <v>24.4</v>
      </c>
      <c r="AD292" s="57">
        <f t="shared" si="65"/>
        <v>0</v>
      </c>
      <c r="AE292" s="58">
        <f>SUMIFS(Таблица1[8],Таблица1[2],$D292)+SUMIFS(Таблица1[18],Таблица1[2],$D292)</f>
        <v>24.4</v>
      </c>
      <c r="AF292" s="58">
        <f>SUMIFS(Таблица1[9],Таблица1[2],$D292)+SUMIFS(Таблица1[19],Таблица1[2],$D292)</f>
        <v>0</v>
      </c>
      <c r="AG292" s="59">
        <f>AJ292+AR292+AV292+AZ292+BB292</f>
        <v>1927.3000000000002</v>
      </c>
      <c r="AH292" s="59">
        <f>AJ292+AL292+AR292+AT292+AV292+AX292+BB292+BD292</f>
        <v>1927.3000000000002</v>
      </c>
      <c r="AI292" s="60">
        <f>679.4-AM292</f>
        <v>679.4</v>
      </c>
      <c r="AJ292" s="60">
        <f t="shared" si="60"/>
        <v>679.4</v>
      </c>
      <c r="AK292" s="60">
        <f>SUMIFS(Таблица1[10],Таблица1[2],$D292)</f>
        <v>0</v>
      </c>
      <c r="AL292" s="60">
        <f>SUMIFS(Таблица1[11],Таблица1[2],$D292)</f>
        <v>0</v>
      </c>
      <c r="AM292" s="251">
        <v>0</v>
      </c>
      <c r="AN292" s="249">
        <f t="shared" si="61"/>
        <v>0</v>
      </c>
      <c r="AO292" s="249">
        <f>SUMIFS(Таблица1[12],Таблица1[2],$D292)</f>
        <v>0</v>
      </c>
      <c r="AP292" s="249">
        <f>SUMIFS(Таблица1[13],Таблица1[2],$D292)</f>
        <v>0</v>
      </c>
      <c r="AQ292" s="61">
        <v>351</v>
      </c>
      <c r="AR292" s="61">
        <f t="shared" si="62"/>
        <v>351</v>
      </c>
      <c r="AS292" s="60">
        <f>SUMIFS(Таблица1[14],Таблица1[2],$D292)</f>
        <v>0</v>
      </c>
      <c r="AT292" s="60">
        <f>SUMIFS(Таблица1[15],Таблица1[2],$D292)</f>
        <v>0</v>
      </c>
      <c r="AU292" s="61">
        <v>896.9</v>
      </c>
      <c r="AV292" s="61">
        <f t="shared" si="63"/>
        <v>896.9</v>
      </c>
      <c r="AW292" s="60">
        <f>SUMIFS(Таблица1[16],Таблица1[2],$D292)</f>
        <v>0</v>
      </c>
      <c r="AX292" s="60">
        <f>SUMIFS(Таблица1[17],Таблица1[2],$D292)</f>
        <v>0</v>
      </c>
      <c r="AY292" s="263"/>
      <c r="AZ292" s="264"/>
      <c r="BA292" s="296">
        <v>24.4</v>
      </c>
      <c r="BB292" s="296">
        <f t="shared" si="71"/>
        <v>0</v>
      </c>
      <c r="BC292" s="296">
        <f>Нежилые!I1583</f>
        <v>24.4</v>
      </c>
      <c r="BD292" s="296">
        <v>0</v>
      </c>
      <c r="BE292" s="285"/>
      <c r="BF292" s="259">
        <v>2828</v>
      </c>
      <c r="BG292" s="260">
        <f>11977+320.3</f>
        <v>12297.3</v>
      </c>
      <c r="BH292" s="62" t="s">
        <v>940</v>
      </c>
      <c r="BI292" s="62" t="s">
        <v>935</v>
      </c>
      <c r="BJ292" s="62"/>
      <c r="BK292" s="267"/>
      <c r="BL292" s="267" t="s">
        <v>1649</v>
      </c>
      <c r="BM292" s="267"/>
      <c r="BN292" s="268"/>
      <c r="BO292" s="62">
        <v>14</v>
      </c>
      <c r="BP292" s="63">
        <v>28640</v>
      </c>
      <c r="BQ292" s="64" t="s">
        <v>1131</v>
      </c>
      <c r="BR292" s="372" t="s">
        <v>2747</v>
      </c>
      <c r="BS292" s="62"/>
      <c r="BT292" s="323"/>
      <c r="BU292" s="62"/>
      <c r="BV292" s="323"/>
      <c r="BW292" s="62"/>
      <c r="BX292" s="336"/>
      <c r="BY292" s="336"/>
    </row>
    <row r="293" spans="1:77" ht="13.15" hidden="1" customHeight="1" outlineLevel="1" x14ac:dyDescent="0.2">
      <c r="A293" s="50">
        <f t="shared" si="69"/>
        <v>288</v>
      </c>
      <c r="B293" s="51">
        <v>19</v>
      </c>
      <c r="C293" s="51">
        <v>40</v>
      </c>
      <c r="D293" s="18" t="s">
        <v>636</v>
      </c>
      <c r="E293" s="18">
        <v>14</v>
      </c>
      <c r="F293" s="18">
        <v>3</v>
      </c>
      <c r="G293" s="52">
        <v>2</v>
      </c>
      <c r="H293" s="237">
        <v>2</v>
      </c>
      <c r="I293" s="65">
        <v>1959</v>
      </c>
      <c r="J293" s="349">
        <v>5</v>
      </c>
      <c r="K293" s="346">
        <f t="shared" si="70"/>
        <v>6</v>
      </c>
      <c r="L293" s="346">
        <v>1</v>
      </c>
      <c r="M293" s="349">
        <v>10</v>
      </c>
      <c r="N293" s="255">
        <f t="shared" si="68"/>
        <v>3</v>
      </c>
      <c r="O293" s="310">
        <v>137</v>
      </c>
      <c r="P293" s="66">
        <v>3</v>
      </c>
      <c r="Q293" s="66"/>
      <c r="R293" s="66">
        <v>49</v>
      </c>
      <c r="S293" s="66">
        <v>52</v>
      </c>
      <c r="T293" s="66">
        <v>33</v>
      </c>
      <c r="U293" s="66">
        <v>3</v>
      </c>
      <c r="V293" s="66">
        <v>0</v>
      </c>
      <c r="W293" s="54">
        <v>0</v>
      </c>
      <c r="X293" s="55">
        <f>SUMIFS(Таблица3[Кол-во квартир],Таблица3[Адрес МКД],$D293)</f>
        <v>131</v>
      </c>
      <c r="Y293" s="56">
        <f t="shared" si="72"/>
        <v>11698.300000000001</v>
      </c>
      <c r="Z293" s="253">
        <f>SUMIFS(Таблица3[Площадь жилая],Таблица3[Адрес МКД],$D293)</f>
        <v>7118.1</v>
      </c>
      <c r="AA293" s="261">
        <f>SUMIFS(Таблица3[Площадь нежилых помещений],Таблица3[Адрес МКД],$D293)</f>
        <v>1277.0999999999999</v>
      </c>
      <c r="AB293" s="252">
        <f>SUMIFS(Таблица1[1],Таблица1[2],$D293)</f>
        <v>1353.8000000000002</v>
      </c>
      <c r="AC293" s="57">
        <f t="shared" si="64"/>
        <v>1353.8</v>
      </c>
      <c r="AD293" s="57">
        <f t="shared" si="65"/>
        <v>0</v>
      </c>
      <c r="AE293" s="58">
        <f>SUMIFS(Таблица1[8],Таблица1[2],$D293)+SUMIFS(Таблица1[18],Таблица1[2],$D293)</f>
        <v>784.5</v>
      </c>
      <c r="AF293" s="58">
        <f>SUMIFS(Таблица1[9],Таблица1[2],$D293)+SUMIFS(Таблица1[19],Таблица1[2],$D293)</f>
        <v>0</v>
      </c>
      <c r="AG293" s="59">
        <f t="shared" si="66"/>
        <v>3226.4</v>
      </c>
      <c r="AH293" s="59">
        <f t="shared" si="67"/>
        <v>3226.4</v>
      </c>
      <c r="AI293" s="60">
        <f>1429-AM293</f>
        <v>1429</v>
      </c>
      <c r="AJ293" s="60">
        <f t="shared" si="60"/>
        <v>859.7</v>
      </c>
      <c r="AK293" s="60">
        <f>SUMIFS(Таблица1[10],Таблица1[2],$D293)</f>
        <v>569.29999999999995</v>
      </c>
      <c r="AL293" s="60">
        <f>SUMIFS(Таблица1[11],Таблица1[2],$D293)</f>
        <v>0</v>
      </c>
      <c r="AM293" s="251">
        <v>0</v>
      </c>
      <c r="AN293" s="249">
        <f t="shared" si="61"/>
        <v>0</v>
      </c>
      <c r="AO293" s="249">
        <f>SUMIFS(Таблица1[12],Таблица1[2],$D293)</f>
        <v>0</v>
      </c>
      <c r="AP293" s="249">
        <f>SUMIFS(Таблица1[13],Таблица1[2],$D293)</f>
        <v>0</v>
      </c>
      <c r="AQ293" s="61">
        <v>837.3</v>
      </c>
      <c r="AR293" s="61">
        <f t="shared" si="62"/>
        <v>837.3</v>
      </c>
      <c r="AS293" s="60">
        <f>SUMIFS(Таблица1[14],Таблица1[2],$D293)</f>
        <v>0</v>
      </c>
      <c r="AT293" s="60">
        <f>SUMIFS(Таблица1[15],Таблица1[2],$D293)</f>
        <v>0</v>
      </c>
      <c r="AU293" s="61">
        <v>1529.4</v>
      </c>
      <c r="AV293" s="61">
        <f t="shared" si="63"/>
        <v>1529.4</v>
      </c>
      <c r="AW293" s="60">
        <f>SUMIFS(Таблица1[16],Таблица1[2],$D293)</f>
        <v>0</v>
      </c>
      <c r="AX293" s="60">
        <f>SUMIFS(Таблица1[17],Таблица1[2],$D293)</f>
        <v>0</v>
      </c>
      <c r="AY293" s="263">
        <f>Нежилые!G1586</f>
        <v>76.7</v>
      </c>
      <c r="AZ293" s="264"/>
      <c r="BA293" s="296">
        <v>0</v>
      </c>
      <c r="BB293" s="296">
        <f t="shared" si="71"/>
        <v>0</v>
      </c>
      <c r="BC293" s="296">
        <v>0</v>
      </c>
      <c r="BD293" s="296">
        <v>0</v>
      </c>
      <c r="BE293" s="285"/>
      <c r="BF293" s="259">
        <v>7073</v>
      </c>
      <c r="BG293" s="260">
        <f>5446+29362+983</f>
        <v>35791</v>
      </c>
      <c r="BH293" s="67" t="s">
        <v>1007</v>
      </c>
      <c r="BI293" s="62" t="s">
        <v>935</v>
      </c>
      <c r="BJ293" s="62" t="s">
        <v>1012</v>
      </c>
      <c r="BK293" s="267"/>
      <c r="BL293" s="267"/>
      <c r="BM293" s="267" t="s">
        <v>1649</v>
      </c>
      <c r="BN293" s="268"/>
      <c r="BO293" s="62">
        <v>14</v>
      </c>
      <c r="BP293" s="63">
        <v>28641</v>
      </c>
      <c r="BQ293" s="64" t="s">
        <v>1131</v>
      </c>
      <c r="BR293" s="372" t="s">
        <v>2747</v>
      </c>
      <c r="BS293" s="62"/>
      <c r="BT293" s="323"/>
      <c r="BU293" s="62"/>
      <c r="BV293" s="323"/>
      <c r="BW293" s="62"/>
      <c r="BX293" s="336"/>
      <c r="BY293" s="336"/>
    </row>
    <row r="294" spans="1:77" ht="13.15" hidden="1" customHeight="1" outlineLevel="1" x14ac:dyDescent="0.2">
      <c r="A294" s="50">
        <f t="shared" si="69"/>
        <v>289</v>
      </c>
      <c r="B294" s="68">
        <v>9</v>
      </c>
      <c r="C294" s="68">
        <v>41</v>
      </c>
      <c r="D294" s="18" t="s">
        <v>627</v>
      </c>
      <c r="E294" s="18">
        <v>14</v>
      </c>
      <c r="F294" s="18">
        <v>3</v>
      </c>
      <c r="G294" s="52">
        <v>1</v>
      </c>
      <c r="H294" s="237">
        <v>1</v>
      </c>
      <c r="I294" s="65">
        <v>1957</v>
      </c>
      <c r="J294" s="349">
        <v>5</v>
      </c>
      <c r="K294" s="346">
        <f t="shared" si="70"/>
        <v>6</v>
      </c>
      <c r="L294" s="346">
        <v>1</v>
      </c>
      <c r="M294" s="349">
        <v>2</v>
      </c>
      <c r="N294" s="255">
        <f t="shared" si="68"/>
        <v>0</v>
      </c>
      <c r="O294" s="310">
        <v>10</v>
      </c>
      <c r="P294" s="66">
        <v>0</v>
      </c>
      <c r="Q294" s="66"/>
      <c r="R294" s="66">
        <v>0</v>
      </c>
      <c r="S294" s="66">
        <v>2</v>
      </c>
      <c r="T294" s="66">
        <v>8</v>
      </c>
      <c r="U294" s="66">
        <v>0</v>
      </c>
      <c r="V294" s="66">
        <v>0</v>
      </c>
      <c r="W294" s="54">
        <v>0</v>
      </c>
      <c r="X294" s="55">
        <f>SUMIFS(Таблица3[Кол-во квартир],Таблица3[Адрес МКД],$D294)</f>
        <v>10</v>
      </c>
      <c r="Y294" s="56">
        <f t="shared" si="72"/>
        <v>1286.0999999999999</v>
      </c>
      <c r="Z294" s="253">
        <f>SUMIFS(Таблица3[Площадь жилая],Таблица3[Адрес МКД],$D294)</f>
        <v>853.8</v>
      </c>
      <c r="AA294" s="261">
        <f>SUMIFS(Таблица3[Площадь нежилых помещений],Таблица3[Адрес МКД],$D294)</f>
        <v>0</v>
      </c>
      <c r="AB294" s="252">
        <f>SUMIFS(Таблица1[1],Таблица1[2],$D294)</f>
        <v>0</v>
      </c>
      <c r="AC294" s="57">
        <f t="shared" si="64"/>
        <v>0</v>
      </c>
      <c r="AD294" s="57">
        <f t="shared" si="65"/>
        <v>0</v>
      </c>
      <c r="AE294" s="58">
        <f>SUMIFS(Таблица1[8],Таблица1[2],$D294)+SUMIFS(Таблица1[18],Таблица1[2],$D294)</f>
        <v>0</v>
      </c>
      <c r="AF294" s="58">
        <f>SUMIFS(Таблица1[9],Таблица1[2],$D294)+SUMIFS(Таблица1[19],Таблица1[2],$D294)</f>
        <v>0</v>
      </c>
      <c r="AG294" s="59">
        <f t="shared" si="66"/>
        <v>432.29999999999995</v>
      </c>
      <c r="AH294" s="59">
        <f t="shared" si="67"/>
        <v>432.29999999999995</v>
      </c>
      <c r="AI294" s="60">
        <f>122.3-AM294</f>
        <v>122.3</v>
      </c>
      <c r="AJ294" s="60">
        <f t="shared" si="60"/>
        <v>122.3</v>
      </c>
      <c r="AK294" s="60">
        <f>SUMIFS(Таблица1[10],Таблица1[2],$D294)</f>
        <v>0</v>
      </c>
      <c r="AL294" s="60">
        <f>SUMIFS(Таблица1[11],Таблица1[2],$D294)</f>
        <v>0</v>
      </c>
      <c r="AM294" s="251">
        <v>0</v>
      </c>
      <c r="AN294" s="249">
        <f t="shared" si="61"/>
        <v>0</v>
      </c>
      <c r="AO294" s="249">
        <f>SUMIFS(Таблица1[12],Таблица1[2],$D294)</f>
        <v>0</v>
      </c>
      <c r="AP294" s="249">
        <f>SUMIFS(Таблица1[13],Таблица1[2],$D294)</f>
        <v>0</v>
      </c>
      <c r="AQ294" s="61">
        <v>84.9</v>
      </c>
      <c r="AR294" s="61">
        <f t="shared" si="62"/>
        <v>84.9</v>
      </c>
      <c r="AS294" s="60">
        <f>SUMIFS(Таблица1[14],Таблица1[2],$D294)</f>
        <v>0</v>
      </c>
      <c r="AT294" s="60">
        <f>SUMIFS(Таблица1[15],Таблица1[2],$D294)</f>
        <v>0</v>
      </c>
      <c r="AU294" s="61">
        <v>225.1</v>
      </c>
      <c r="AV294" s="61">
        <f t="shared" si="63"/>
        <v>225.1</v>
      </c>
      <c r="AW294" s="60">
        <f>SUMIFS(Таблица1[16],Таблица1[2],$D294)</f>
        <v>0</v>
      </c>
      <c r="AX294" s="60">
        <f>SUMIFS(Таблица1[17],Таблица1[2],$D294)</f>
        <v>0</v>
      </c>
      <c r="AY294" s="263"/>
      <c r="AZ294" s="264"/>
      <c r="BA294" s="296">
        <v>0</v>
      </c>
      <c r="BB294" s="296">
        <f t="shared" si="71"/>
        <v>0</v>
      </c>
      <c r="BC294" s="296">
        <v>0</v>
      </c>
      <c r="BD294" s="296">
        <v>0</v>
      </c>
      <c r="BE294" s="285"/>
      <c r="BF294" s="259">
        <v>618</v>
      </c>
      <c r="BG294" s="260">
        <f>1630+2401</f>
        <v>4031</v>
      </c>
      <c r="BH294" s="62" t="s">
        <v>936</v>
      </c>
      <c r="BI294" s="62" t="s">
        <v>935</v>
      </c>
      <c r="BJ294" s="62"/>
      <c r="BK294" s="267"/>
      <c r="BL294" s="267"/>
      <c r="BM294" s="267" t="s">
        <v>1649</v>
      </c>
      <c r="BN294" s="268"/>
      <c r="BO294" s="62">
        <v>25</v>
      </c>
      <c r="BP294" s="63">
        <v>32114</v>
      </c>
      <c r="BQ294" s="64" t="s">
        <v>1131</v>
      </c>
      <c r="BR294" s="372" t="s">
        <v>2747</v>
      </c>
      <c r="BS294" s="62"/>
      <c r="BT294" s="323"/>
      <c r="BU294" s="62"/>
      <c r="BV294" s="323"/>
      <c r="BW294" s="62"/>
      <c r="BX294" s="336"/>
      <c r="BY294" s="336"/>
    </row>
    <row r="295" spans="1:77" ht="13.15" hidden="1" customHeight="1" outlineLevel="1" x14ac:dyDescent="0.2">
      <c r="A295" s="50">
        <f t="shared" si="69"/>
        <v>290</v>
      </c>
      <c r="B295" s="51">
        <v>10</v>
      </c>
      <c r="C295" s="51">
        <v>42</v>
      </c>
      <c r="D295" s="18" t="s">
        <v>628</v>
      </c>
      <c r="E295" s="18">
        <v>14</v>
      </c>
      <c r="F295" s="18">
        <v>3</v>
      </c>
      <c r="G295" s="69"/>
      <c r="H295" s="237">
        <v>1</v>
      </c>
      <c r="I295" s="65">
        <v>1957</v>
      </c>
      <c r="J295" s="349">
        <v>5</v>
      </c>
      <c r="K295" s="346">
        <f t="shared" si="70"/>
        <v>6</v>
      </c>
      <c r="L295" s="346">
        <v>1</v>
      </c>
      <c r="M295" s="349">
        <v>3</v>
      </c>
      <c r="N295" s="255">
        <f t="shared" si="68"/>
        <v>1</v>
      </c>
      <c r="O295" s="310">
        <v>60</v>
      </c>
      <c r="P295" s="66">
        <v>0</v>
      </c>
      <c r="Q295" s="66"/>
      <c r="R295" s="66">
        <v>15</v>
      </c>
      <c r="S295" s="66">
        <v>36</v>
      </c>
      <c r="T295" s="66">
        <v>9</v>
      </c>
      <c r="U295" s="66">
        <v>0</v>
      </c>
      <c r="V295" s="66">
        <v>0</v>
      </c>
      <c r="W295" s="54">
        <v>0</v>
      </c>
      <c r="X295" s="55">
        <f>SUMIFS(Таблица3[Кол-во квартир],Таблица3[Адрес МКД],$D295)</f>
        <v>59</v>
      </c>
      <c r="Y295" s="56">
        <f t="shared" si="72"/>
        <v>5261.1</v>
      </c>
      <c r="Z295" s="253">
        <f>SUMIFS(Таблица3[Площадь жилая],Таблица3[Адрес МКД],$D295)</f>
        <v>3441.1</v>
      </c>
      <c r="AA295" s="261">
        <f>SUMIFS(Таблица3[Площадь нежилых помещений],Таблица3[Адрес МКД],$D295)</f>
        <v>201.7</v>
      </c>
      <c r="AB295" s="252">
        <f>SUMIFS(Таблица1[1],Таблица1[2],$D295)</f>
        <v>290.10000000000002</v>
      </c>
      <c r="AC295" s="57">
        <f t="shared" si="64"/>
        <v>290.10000000000002</v>
      </c>
      <c r="AD295" s="57">
        <f t="shared" si="65"/>
        <v>0</v>
      </c>
      <c r="AE295" s="58">
        <f>SUMIFS(Таблица1[8],Таблица1[2],$D295)+SUMIFS(Таблица1[18],Таблица1[2],$D295)</f>
        <v>0</v>
      </c>
      <c r="AF295" s="58">
        <f>SUMIFS(Таблица1[9],Таблица1[2],$D295)+SUMIFS(Таблица1[19],Таблица1[2],$D295)</f>
        <v>0</v>
      </c>
      <c r="AG295" s="59">
        <f t="shared" si="66"/>
        <v>1529.9</v>
      </c>
      <c r="AH295" s="59">
        <f t="shared" si="67"/>
        <v>1529.9</v>
      </c>
      <c r="AI295" s="60">
        <f>654.2-AM295</f>
        <v>452.50000000000006</v>
      </c>
      <c r="AJ295" s="60">
        <f t="shared" si="60"/>
        <v>364.1</v>
      </c>
      <c r="AK295" s="60">
        <f>SUMIFS(Таблица1[10],Таблица1[2],$D295)</f>
        <v>88.4</v>
      </c>
      <c r="AL295" s="60">
        <f>SUMIFS(Таблица1[11],Таблица1[2],$D295)</f>
        <v>0</v>
      </c>
      <c r="AM295" s="251">
        <v>201.7</v>
      </c>
      <c r="AN295" s="249">
        <f t="shared" si="61"/>
        <v>0</v>
      </c>
      <c r="AO295" s="249">
        <f>SUMIFS(Таблица1[12],Таблица1[2],$D295)</f>
        <v>201.7</v>
      </c>
      <c r="AP295" s="249">
        <f>SUMIFS(Таблица1[13],Таблица1[2],$D295)</f>
        <v>0</v>
      </c>
      <c r="AQ295" s="61">
        <f>426.8</f>
        <v>426.8</v>
      </c>
      <c r="AR295" s="61">
        <f t="shared" si="62"/>
        <v>426.8</v>
      </c>
      <c r="AS295" s="60">
        <f>SUMIFS(Таблица1[14],Таблица1[2],$D295)</f>
        <v>0</v>
      </c>
      <c r="AT295" s="60">
        <f>SUMIFS(Таблица1[15],Таблица1[2],$D295)</f>
        <v>0</v>
      </c>
      <c r="AU295" s="61">
        <v>739</v>
      </c>
      <c r="AV295" s="61">
        <f t="shared" si="63"/>
        <v>739</v>
      </c>
      <c r="AW295" s="60">
        <f>SUMIFS(Таблица1[16],Таблица1[2],$D295)</f>
        <v>0</v>
      </c>
      <c r="AX295" s="60">
        <f>SUMIFS(Таблица1[17],Таблица1[2],$D295)</f>
        <v>0</v>
      </c>
      <c r="AY295" s="263">
        <f>Нежилые!G1547</f>
        <v>88.4</v>
      </c>
      <c r="AZ295" s="264"/>
      <c r="BA295" s="296">
        <v>0</v>
      </c>
      <c r="BB295" s="296">
        <f t="shared" si="71"/>
        <v>0</v>
      </c>
      <c r="BC295" s="296">
        <v>0</v>
      </c>
      <c r="BD295" s="296">
        <v>0</v>
      </c>
      <c r="BE295" s="285"/>
      <c r="BF295" s="259">
        <v>2355</v>
      </c>
      <c r="BG295" s="260">
        <v>15478</v>
      </c>
      <c r="BH295" s="62" t="s">
        <v>936</v>
      </c>
      <c r="BI295" s="62" t="s">
        <v>935</v>
      </c>
      <c r="BJ295" s="62"/>
      <c r="BK295" s="267"/>
      <c r="BL295" s="267"/>
      <c r="BM295" s="267" t="s">
        <v>1649</v>
      </c>
      <c r="BN295" s="268"/>
      <c r="BO295" s="62">
        <v>25</v>
      </c>
      <c r="BP295" s="63">
        <v>30988</v>
      </c>
      <c r="BQ295" s="64" t="s">
        <v>1131</v>
      </c>
      <c r="BR295" s="372" t="s">
        <v>2747</v>
      </c>
      <c r="BS295" s="62"/>
      <c r="BT295" s="323"/>
      <c r="BU295" s="62"/>
      <c r="BV295" s="323"/>
      <c r="BW295" s="62"/>
      <c r="BX295" s="336"/>
      <c r="BY295" s="336"/>
    </row>
    <row r="296" spans="1:77" ht="13.15" hidden="1" customHeight="1" outlineLevel="1" x14ac:dyDescent="0.2">
      <c r="A296" s="50">
        <f t="shared" si="69"/>
        <v>291</v>
      </c>
      <c r="B296" s="51">
        <v>11</v>
      </c>
      <c r="C296" s="51">
        <v>43</v>
      </c>
      <c r="D296" s="18" t="s">
        <v>629</v>
      </c>
      <c r="E296" s="18">
        <v>14</v>
      </c>
      <c r="F296" s="18">
        <v>3</v>
      </c>
      <c r="G296" s="52">
        <v>1</v>
      </c>
      <c r="H296" s="237">
        <v>1</v>
      </c>
      <c r="I296" s="65">
        <v>1958</v>
      </c>
      <c r="J296" s="349">
        <v>5</v>
      </c>
      <c r="K296" s="346">
        <f t="shared" si="70"/>
        <v>6</v>
      </c>
      <c r="L296" s="346">
        <v>1</v>
      </c>
      <c r="M296" s="349">
        <v>4</v>
      </c>
      <c r="N296" s="255">
        <f t="shared" si="68"/>
        <v>0</v>
      </c>
      <c r="O296" s="310">
        <v>60</v>
      </c>
      <c r="P296" s="66">
        <v>0</v>
      </c>
      <c r="Q296" s="66"/>
      <c r="R296" s="66">
        <v>0</v>
      </c>
      <c r="S296" s="66">
        <v>60</v>
      </c>
      <c r="T296" s="66">
        <v>0</v>
      </c>
      <c r="U296" s="66">
        <v>0</v>
      </c>
      <c r="V296" s="66">
        <v>0</v>
      </c>
      <c r="W296" s="54">
        <v>0</v>
      </c>
      <c r="X296" s="55">
        <f>SUMIFS(Таблица3[Кол-во квартир],Таблица3[Адрес МКД],$D296)</f>
        <v>60</v>
      </c>
      <c r="Y296" s="56">
        <f t="shared" si="72"/>
        <v>4855.3999999999996</v>
      </c>
      <c r="Z296" s="253">
        <f>SUMIFS(Таблица3[Площадь жилая],Таблица3[Адрес МКД],$D296)</f>
        <v>3158.6</v>
      </c>
      <c r="AA296" s="261">
        <f>SUMIFS(Таблица3[Площадь нежилых помещений],Таблица3[Адрес МКД],$D296)</f>
        <v>208.9</v>
      </c>
      <c r="AB296" s="252">
        <f>SUMIFS(Таблица1[1],Таблица1[2],$D296)</f>
        <v>208.9</v>
      </c>
      <c r="AC296" s="57">
        <f t="shared" si="64"/>
        <v>208.9</v>
      </c>
      <c r="AD296" s="57">
        <f t="shared" si="65"/>
        <v>0</v>
      </c>
      <c r="AE296" s="58">
        <f>SUMIFS(Таблица1[8],Таблица1[2],$D296)+SUMIFS(Таблица1[18],Таблица1[2],$D296)</f>
        <v>0</v>
      </c>
      <c r="AF296" s="58">
        <f>SUMIFS(Таблица1[9],Таблица1[2],$D296)+SUMIFS(Таблица1[19],Таблица1[2],$D296)</f>
        <v>0</v>
      </c>
      <c r="AG296" s="59">
        <f t="shared" si="66"/>
        <v>1487.9</v>
      </c>
      <c r="AH296" s="59">
        <f t="shared" si="67"/>
        <v>1487.9</v>
      </c>
      <c r="AI296" s="60">
        <f>547.5-AM296</f>
        <v>338.6</v>
      </c>
      <c r="AJ296" s="60">
        <f t="shared" si="60"/>
        <v>338.6</v>
      </c>
      <c r="AK296" s="60">
        <f>SUMIFS(Таблица1[10],Таблица1[2],$D296)</f>
        <v>0</v>
      </c>
      <c r="AL296" s="60">
        <f>SUMIFS(Таблица1[11],Таблица1[2],$D296)</f>
        <v>0</v>
      </c>
      <c r="AM296" s="251">
        <v>208.9</v>
      </c>
      <c r="AN296" s="249">
        <f t="shared" si="61"/>
        <v>0</v>
      </c>
      <c r="AO296" s="249">
        <f>SUMIFS(Таблица1[12],Таблица1[2],$D296)</f>
        <v>208.9</v>
      </c>
      <c r="AP296" s="249">
        <f>SUMIFS(Таблица1[13],Таблица1[2],$D296)</f>
        <v>0</v>
      </c>
      <c r="AQ296" s="61">
        <f>403.8</f>
        <v>403.8</v>
      </c>
      <c r="AR296" s="61">
        <f t="shared" si="62"/>
        <v>403.8</v>
      </c>
      <c r="AS296" s="60">
        <f>SUMIFS(Таблица1[14],Таблица1[2],$D296)</f>
        <v>0</v>
      </c>
      <c r="AT296" s="60">
        <f>SUMIFS(Таблица1[15],Таблица1[2],$D296)</f>
        <v>0</v>
      </c>
      <c r="AU296" s="61">
        <v>745.5</v>
      </c>
      <c r="AV296" s="61">
        <f t="shared" si="63"/>
        <v>745.5</v>
      </c>
      <c r="AW296" s="60">
        <f>SUMIFS(Таблица1[16],Таблица1[2],$D296)</f>
        <v>0</v>
      </c>
      <c r="AX296" s="60">
        <f>SUMIFS(Таблица1[17],Таблица1[2],$D296)</f>
        <v>0</v>
      </c>
      <c r="AY296" s="263"/>
      <c r="AZ296" s="264"/>
      <c r="BA296" s="296">
        <v>0</v>
      </c>
      <c r="BB296" s="296">
        <f t="shared" si="71"/>
        <v>0</v>
      </c>
      <c r="BC296" s="296">
        <v>0</v>
      </c>
      <c r="BD296" s="296">
        <v>0</v>
      </c>
      <c r="BE296" s="285"/>
      <c r="BF296" s="259">
        <v>2640</v>
      </c>
      <c r="BG296" s="260">
        <v>14694</v>
      </c>
      <c r="BH296" s="62" t="s">
        <v>936</v>
      </c>
      <c r="BI296" s="62" t="s">
        <v>935</v>
      </c>
      <c r="BJ296" s="62"/>
      <c r="BK296" s="267"/>
      <c r="BL296" s="267"/>
      <c r="BM296" s="267" t="s">
        <v>1649</v>
      </c>
      <c r="BN296" s="268"/>
      <c r="BO296" s="62">
        <v>33</v>
      </c>
      <c r="BP296" s="63">
        <v>32114</v>
      </c>
      <c r="BQ296" s="64" t="s">
        <v>1131</v>
      </c>
      <c r="BR296" s="372" t="s">
        <v>2747</v>
      </c>
      <c r="BS296" s="62"/>
      <c r="BT296" s="323"/>
      <c r="BU296" s="62"/>
      <c r="BV296" s="323"/>
      <c r="BW296" s="62"/>
      <c r="BX296" s="336"/>
      <c r="BY296" s="336"/>
    </row>
    <row r="297" spans="1:77" ht="13.15" hidden="1" customHeight="1" outlineLevel="1" x14ac:dyDescent="0.2">
      <c r="A297" s="50">
        <f t="shared" si="69"/>
        <v>292</v>
      </c>
      <c r="B297" s="51">
        <v>51</v>
      </c>
      <c r="C297" s="51">
        <v>70</v>
      </c>
      <c r="D297" s="18" t="s">
        <v>545</v>
      </c>
      <c r="E297" s="18">
        <v>11</v>
      </c>
      <c r="F297" s="18">
        <v>2</v>
      </c>
      <c r="G297" s="52">
        <v>1</v>
      </c>
      <c r="H297" s="237">
        <v>1</v>
      </c>
      <c r="I297" s="65">
        <v>1956</v>
      </c>
      <c r="J297" s="349">
        <v>5</v>
      </c>
      <c r="K297" s="346">
        <f t="shared" si="70"/>
        <v>6</v>
      </c>
      <c r="L297" s="346">
        <v>1</v>
      </c>
      <c r="M297" s="349">
        <v>3</v>
      </c>
      <c r="N297" s="255">
        <f t="shared" si="68"/>
        <v>1</v>
      </c>
      <c r="O297" s="310">
        <v>44</v>
      </c>
      <c r="P297" s="66">
        <v>0</v>
      </c>
      <c r="Q297" s="66"/>
      <c r="R297" s="66">
        <v>0</v>
      </c>
      <c r="S297" s="66">
        <v>20</v>
      </c>
      <c r="T297" s="66">
        <v>24</v>
      </c>
      <c r="U297" s="66">
        <v>0</v>
      </c>
      <c r="V297" s="66">
        <v>0</v>
      </c>
      <c r="W297" s="54">
        <v>0</v>
      </c>
      <c r="X297" s="55">
        <f>SUMIFS(Таблица3[Кол-во квартир],Таблица3[Адрес МКД],$D297)</f>
        <v>43</v>
      </c>
      <c r="Y297" s="56">
        <f t="shared" si="72"/>
        <v>5359</v>
      </c>
      <c r="Z297" s="253">
        <f>SUMIFS(Таблица3[Площадь жилая],Таблица3[Адрес МКД],$D297)</f>
        <v>2913.6</v>
      </c>
      <c r="AA297" s="261">
        <f>SUMIFS(Таблица3[Площадь нежилых помещений],Таблица3[Адрес МКД],$D297)</f>
        <v>1011.5</v>
      </c>
      <c r="AB297" s="252">
        <f>SUMIFS(Таблица1[1],Таблица1[2],$D297)</f>
        <v>873.30000000000007</v>
      </c>
      <c r="AC297" s="57">
        <f t="shared" si="64"/>
        <v>873.30000000000007</v>
      </c>
      <c r="AD297" s="57">
        <f t="shared" si="65"/>
        <v>0</v>
      </c>
      <c r="AE297" s="58">
        <f>SUMIFS(Таблица1[8],Таблица1[2],$D297)+SUMIFS(Таблица1[18],Таблица1[2],$D297)</f>
        <v>672.2</v>
      </c>
      <c r="AF297" s="58">
        <f>SUMIFS(Таблица1[9],Таблица1[2],$D297)+SUMIFS(Таблица1[19],Таблица1[2],$D297)</f>
        <v>0</v>
      </c>
      <c r="AG297" s="59">
        <f t="shared" si="66"/>
        <v>1572.1</v>
      </c>
      <c r="AH297" s="59">
        <f t="shared" si="67"/>
        <v>1572.1</v>
      </c>
      <c r="AI297" s="60">
        <f>514.8-AM297</f>
        <v>313.69999999999993</v>
      </c>
      <c r="AJ297" s="60">
        <f t="shared" si="60"/>
        <v>313.69999999999993</v>
      </c>
      <c r="AK297" s="60">
        <f>SUMIFS(Таблица1[10],Таблица1[2],$D297)</f>
        <v>0</v>
      </c>
      <c r="AL297" s="60">
        <f>SUMIFS(Таблица1[11],Таблица1[2],$D297)</f>
        <v>0</v>
      </c>
      <c r="AM297" s="251">
        <f>201.1+55+83.2-55-83.2</f>
        <v>201.10000000000002</v>
      </c>
      <c r="AN297" s="249">
        <f t="shared" si="61"/>
        <v>2.8421709430404007E-14</v>
      </c>
      <c r="AO297" s="249">
        <f>SUMIFS(Таблица1[12],Таблица1[2],$D297)</f>
        <v>201.1</v>
      </c>
      <c r="AP297" s="249">
        <f>SUMIFS(Таблица1[13],Таблица1[2],$D297)</f>
        <v>0</v>
      </c>
      <c r="AQ297" s="61">
        <v>374.8</v>
      </c>
      <c r="AR297" s="61">
        <f t="shared" si="62"/>
        <v>374.8</v>
      </c>
      <c r="AS297" s="60">
        <f>SUMIFS(Таблица1[14],Таблица1[2],$D297)</f>
        <v>0</v>
      </c>
      <c r="AT297" s="60">
        <f>SUMIFS(Таблица1[15],Таблица1[2],$D297)</f>
        <v>0</v>
      </c>
      <c r="AU297" s="61">
        <v>883.6</v>
      </c>
      <c r="AV297" s="61">
        <f t="shared" si="63"/>
        <v>883.6</v>
      </c>
      <c r="AW297" s="60">
        <f>SUMIFS(Таблица1[16],Таблица1[2],$D297)</f>
        <v>0</v>
      </c>
      <c r="AX297" s="60">
        <f>SUMIFS(Таблица1[17],Таблица1[2],$D297)</f>
        <v>0</v>
      </c>
      <c r="AY297" s="263"/>
      <c r="AZ297" s="264"/>
      <c r="BA297" s="296">
        <v>0</v>
      </c>
      <c r="BB297" s="296">
        <f t="shared" si="71"/>
        <v>0</v>
      </c>
      <c r="BC297" s="296">
        <v>0</v>
      </c>
      <c r="BD297" s="296">
        <v>0</v>
      </c>
      <c r="BE297" s="285"/>
      <c r="BF297" s="259">
        <v>2256</v>
      </c>
      <c r="BG297" s="260">
        <v>15959</v>
      </c>
      <c r="BH297" s="62" t="s">
        <v>936</v>
      </c>
      <c r="BI297" s="62" t="s">
        <v>935</v>
      </c>
      <c r="BJ297" s="62"/>
      <c r="BK297" s="267"/>
      <c r="BL297" s="267"/>
      <c r="BM297" s="267" t="s">
        <v>1649</v>
      </c>
      <c r="BN297" s="268"/>
      <c r="BO297" s="62">
        <v>38</v>
      </c>
      <c r="BP297" s="63">
        <v>41375</v>
      </c>
      <c r="BQ297" s="64" t="s">
        <v>1131</v>
      </c>
      <c r="BR297" s="372" t="s">
        <v>2747</v>
      </c>
      <c r="BS297" s="62"/>
      <c r="BT297" s="323"/>
      <c r="BU297" s="62"/>
      <c r="BV297" s="323"/>
      <c r="BW297" s="62"/>
      <c r="BX297" s="336"/>
      <c r="BY297" s="336"/>
    </row>
    <row r="298" spans="1:77" ht="13.15" hidden="1" customHeight="1" outlineLevel="1" x14ac:dyDescent="0.2">
      <c r="A298" s="50">
        <f t="shared" si="69"/>
        <v>293</v>
      </c>
      <c r="B298" s="51">
        <v>24</v>
      </c>
      <c r="C298" s="51">
        <v>44</v>
      </c>
      <c r="D298" s="18" t="s">
        <v>640</v>
      </c>
      <c r="E298" s="18">
        <v>14</v>
      </c>
      <c r="F298" s="18">
        <v>3</v>
      </c>
      <c r="G298" s="52">
        <v>1</v>
      </c>
      <c r="H298" s="237">
        <v>1</v>
      </c>
      <c r="I298" s="65">
        <v>1956</v>
      </c>
      <c r="J298" s="349">
        <v>5</v>
      </c>
      <c r="K298" s="346">
        <f t="shared" si="70"/>
        <v>6</v>
      </c>
      <c r="L298" s="346">
        <v>1</v>
      </c>
      <c r="M298" s="349">
        <v>5</v>
      </c>
      <c r="N298" s="255">
        <f t="shared" si="68"/>
        <v>2</v>
      </c>
      <c r="O298" s="310">
        <v>99</v>
      </c>
      <c r="P298" s="327">
        <v>4</v>
      </c>
      <c r="Q298" s="66"/>
      <c r="R298" s="66">
        <v>1</v>
      </c>
      <c r="S298" s="66">
        <v>66</v>
      </c>
      <c r="T298" s="66">
        <v>31</v>
      </c>
      <c r="U298" s="66">
        <v>0</v>
      </c>
      <c r="V298" s="66">
        <v>0</v>
      </c>
      <c r="W298" s="54">
        <v>1</v>
      </c>
      <c r="X298" s="55">
        <f>SUMIFS(Таблица3[Кол-во квартир],Таблица3[Адрес МКД],$D298)</f>
        <v>93</v>
      </c>
      <c r="Y298" s="56">
        <f t="shared" si="72"/>
        <v>9397</v>
      </c>
      <c r="Z298" s="253">
        <f>SUMIFS(Таблица3[Площадь жилая],Таблица3[Адрес МКД],$D298)</f>
        <v>6078.8</v>
      </c>
      <c r="AA298" s="261">
        <f>SUMIFS(Таблица3[Площадь нежилых помещений],Таблица3[Адрес МКД],$D298)</f>
        <v>678.7</v>
      </c>
      <c r="AB298" s="252">
        <f>SUMIFS(Таблица1[1],Таблица1[2],$D298)</f>
        <v>751.2</v>
      </c>
      <c r="AC298" s="57">
        <f t="shared" si="64"/>
        <v>751.2</v>
      </c>
      <c r="AD298" s="57">
        <f t="shared" si="65"/>
        <v>0</v>
      </c>
      <c r="AE298" s="58">
        <f>SUMIFS(Таблица1[8],Таблица1[2],$D298)+SUMIFS(Таблица1[18],Таблица1[2],$D298)</f>
        <v>237.20000000000002</v>
      </c>
      <c r="AF298" s="58">
        <f>SUMIFS(Таблица1[9],Таблица1[2],$D298)+SUMIFS(Таблица1[19],Таблица1[2],$D298)</f>
        <v>0</v>
      </c>
      <c r="AG298" s="59">
        <f t="shared" si="66"/>
        <v>2567</v>
      </c>
      <c r="AH298" s="59">
        <f t="shared" si="67"/>
        <v>2567</v>
      </c>
      <c r="AI298" s="60">
        <f>1396.4-AM298</f>
        <v>1153.7</v>
      </c>
      <c r="AJ298" s="60">
        <f t="shared" si="60"/>
        <v>882.40000000000009</v>
      </c>
      <c r="AK298" s="60">
        <f>SUMIFS(Таблица1[10],Таблица1[2],$D298)</f>
        <v>271.3</v>
      </c>
      <c r="AL298" s="60">
        <f>SUMIFS(Таблица1[11],Таблица1[2],$D298)</f>
        <v>0</v>
      </c>
      <c r="AM298" s="251">
        <v>242.7</v>
      </c>
      <c r="AN298" s="249">
        <f t="shared" si="61"/>
        <v>0</v>
      </c>
      <c r="AO298" s="249">
        <f>SUMIFS(Таблица1[12],Таблица1[2],$D298)</f>
        <v>242.7</v>
      </c>
      <c r="AP298" s="249">
        <f>SUMIFS(Таблица1[13],Таблица1[2],$D298)</f>
        <v>0</v>
      </c>
      <c r="AQ298" s="61">
        <f>688.6</f>
        <v>688.6</v>
      </c>
      <c r="AR298" s="61">
        <f t="shared" si="62"/>
        <v>688.6</v>
      </c>
      <c r="AS298" s="60">
        <f>SUMIFS(Таблица1[14],Таблица1[2],$D298)</f>
        <v>0</v>
      </c>
      <c r="AT298" s="60">
        <f>SUMIFS(Таблица1[15],Таблица1[2],$D298)</f>
        <v>0</v>
      </c>
      <c r="AU298" s="61">
        <v>996</v>
      </c>
      <c r="AV298" s="61">
        <f t="shared" si="63"/>
        <v>996</v>
      </c>
      <c r="AW298" s="60">
        <f>SUMIFS(Таблица1[16],Таблица1[2],$D298)</f>
        <v>0</v>
      </c>
      <c r="AX298" s="60">
        <f>SUMIFS(Таблица1[17],Таблица1[2],$D298)</f>
        <v>0</v>
      </c>
      <c r="AY298" s="263">
        <f>Нежилые!G1682</f>
        <v>72.5</v>
      </c>
      <c r="AZ298" s="264"/>
      <c r="BA298" s="296">
        <v>0</v>
      </c>
      <c r="BB298" s="296">
        <f t="shared" si="71"/>
        <v>0</v>
      </c>
      <c r="BC298" s="296">
        <v>0</v>
      </c>
      <c r="BD298" s="296">
        <v>0</v>
      </c>
      <c r="BE298" s="285"/>
      <c r="BF298" s="259">
        <f>2527+916.45*3.2</f>
        <v>5459.64</v>
      </c>
      <c r="BG298" s="260">
        <f>22304+3145+2688.36</f>
        <v>28137.360000000001</v>
      </c>
      <c r="BH298" s="62" t="s">
        <v>936</v>
      </c>
      <c r="BI298" s="62" t="s">
        <v>935</v>
      </c>
      <c r="BJ298" s="70" t="s">
        <v>1014</v>
      </c>
      <c r="BK298" s="269"/>
      <c r="BL298" s="269"/>
      <c r="BM298" s="267" t="s">
        <v>1649</v>
      </c>
      <c r="BN298" s="270"/>
      <c r="BO298" s="62">
        <v>31</v>
      </c>
      <c r="BP298" s="63">
        <v>28563</v>
      </c>
      <c r="BQ298" s="64" t="s">
        <v>1131</v>
      </c>
      <c r="BR298" s="372" t="s">
        <v>2747</v>
      </c>
      <c r="BS298" s="62"/>
      <c r="BT298" s="323"/>
      <c r="BU298" s="62"/>
      <c r="BV298" s="323"/>
      <c r="BW298" s="62"/>
      <c r="BX298" s="336"/>
      <c r="BY298" s="336"/>
    </row>
    <row r="299" spans="1:77" ht="13.15" hidden="1" customHeight="1" outlineLevel="1" x14ac:dyDescent="0.2">
      <c r="A299" s="50">
        <f t="shared" si="69"/>
        <v>294</v>
      </c>
      <c r="B299" s="51">
        <v>52</v>
      </c>
      <c r="C299" s="51">
        <v>71</v>
      </c>
      <c r="D299" s="18" t="s">
        <v>546</v>
      </c>
      <c r="E299" s="18">
        <v>11</v>
      </c>
      <c r="F299" s="18">
        <v>2</v>
      </c>
      <c r="G299" s="52">
        <v>2</v>
      </c>
      <c r="H299" s="237">
        <v>2</v>
      </c>
      <c r="I299" s="65">
        <v>1956</v>
      </c>
      <c r="J299" s="349">
        <v>5</v>
      </c>
      <c r="K299" s="346">
        <f t="shared" si="70"/>
        <v>6</v>
      </c>
      <c r="L299" s="346">
        <v>1</v>
      </c>
      <c r="M299" s="349">
        <v>8</v>
      </c>
      <c r="N299" s="255">
        <f t="shared" si="68"/>
        <v>0</v>
      </c>
      <c r="O299" s="310">
        <v>152</v>
      </c>
      <c r="P299" s="327">
        <v>13</v>
      </c>
      <c r="Q299" s="66"/>
      <c r="R299" s="66">
        <v>12</v>
      </c>
      <c r="S299" s="66">
        <v>78</v>
      </c>
      <c r="T299" s="66">
        <v>56</v>
      </c>
      <c r="U299" s="66">
        <v>6</v>
      </c>
      <c r="V299" s="66">
        <v>0</v>
      </c>
      <c r="W299" s="54">
        <v>0</v>
      </c>
      <c r="X299" s="55">
        <f>SUMIFS(Таблица3[Кол-во квартир],Таблица3[Адрес МКД],$D299)</f>
        <v>139</v>
      </c>
      <c r="Y299" s="56">
        <f t="shared" si="72"/>
        <v>16371.1</v>
      </c>
      <c r="Z299" s="253">
        <f>SUMIFS(Таблица3[Площадь жилая],Таблица3[Адрес МКД],$D299)</f>
        <v>9000.5</v>
      </c>
      <c r="AA299" s="261">
        <f>SUMIFS(Таблица3[Площадь нежилых помещений],Таблица3[Адрес МКД],$D299)</f>
        <v>2976</v>
      </c>
      <c r="AB299" s="252">
        <f>SUMIFS(Таблица1[1],Таблица1[2],$D299)</f>
        <v>3005.6</v>
      </c>
      <c r="AC299" s="57">
        <f t="shared" si="64"/>
        <v>2976</v>
      </c>
      <c r="AD299" s="57">
        <f t="shared" si="65"/>
        <v>29.6</v>
      </c>
      <c r="AE299" s="58">
        <f>SUMIFS(Таблица1[8],Таблица1[2],$D299)+SUMIFS(Таблица1[18],Таблица1[2],$D299)</f>
        <v>1279.0999999999999</v>
      </c>
      <c r="AF299" s="58">
        <f>SUMIFS(Таблица1[9],Таблица1[2],$D299)+SUMIFS(Таблица1[19],Таблица1[2],$D299)</f>
        <v>0</v>
      </c>
      <c r="AG299" s="59">
        <f>AJ299+AR299+AV299+AZ299</f>
        <v>4365</v>
      </c>
      <c r="AH299" s="59">
        <f>AJ299+AL299+AR299+AT299+AV299+AX299</f>
        <v>4394.6000000000004</v>
      </c>
      <c r="AI299" s="60">
        <f>1289.7+956.8+92.3+67.6-AM299</f>
        <v>1728.9</v>
      </c>
      <c r="AJ299" s="60">
        <f t="shared" si="60"/>
        <v>709.50000000000011</v>
      </c>
      <c r="AK299" s="60">
        <f>SUMIFS(Таблица1[10],Таблица1[2],$D299)</f>
        <v>1019.4</v>
      </c>
      <c r="AL299" s="60">
        <f>SUMIFS(Таблица1[11],Таблица1[2],$D299)</f>
        <v>0</v>
      </c>
      <c r="AM299" s="251">
        <f>175.9+202.1+299.5</f>
        <v>677.5</v>
      </c>
      <c r="AN299" s="249">
        <f t="shared" si="61"/>
        <v>0</v>
      </c>
      <c r="AO299" s="249">
        <f>SUMIFS(Таблица1[12],Таблица1[2],$D299)</f>
        <v>677.5</v>
      </c>
      <c r="AP299" s="249">
        <f>SUMIFS(Таблица1[13],Таблица1[2],$D299)</f>
        <v>0</v>
      </c>
      <c r="AQ299" s="61">
        <f>1132.1</f>
        <v>1132.0999999999999</v>
      </c>
      <c r="AR299" s="61">
        <f t="shared" si="62"/>
        <v>1102.5</v>
      </c>
      <c r="AS299" s="60">
        <f>SUMIFS(Таблица1[14],Таблица1[2],$D299)</f>
        <v>0</v>
      </c>
      <c r="AT299" s="60">
        <f>SUMIFS(Таблица1[15],Таблица1[2],$D299)</f>
        <v>29.6</v>
      </c>
      <c r="AU299" s="61">
        <v>2553</v>
      </c>
      <c r="AV299" s="61">
        <f t="shared" si="63"/>
        <v>2553</v>
      </c>
      <c r="AW299" s="60">
        <f>SUMIFS(Таблица1[16],Таблица1[2],$D299)</f>
        <v>0</v>
      </c>
      <c r="AX299" s="60">
        <f>SUMIFS(Таблица1[17],Таблица1[2],$D299)</f>
        <v>0</v>
      </c>
      <c r="AY299" s="263"/>
      <c r="AZ299" s="264"/>
      <c r="BA299" s="296">
        <v>0</v>
      </c>
      <c r="BB299" s="296">
        <f t="shared" si="71"/>
        <v>0</v>
      </c>
      <c r="BC299" s="296">
        <v>0</v>
      </c>
      <c r="BD299" s="296">
        <v>0</v>
      </c>
      <c r="BE299" s="285"/>
      <c r="BF299" s="259">
        <v>7719</v>
      </c>
      <c r="BG299" s="260">
        <f>27443+18301</f>
        <v>45744</v>
      </c>
      <c r="BH299" s="62" t="s">
        <v>939</v>
      </c>
      <c r="BI299" s="62" t="s">
        <v>935</v>
      </c>
      <c r="BJ299" s="62"/>
      <c r="BK299" s="267"/>
      <c r="BL299" s="267"/>
      <c r="BM299" s="267" t="s">
        <v>1649</v>
      </c>
      <c r="BN299" s="268"/>
      <c r="BO299" s="62">
        <v>28</v>
      </c>
      <c r="BP299" s="63">
        <v>28128</v>
      </c>
      <c r="BQ299" s="64" t="s">
        <v>1131</v>
      </c>
      <c r="BR299" s="372" t="s">
        <v>1649</v>
      </c>
      <c r="BS299" s="62"/>
      <c r="BT299" s="323"/>
      <c r="BU299" s="62"/>
      <c r="BV299" s="323"/>
      <c r="BW299" s="62"/>
      <c r="BX299" s="336"/>
      <c r="BY299" s="336"/>
    </row>
    <row r="300" spans="1:77" ht="13.15" hidden="1" customHeight="1" outlineLevel="1" x14ac:dyDescent="0.2">
      <c r="A300" s="50">
        <f t="shared" si="69"/>
        <v>295</v>
      </c>
      <c r="B300" s="51">
        <v>25</v>
      </c>
      <c r="C300" s="51">
        <v>45</v>
      </c>
      <c r="D300" s="18" t="s">
        <v>641</v>
      </c>
      <c r="E300" s="18">
        <v>14</v>
      </c>
      <c r="F300" s="18">
        <v>3</v>
      </c>
      <c r="G300" s="52">
        <v>2</v>
      </c>
      <c r="H300" s="237">
        <v>2</v>
      </c>
      <c r="I300" s="65">
        <v>1956</v>
      </c>
      <c r="J300" s="349">
        <v>5</v>
      </c>
      <c r="K300" s="346">
        <f t="shared" si="70"/>
        <v>6</v>
      </c>
      <c r="L300" s="346">
        <v>1</v>
      </c>
      <c r="M300" s="349">
        <v>5</v>
      </c>
      <c r="N300" s="255">
        <f t="shared" si="68"/>
        <v>0</v>
      </c>
      <c r="O300" s="310">
        <v>88</v>
      </c>
      <c r="P300" s="327">
        <v>8</v>
      </c>
      <c r="Q300" s="66"/>
      <c r="R300" s="66">
        <v>7</v>
      </c>
      <c r="S300" s="66">
        <v>42</v>
      </c>
      <c r="T300" s="66">
        <v>29</v>
      </c>
      <c r="U300" s="66">
        <v>10</v>
      </c>
      <c r="V300" s="66">
        <v>0</v>
      </c>
      <c r="W300" s="54">
        <v>0</v>
      </c>
      <c r="X300" s="55">
        <f>SUMIFS(Таблица3[Кол-во квартир],Таблица3[Адрес МКД],$D300)</f>
        <v>80</v>
      </c>
      <c r="Y300" s="56">
        <f t="shared" si="72"/>
        <v>9984.0999999999985</v>
      </c>
      <c r="Z300" s="253">
        <f>SUMIFS(Таблица3[Площадь жилая],Таблица3[Адрес МКД],$D300)</f>
        <v>5408.7</v>
      </c>
      <c r="AA300" s="261">
        <f>SUMIFS(Таблица3[Площадь нежилых помещений],Таблица3[Адрес МКД],$D300)</f>
        <v>1407</v>
      </c>
      <c r="AB300" s="252">
        <f>SUMIFS(Таблица1[1],Таблица1[2],$D300)</f>
        <v>1406.9999999999995</v>
      </c>
      <c r="AC300" s="57">
        <f>AE300+AK300+AO300+AS300+AW300</f>
        <v>1407</v>
      </c>
      <c r="AD300" s="57">
        <f t="shared" si="65"/>
        <v>0</v>
      </c>
      <c r="AE300" s="58">
        <f>SUMIFS(Таблица1[8],Таблица1[2],$D300)+SUMIFS(Таблица1[18],Таблица1[2],$D300)</f>
        <v>807</v>
      </c>
      <c r="AF300" s="58">
        <f>SUMIFS(Таблица1[9],Таблица1[2],$D300)+SUMIFS(Таблица1[19],Таблица1[2],$D300)</f>
        <v>0</v>
      </c>
      <c r="AG300" s="59">
        <f t="shared" si="66"/>
        <v>3168.4</v>
      </c>
      <c r="AH300" s="59">
        <f t="shared" si="67"/>
        <v>3168.4</v>
      </c>
      <c r="AI300" s="60">
        <f>1140-AM300</f>
        <v>888.7</v>
      </c>
      <c r="AJ300" s="60">
        <f t="shared" si="60"/>
        <v>540</v>
      </c>
      <c r="AK300" s="60">
        <f>SUMIFS(Таблица1[10],Таблица1[2],$D300)</f>
        <v>348.70000000000005</v>
      </c>
      <c r="AL300" s="60">
        <f>SUMIFS(Таблица1[11],Таблица1[2],$D300)</f>
        <v>0</v>
      </c>
      <c r="AM300" s="251">
        <f>124.6+126.7</f>
        <v>251.3</v>
      </c>
      <c r="AN300" s="249">
        <f t="shared" si="61"/>
        <v>0</v>
      </c>
      <c r="AO300" s="249">
        <f>SUMIFS(Таблица1[12],Таблица1[2],$D300)</f>
        <v>251.3</v>
      </c>
      <c r="AP300" s="249">
        <f>SUMIFS(Таблица1[13],Таблица1[2],$D300)</f>
        <v>0</v>
      </c>
      <c r="AQ300" s="61">
        <f>690.5</f>
        <v>690.5</v>
      </c>
      <c r="AR300" s="61">
        <f t="shared" si="62"/>
        <v>690.5</v>
      </c>
      <c r="AS300" s="60">
        <f>SUMIFS(Таблица1[14],Таблица1[2],$D300)</f>
        <v>0</v>
      </c>
      <c r="AT300" s="60">
        <f>SUMIFS(Таблица1[15],Таблица1[2],$D300)</f>
        <v>0</v>
      </c>
      <c r="AU300" s="61">
        <v>1937.9</v>
      </c>
      <c r="AV300" s="61">
        <f t="shared" si="63"/>
        <v>1937.9</v>
      </c>
      <c r="AW300" s="60">
        <f>SUMIFS(Таблица1[16],Таблица1[2],$D300)</f>
        <v>0</v>
      </c>
      <c r="AX300" s="60">
        <f>SUMIFS(Таблица1[17],Таблица1[2],$D300)</f>
        <v>0</v>
      </c>
      <c r="AY300" s="263"/>
      <c r="AZ300" s="264"/>
      <c r="BA300" s="296">
        <v>0</v>
      </c>
      <c r="BB300" s="296">
        <f t="shared" si="71"/>
        <v>0</v>
      </c>
      <c r="BC300" s="296">
        <v>0</v>
      </c>
      <c r="BD300" s="296">
        <v>0</v>
      </c>
      <c r="BE300" s="285"/>
      <c r="BF300" s="259">
        <v>4545</v>
      </c>
      <c r="BG300" s="260">
        <f>26873+1508</f>
        <v>28381</v>
      </c>
      <c r="BH300" s="62" t="s">
        <v>936</v>
      </c>
      <c r="BI300" s="62" t="s">
        <v>935</v>
      </c>
      <c r="BJ300" s="62" t="s">
        <v>1015</v>
      </c>
      <c r="BK300" s="267"/>
      <c r="BL300" s="267"/>
      <c r="BM300" s="267" t="s">
        <v>1649</v>
      </c>
      <c r="BN300" s="268"/>
      <c r="BO300" s="62">
        <v>34</v>
      </c>
      <c r="BP300" s="63">
        <v>28583</v>
      </c>
      <c r="BQ300" s="64" t="s">
        <v>1131</v>
      </c>
      <c r="BR300" s="372" t="s">
        <v>1649</v>
      </c>
      <c r="BS300" s="62"/>
      <c r="BT300" s="323"/>
      <c r="BU300" s="62"/>
      <c r="BV300" s="323"/>
      <c r="BW300" s="62"/>
      <c r="BX300" s="336"/>
      <c r="BY300" s="336"/>
    </row>
    <row r="301" spans="1:77" ht="13.15" hidden="1" customHeight="1" outlineLevel="1" x14ac:dyDescent="0.2">
      <c r="A301" s="50">
        <f t="shared" si="69"/>
        <v>296</v>
      </c>
      <c r="B301" s="51">
        <v>26</v>
      </c>
      <c r="C301" s="51">
        <v>46</v>
      </c>
      <c r="D301" s="18" t="s">
        <v>655</v>
      </c>
      <c r="E301" s="18">
        <v>14</v>
      </c>
      <c r="F301" s="18">
        <v>3</v>
      </c>
      <c r="G301" s="52">
        <v>4</v>
      </c>
      <c r="H301" s="237">
        <v>4</v>
      </c>
      <c r="I301" s="65">
        <v>1959</v>
      </c>
      <c r="J301" s="349">
        <v>5</v>
      </c>
      <c r="K301" s="346">
        <f t="shared" si="70"/>
        <v>6</v>
      </c>
      <c r="L301" s="346">
        <v>1</v>
      </c>
      <c r="M301" s="349">
        <v>13</v>
      </c>
      <c r="N301" s="255">
        <f t="shared" si="68"/>
        <v>0</v>
      </c>
      <c r="O301" s="310">
        <v>244</v>
      </c>
      <c r="P301" s="66">
        <v>16</v>
      </c>
      <c r="Q301" s="66"/>
      <c r="R301" s="66">
        <f>15+39</f>
        <v>54</v>
      </c>
      <c r="S301" s="66">
        <f>30+119</f>
        <v>149</v>
      </c>
      <c r="T301" s="66">
        <f>27+1</f>
        <v>28</v>
      </c>
      <c r="U301" s="66">
        <f>13</f>
        <v>13</v>
      </c>
      <c r="V301" s="66">
        <v>0</v>
      </c>
      <c r="W301" s="54">
        <v>0</v>
      </c>
      <c r="X301" s="55">
        <f>SUMIFS(Таблица3[Кол-во квартир],Таблица3[Адрес МКД],$D301)</f>
        <v>228</v>
      </c>
      <c r="Y301" s="56">
        <f t="shared" si="72"/>
        <v>18875.52</v>
      </c>
      <c r="Z301" s="253">
        <f>SUMIFS(Таблица3[Площадь жилая],Таблица3[Адрес МКД],$D301)</f>
        <v>11236.52</v>
      </c>
      <c r="AA301" s="261">
        <f>SUMIFS(Таблица3[Площадь нежилых помещений],Таблица3[Адрес МКД],$D301)</f>
        <v>1414.1</v>
      </c>
      <c r="AB301" s="252">
        <f>SUMIFS(Таблица1[1],Таблица1[2],$D301)</f>
        <v>1421.8999999999999</v>
      </c>
      <c r="AC301" s="57">
        <f t="shared" si="64"/>
        <v>1414.1000000000001</v>
      </c>
      <c r="AD301" s="57">
        <f t="shared" si="65"/>
        <v>7.8</v>
      </c>
      <c r="AE301" s="58">
        <f>SUMIFS(Таблица1[8],Таблица1[2],$D301)+SUMIFS(Таблица1[18],Таблица1[2],$D301)</f>
        <v>1168.4000000000001</v>
      </c>
      <c r="AF301" s="58">
        <f>SUMIFS(Таблица1[9],Таблица1[2],$D301)+SUMIFS(Таблица1[19],Таблица1[2],$D301)</f>
        <v>0</v>
      </c>
      <c r="AG301" s="59">
        <f t="shared" si="66"/>
        <v>6217.1</v>
      </c>
      <c r="AH301" s="59">
        <f t="shared" si="67"/>
        <v>6224.9</v>
      </c>
      <c r="AI301" s="60">
        <f>1234.5+762-AM301</f>
        <v>1996.5</v>
      </c>
      <c r="AJ301" s="60">
        <f>AI301-AK301-AL301</f>
        <v>1750.8</v>
      </c>
      <c r="AK301" s="60">
        <f>SUMIFS(Таблица1[10],Таблица1[2],$D301)</f>
        <v>245.70000000000002</v>
      </c>
      <c r="AL301" s="60">
        <f>SUMIFS(Таблица1[11],Таблица1[2],$D301)</f>
        <v>0</v>
      </c>
      <c r="AM301" s="251">
        <v>0</v>
      </c>
      <c r="AN301" s="249">
        <f t="shared" si="61"/>
        <v>0</v>
      </c>
      <c r="AO301" s="249">
        <f>SUMIFS(Таблица1[12],Таблица1[2],$D301)</f>
        <v>0</v>
      </c>
      <c r="AP301" s="249">
        <f>SUMIFS(Таблица1[13],Таблица1[2],$D301)</f>
        <v>0</v>
      </c>
      <c r="AQ301" s="61">
        <f>1178.4</f>
        <v>1178.4000000000001</v>
      </c>
      <c r="AR301" s="61">
        <f t="shared" si="62"/>
        <v>1170.6000000000001</v>
      </c>
      <c r="AS301" s="60">
        <f>SUMIFS(Таблица1[14],Таблица1[2],$D301)</f>
        <v>0</v>
      </c>
      <c r="AT301" s="60">
        <f>SUMIFS(Таблица1[15],Таблица1[2],$D301)</f>
        <v>7.8</v>
      </c>
      <c r="AU301" s="61">
        <v>3295.7</v>
      </c>
      <c r="AV301" s="61">
        <f t="shared" si="63"/>
        <v>3295.7</v>
      </c>
      <c r="AW301" s="60">
        <f>SUMIFS(Таблица1[16],Таблица1[2],$D301)</f>
        <v>0</v>
      </c>
      <c r="AX301" s="60">
        <f>SUMIFS(Таблица1[17],Таблица1[2],$D301)</f>
        <v>0</v>
      </c>
      <c r="AY301" s="263"/>
      <c r="AZ301" s="264"/>
      <c r="BA301" s="296">
        <v>0</v>
      </c>
      <c r="BB301" s="296">
        <f t="shared" si="71"/>
        <v>0</v>
      </c>
      <c r="BC301" s="296">
        <v>0</v>
      </c>
      <c r="BD301" s="296">
        <v>0</v>
      </c>
      <c r="BE301" s="285"/>
      <c r="BF301" s="259">
        <f>2990+4360</f>
        <v>7350</v>
      </c>
      <c r="BG301" s="260">
        <f>10127+7931+4316+5802+57+24813</f>
        <v>53046</v>
      </c>
      <c r="BH301" s="62" t="s">
        <v>936</v>
      </c>
      <c r="BI301" s="62" t="s">
        <v>935</v>
      </c>
      <c r="BJ301" s="62"/>
      <c r="BK301" s="267"/>
      <c r="BL301" s="267" t="s">
        <v>1649</v>
      </c>
      <c r="BM301" s="267"/>
      <c r="BN301" s="268"/>
      <c r="BO301" s="62">
        <v>17</v>
      </c>
      <c r="BP301" s="63">
        <v>28807</v>
      </c>
      <c r="BQ301" s="64" t="s">
        <v>1131</v>
      </c>
      <c r="BR301" s="372" t="s">
        <v>1649</v>
      </c>
      <c r="BS301" s="62"/>
      <c r="BT301" s="323"/>
      <c r="BU301" s="62"/>
      <c r="BV301" s="323"/>
      <c r="BW301" s="62"/>
      <c r="BX301" s="336"/>
      <c r="BY301" s="336"/>
    </row>
    <row r="302" spans="1:77" ht="13.15" hidden="1" customHeight="1" outlineLevel="1" x14ac:dyDescent="0.2">
      <c r="A302" s="50">
        <f t="shared" si="69"/>
        <v>297</v>
      </c>
      <c r="B302" s="51">
        <v>27</v>
      </c>
      <c r="C302" s="51">
        <v>47</v>
      </c>
      <c r="D302" s="18" t="s">
        <v>642</v>
      </c>
      <c r="E302" s="18">
        <v>14</v>
      </c>
      <c r="F302" s="18">
        <v>3</v>
      </c>
      <c r="G302" s="52">
        <v>3</v>
      </c>
      <c r="H302" s="237">
        <v>3</v>
      </c>
      <c r="I302" s="65">
        <v>1957</v>
      </c>
      <c r="J302" s="349">
        <v>5</v>
      </c>
      <c r="K302" s="356">
        <f t="shared" si="70"/>
        <v>7</v>
      </c>
      <c r="L302" s="356">
        <v>2</v>
      </c>
      <c r="M302" s="349">
        <v>7</v>
      </c>
      <c r="N302" s="255">
        <f t="shared" si="68"/>
        <v>3</v>
      </c>
      <c r="O302" s="310">
        <v>134</v>
      </c>
      <c r="P302" s="66">
        <v>7</v>
      </c>
      <c r="Q302" s="66"/>
      <c r="R302" s="66">
        <v>24</v>
      </c>
      <c r="S302" s="66">
        <v>53</v>
      </c>
      <c r="T302" s="66">
        <v>52</v>
      </c>
      <c r="U302" s="66">
        <v>5</v>
      </c>
      <c r="V302" s="66">
        <v>0</v>
      </c>
      <c r="W302" s="54">
        <v>0</v>
      </c>
      <c r="X302" s="55">
        <f>SUMIFS(Таблица3[Кол-во квартир],Таблица3[Адрес МКД],$D302)</f>
        <v>124</v>
      </c>
      <c r="Y302" s="56">
        <f t="shared" si="72"/>
        <v>14151.9</v>
      </c>
      <c r="Z302" s="253">
        <f>SUMIFS(Таблица3[Площадь жилая],Таблица3[Адрес МКД],$D302)</f>
        <v>8161.6</v>
      </c>
      <c r="AA302" s="261">
        <f>SUMIFS(Таблица3[Площадь нежилых помещений],Таблица3[Адрес МКД],$D302)</f>
        <v>2139.3000000000002</v>
      </c>
      <c r="AB302" s="252">
        <f>SUMIFS(Таблица1[1],Таблица1[2],$D302)</f>
        <v>2340.2999999999997</v>
      </c>
      <c r="AC302" s="57">
        <f>AE302+AK302+AO302+AS302+AW302</f>
        <v>2211.1</v>
      </c>
      <c r="AD302" s="57">
        <f>AF302+AL302+AP302+AT302+AX302</f>
        <v>129.19999999999999</v>
      </c>
      <c r="AE302" s="58">
        <f>SUMIFS(Таблица1[8],Таблица1[2],$D302)+SUMIFS(Таблица1[18],Таблица1[2],$D302)</f>
        <v>732.09999999999991</v>
      </c>
      <c r="AF302" s="58">
        <f>SUMIFS(Таблица1[9],Таблица1[2],$D302)+SUMIFS(Таблица1[19],Таблица1[2],$D302)</f>
        <v>0</v>
      </c>
      <c r="AG302" s="59">
        <f>AJ302+AR302+AV302+AZ302</f>
        <v>3650</v>
      </c>
      <c r="AH302" s="59">
        <f t="shared" si="67"/>
        <v>3779.2000000000003</v>
      </c>
      <c r="AI302" s="60">
        <f>1228.7+152.2-AM302+Нежилые!K1746+Нежилые!K1749+Нежилые!K1753+Нежилые!K1754+Нежилые!K1756</f>
        <v>2242.9</v>
      </c>
      <c r="AJ302" s="60">
        <f>AI302-AK302-AL302</f>
        <v>933.9000000000002</v>
      </c>
      <c r="AK302" s="60">
        <f>SUMIFS(Таблица1[10],Таблица1[2],$D302)</f>
        <v>1206.3999999999999</v>
      </c>
      <c r="AL302" s="60">
        <f>SUMIFS(Таблица1[11],Таблица1[2],$D302)</f>
        <v>102.6</v>
      </c>
      <c r="AM302" s="251">
        <f>272.6</f>
        <v>272.60000000000002</v>
      </c>
      <c r="AN302" s="249">
        <f t="shared" si="61"/>
        <v>0</v>
      </c>
      <c r="AO302" s="249">
        <f>SUMIFS(Таблица1[12],Таблица1[2],$D302)</f>
        <v>272.60000000000002</v>
      </c>
      <c r="AP302" s="249">
        <f>SUMIFS(Таблица1[13],Таблица1[2],$D302)</f>
        <v>0</v>
      </c>
      <c r="AQ302" s="61">
        <v>942.7</v>
      </c>
      <c r="AR302" s="61">
        <f t="shared" si="62"/>
        <v>916.1</v>
      </c>
      <c r="AS302" s="60">
        <f>SUMIFS(Таблица1[14],Таблица1[2],$D302)</f>
        <v>0</v>
      </c>
      <c r="AT302" s="60">
        <f>SUMIFS(Таблица1[15],Таблица1[2],$D302)</f>
        <v>26.6</v>
      </c>
      <c r="AU302" s="61">
        <v>1800</v>
      </c>
      <c r="AV302" s="61">
        <f t="shared" si="63"/>
        <v>1800</v>
      </c>
      <c r="AW302" s="60">
        <f>SUMIFS(Таблица1[16],Таблица1[2],$D302)</f>
        <v>0</v>
      </c>
      <c r="AX302" s="60">
        <f>SUMIFS(Таблица1[17],Таблица1[2],$D302)</f>
        <v>0</v>
      </c>
      <c r="AY302" s="263">
        <f>Нежилые!G1750</f>
        <v>71.8</v>
      </c>
      <c r="AZ302" s="264"/>
      <c r="BA302" s="296">
        <v>0</v>
      </c>
      <c r="BB302" s="296">
        <f t="shared" si="71"/>
        <v>0</v>
      </c>
      <c r="BC302" s="296">
        <v>0</v>
      </c>
      <c r="BD302" s="296">
        <v>0</v>
      </c>
      <c r="BE302" s="285"/>
      <c r="BF302" s="259">
        <f>6832+32+17+33+37</f>
        <v>6951</v>
      </c>
      <c r="BG302" s="260">
        <f>422+4734+40379+99</f>
        <v>45634</v>
      </c>
      <c r="BH302" s="62" t="s">
        <v>936</v>
      </c>
      <c r="BI302" s="62" t="s">
        <v>935</v>
      </c>
      <c r="BJ302" s="62"/>
      <c r="BK302" s="267"/>
      <c r="BL302" s="267"/>
      <c r="BM302" s="267" t="s">
        <v>1649</v>
      </c>
      <c r="BN302" s="268"/>
      <c r="BO302" s="62">
        <v>19</v>
      </c>
      <c r="BP302" s="63">
        <v>43600</v>
      </c>
      <c r="BQ302" s="64" t="s">
        <v>1131</v>
      </c>
      <c r="BR302" s="372" t="s">
        <v>1649</v>
      </c>
      <c r="BS302" s="62"/>
      <c r="BT302" s="323"/>
      <c r="BU302" s="62"/>
      <c r="BV302" s="323"/>
      <c r="BW302" s="62"/>
      <c r="BX302" s="336"/>
      <c r="BY302" s="336"/>
    </row>
    <row r="303" spans="1:77" ht="13.15" hidden="1" customHeight="1" outlineLevel="1" x14ac:dyDescent="0.2">
      <c r="A303" s="50">
        <f t="shared" si="69"/>
        <v>298</v>
      </c>
      <c r="B303" s="51">
        <v>28</v>
      </c>
      <c r="C303" s="51">
        <v>48</v>
      </c>
      <c r="D303" s="18" t="s">
        <v>656</v>
      </c>
      <c r="E303" s="18">
        <v>14</v>
      </c>
      <c r="F303" s="18">
        <v>3</v>
      </c>
      <c r="G303" s="52">
        <v>1</v>
      </c>
      <c r="H303" s="237">
        <v>1</v>
      </c>
      <c r="I303" s="65">
        <v>1959</v>
      </c>
      <c r="J303" s="349">
        <v>4</v>
      </c>
      <c r="K303" s="346">
        <f t="shared" si="70"/>
        <v>5</v>
      </c>
      <c r="L303" s="346">
        <v>1</v>
      </c>
      <c r="M303" s="349">
        <v>5</v>
      </c>
      <c r="N303" s="255">
        <f t="shared" si="68"/>
        <v>0</v>
      </c>
      <c r="O303" s="310">
        <v>80</v>
      </c>
      <c r="P303" s="66">
        <v>0</v>
      </c>
      <c r="Q303" s="66"/>
      <c r="R303" s="66">
        <v>60</v>
      </c>
      <c r="S303" s="66">
        <v>20</v>
      </c>
      <c r="T303" s="66">
        <v>0</v>
      </c>
      <c r="U303" s="66">
        <v>0</v>
      </c>
      <c r="V303" s="66">
        <v>0</v>
      </c>
      <c r="W303" s="54">
        <v>0</v>
      </c>
      <c r="X303" s="55">
        <f>SUMIFS(Таблица3[Кол-во квартир],Таблица3[Адрес МКД],$D303)</f>
        <v>80</v>
      </c>
      <c r="Y303" s="56">
        <f t="shared" si="72"/>
        <v>4367.7000000000007</v>
      </c>
      <c r="Z303" s="253">
        <f>SUMIFS(Таблица3[Площадь жилая],Таблица3[Адрес МКД],$D303)</f>
        <v>2798.8</v>
      </c>
      <c r="AA303" s="261">
        <f>SUMIFS(Таблица3[Площадь нежилых помещений],Таблица3[Адрес МКД],$D303)</f>
        <v>0</v>
      </c>
      <c r="AB303" s="252">
        <f>SUMIFS(Таблица1[1],Таблица1[2],$D303)</f>
        <v>0</v>
      </c>
      <c r="AC303" s="57">
        <f t="shared" si="64"/>
        <v>0</v>
      </c>
      <c r="AD303" s="57">
        <f t="shared" si="65"/>
        <v>0</v>
      </c>
      <c r="AE303" s="58">
        <f>SUMIFS(Таблица1[8],Таблица1[2],$D303)+SUMIFS(Таблица1[18],Таблица1[2],$D303)</f>
        <v>0</v>
      </c>
      <c r="AF303" s="58">
        <f>SUMIFS(Таблица1[9],Таблица1[2],$D303)+SUMIFS(Таблица1[19],Таблица1[2],$D303)</f>
        <v>0</v>
      </c>
      <c r="AG303" s="59">
        <f t="shared" si="66"/>
        <v>1568.9</v>
      </c>
      <c r="AH303" s="59">
        <f t="shared" si="67"/>
        <v>1568.9</v>
      </c>
      <c r="AI303" s="60">
        <f>429.1-AM303</f>
        <v>429.1</v>
      </c>
      <c r="AJ303" s="60">
        <f t="shared" si="60"/>
        <v>429.1</v>
      </c>
      <c r="AK303" s="60">
        <f>SUMIFS(Таблица1[10],Таблица1[2],$D303)</f>
        <v>0</v>
      </c>
      <c r="AL303" s="60">
        <f>SUMIFS(Таблица1[11],Таблица1[2],$D303)</f>
        <v>0</v>
      </c>
      <c r="AM303" s="251">
        <v>0</v>
      </c>
      <c r="AN303" s="249">
        <f t="shared" si="61"/>
        <v>0</v>
      </c>
      <c r="AO303" s="249">
        <f>SUMIFS(Таблица1[12],Таблица1[2],$D303)</f>
        <v>0</v>
      </c>
      <c r="AP303" s="249">
        <f>SUMIFS(Таблица1[13],Таблица1[2],$D303)</f>
        <v>0</v>
      </c>
      <c r="AQ303" s="61">
        <v>329.1</v>
      </c>
      <c r="AR303" s="61">
        <f t="shared" si="62"/>
        <v>329.1</v>
      </c>
      <c r="AS303" s="60">
        <f>SUMIFS(Таблица1[14],Таблица1[2],$D303)</f>
        <v>0</v>
      </c>
      <c r="AT303" s="60">
        <f>SUMIFS(Таблица1[15],Таблица1[2],$D303)</f>
        <v>0</v>
      </c>
      <c r="AU303" s="61">
        <v>810.7</v>
      </c>
      <c r="AV303" s="61">
        <f t="shared" si="63"/>
        <v>810.7</v>
      </c>
      <c r="AW303" s="60">
        <f>SUMIFS(Таблица1[16],Таблица1[2],$D303)</f>
        <v>0</v>
      </c>
      <c r="AX303" s="60">
        <f>SUMIFS(Таблица1[17],Таблица1[2],$D303)</f>
        <v>0</v>
      </c>
      <c r="AY303" s="263"/>
      <c r="AZ303" s="264"/>
      <c r="BA303" s="296">
        <v>0</v>
      </c>
      <c r="BB303" s="296">
        <f t="shared" si="71"/>
        <v>0</v>
      </c>
      <c r="BC303" s="296">
        <v>0</v>
      </c>
      <c r="BD303" s="296">
        <v>0</v>
      </c>
      <c r="BE303" s="285"/>
      <c r="BF303" s="259">
        <v>1791</v>
      </c>
      <c r="BG303" s="260">
        <v>12388</v>
      </c>
      <c r="BH303" s="62" t="s">
        <v>940</v>
      </c>
      <c r="BI303" s="62" t="s">
        <v>935</v>
      </c>
      <c r="BJ303" s="62"/>
      <c r="BK303" s="267"/>
      <c r="BL303" s="267" t="s">
        <v>1649</v>
      </c>
      <c r="BM303" s="267"/>
      <c r="BN303" s="268"/>
      <c r="BO303" s="62">
        <v>17</v>
      </c>
      <c r="BP303" s="63">
        <v>28807</v>
      </c>
      <c r="BQ303" s="64" t="s">
        <v>1131</v>
      </c>
      <c r="BR303" s="372" t="s">
        <v>2747</v>
      </c>
      <c r="BS303" s="62"/>
      <c r="BT303" s="323"/>
      <c r="BU303" s="62"/>
      <c r="BV303" s="323"/>
      <c r="BW303" s="62"/>
      <c r="BX303" s="336"/>
      <c r="BY303" s="336"/>
    </row>
    <row r="304" spans="1:77" ht="13.15" hidden="1" customHeight="1" outlineLevel="1" x14ac:dyDescent="0.2">
      <c r="A304" s="50">
        <f t="shared" si="69"/>
        <v>299</v>
      </c>
      <c r="B304" s="51">
        <v>29</v>
      </c>
      <c r="C304" s="51">
        <v>49</v>
      </c>
      <c r="D304" s="18" t="s">
        <v>643</v>
      </c>
      <c r="E304" s="18">
        <v>14</v>
      </c>
      <c r="F304" s="18">
        <v>3</v>
      </c>
      <c r="G304" s="52">
        <v>3</v>
      </c>
      <c r="H304" s="237">
        <v>3</v>
      </c>
      <c r="I304" s="65">
        <v>1957</v>
      </c>
      <c r="J304" s="349">
        <v>5</v>
      </c>
      <c r="K304" s="346">
        <f t="shared" si="70"/>
        <v>6</v>
      </c>
      <c r="L304" s="346">
        <v>1</v>
      </c>
      <c r="M304" s="349">
        <v>8</v>
      </c>
      <c r="N304" s="255">
        <f t="shared" si="68"/>
        <v>1</v>
      </c>
      <c r="O304" s="310">
        <v>145</v>
      </c>
      <c r="P304" s="66">
        <v>18</v>
      </c>
      <c r="Q304" s="66"/>
      <c r="R304" s="66">
        <v>14</v>
      </c>
      <c r="S304" s="66">
        <v>91</v>
      </c>
      <c r="T304" s="66">
        <v>40</v>
      </c>
      <c r="U304" s="66">
        <v>0</v>
      </c>
      <c r="V304" s="66">
        <v>0</v>
      </c>
      <c r="W304" s="54">
        <v>0</v>
      </c>
      <c r="X304" s="55">
        <f>SUMIFS(Таблица3[Кол-во квартир],Таблица3[Адрес МКД],$D304)</f>
        <v>126</v>
      </c>
      <c r="Y304" s="56">
        <f t="shared" si="72"/>
        <v>13917.5</v>
      </c>
      <c r="Z304" s="253">
        <f>SUMIFS(Таблица3[Площадь жилая],Таблица3[Адрес МКД],$D304)</f>
        <v>7858</v>
      </c>
      <c r="AA304" s="261">
        <f>SUMIFS(Таблица3[Площадь нежилых помещений],Таблица3[Адрес МКД],$D304)</f>
        <v>1543.6</v>
      </c>
      <c r="AB304" s="252">
        <f>SUMIFS(Таблица1[1],Таблица1[2],$D304)</f>
        <v>1613.2</v>
      </c>
      <c r="AC304" s="57">
        <f t="shared" si="64"/>
        <v>1543.6000000000001</v>
      </c>
      <c r="AD304" s="57">
        <f t="shared" si="65"/>
        <v>69.600000000000009</v>
      </c>
      <c r="AE304" s="58">
        <f>SUMIFS(Таблица1[8],Таблица1[2],$D304)+SUMIFS(Таблица1[18],Таблица1[2],$D304)</f>
        <v>1066.0000000000002</v>
      </c>
      <c r="AF304" s="58">
        <f>SUMIFS(Таблица1[9],Таблица1[2],$D304)+SUMIFS(Таблица1[19],Таблица1[2],$D304)</f>
        <v>0</v>
      </c>
      <c r="AG304" s="59">
        <f t="shared" si="66"/>
        <v>4446.3</v>
      </c>
      <c r="AH304" s="59">
        <f t="shared" si="67"/>
        <v>4515.9000000000005</v>
      </c>
      <c r="AI304" s="60">
        <f>1535.7-AM304</f>
        <v>1158.7</v>
      </c>
      <c r="AJ304" s="60">
        <f t="shared" si="60"/>
        <v>1000.9000000000001</v>
      </c>
      <c r="AK304" s="60">
        <f>SUMIFS(Таблица1[10],Таблица1[2],$D304)</f>
        <v>100.6</v>
      </c>
      <c r="AL304" s="60">
        <f>SUMIFS(Таблица1[11],Таблица1[2],$D304)</f>
        <v>57.2</v>
      </c>
      <c r="AM304" s="251">
        <f>242.3+134.7</f>
        <v>377</v>
      </c>
      <c r="AN304" s="249">
        <f t="shared" si="61"/>
        <v>0</v>
      </c>
      <c r="AO304" s="249">
        <f>SUMIFS(Таблица1[12],Таблица1[2],$D304)</f>
        <v>377</v>
      </c>
      <c r="AP304" s="249">
        <f>SUMIFS(Таблица1[13],Таблица1[2],$D304)</f>
        <v>0</v>
      </c>
      <c r="AQ304" s="61">
        <f>1020.9</f>
        <v>1020.9</v>
      </c>
      <c r="AR304" s="61">
        <f t="shared" si="62"/>
        <v>1008.5</v>
      </c>
      <c r="AS304" s="60">
        <f>SUMIFS(Таблица1[14],Таблица1[2],$D304)</f>
        <v>0</v>
      </c>
      <c r="AT304" s="60">
        <f>SUMIFS(Таблица1[15],Таблица1[2],$D304)</f>
        <v>12.4</v>
      </c>
      <c r="AU304" s="61">
        <v>2436.9</v>
      </c>
      <c r="AV304" s="61">
        <f t="shared" si="63"/>
        <v>2436.9</v>
      </c>
      <c r="AW304" s="60">
        <f>SUMIFS(Таблица1[16],Таблица1[2],$D304)</f>
        <v>0</v>
      </c>
      <c r="AX304" s="60">
        <f>SUMIFS(Таблица1[17],Таблица1[2],$D304)</f>
        <v>0</v>
      </c>
      <c r="AY304" s="263"/>
      <c r="AZ304" s="264"/>
      <c r="BA304" s="296">
        <v>0</v>
      </c>
      <c r="BB304" s="296">
        <f t="shared" si="71"/>
        <v>0</v>
      </c>
      <c r="BC304" s="296">
        <v>0</v>
      </c>
      <c r="BD304" s="296">
        <v>0</v>
      </c>
      <c r="BE304" s="285"/>
      <c r="BF304" s="259">
        <f>7166+68</f>
        <v>7234</v>
      </c>
      <c r="BG304" s="260">
        <v>39913</v>
      </c>
      <c r="BH304" s="62" t="s">
        <v>939</v>
      </c>
      <c r="BI304" s="62" t="s">
        <v>935</v>
      </c>
      <c r="BJ304" s="62"/>
      <c r="BK304" s="267"/>
      <c r="BL304" s="267"/>
      <c r="BM304" s="267" t="s">
        <v>1649</v>
      </c>
      <c r="BN304" s="268"/>
      <c r="BO304" s="62">
        <v>15</v>
      </c>
      <c r="BP304" s="63">
        <v>28781</v>
      </c>
      <c r="BQ304" s="64" t="s">
        <v>1131</v>
      </c>
      <c r="BR304" s="372" t="s">
        <v>1649</v>
      </c>
      <c r="BS304" s="62"/>
      <c r="BT304" s="323"/>
      <c r="BU304" s="62"/>
      <c r="BV304" s="323"/>
      <c r="BW304" s="62"/>
      <c r="BX304" s="336"/>
      <c r="BY304" s="336"/>
    </row>
    <row r="305" spans="1:77" ht="13.15" hidden="1" customHeight="1" outlineLevel="1" x14ac:dyDescent="0.2">
      <c r="A305" s="50">
        <f t="shared" si="69"/>
        <v>300</v>
      </c>
      <c r="B305" s="51">
        <v>30</v>
      </c>
      <c r="C305" s="51">
        <v>50</v>
      </c>
      <c r="D305" s="18" t="s">
        <v>644</v>
      </c>
      <c r="E305" s="18">
        <v>14</v>
      </c>
      <c r="F305" s="18">
        <v>3</v>
      </c>
      <c r="G305" s="52">
        <v>1</v>
      </c>
      <c r="H305" s="237">
        <v>1</v>
      </c>
      <c r="I305" s="65">
        <v>1957</v>
      </c>
      <c r="J305" s="349">
        <v>4</v>
      </c>
      <c r="K305" s="346">
        <f t="shared" si="70"/>
        <v>5</v>
      </c>
      <c r="L305" s="346">
        <v>1</v>
      </c>
      <c r="M305" s="349">
        <v>4</v>
      </c>
      <c r="N305" s="255">
        <f t="shared" si="68"/>
        <v>1</v>
      </c>
      <c r="O305" s="310">
        <v>56</v>
      </c>
      <c r="P305" s="327">
        <v>3</v>
      </c>
      <c r="Q305" s="66"/>
      <c r="R305" s="66">
        <v>1</v>
      </c>
      <c r="S305" s="66">
        <v>37</v>
      </c>
      <c r="T305" s="66">
        <v>18</v>
      </c>
      <c r="U305" s="66">
        <v>0</v>
      </c>
      <c r="V305" s="66">
        <v>0</v>
      </c>
      <c r="W305" s="54">
        <v>0</v>
      </c>
      <c r="X305" s="55">
        <f>SUMIFS(Таблица3[Кол-во квартир],Таблица3[Адрес МКД],$D305)</f>
        <v>52</v>
      </c>
      <c r="Y305" s="56">
        <f t="shared" si="72"/>
        <v>6313.9500000000007</v>
      </c>
      <c r="Z305" s="253">
        <f>SUMIFS(Таблица3[Площадь жилая],Таблица3[Адрес МКД],$D305)</f>
        <v>3356.85</v>
      </c>
      <c r="AA305" s="261">
        <f>SUMIFS(Таблица3[Площадь нежилых помещений],Таблица3[Адрес МКД],$D305)</f>
        <v>880.2</v>
      </c>
      <c r="AB305" s="252">
        <f>SUMIFS(Таблица1[1],Таблица1[2],$D305)</f>
        <v>880.19999999999993</v>
      </c>
      <c r="AC305" s="57">
        <f t="shared" si="64"/>
        <v>880.19999999999993</v>
      </c>
      <c r="AD305" s="57">
        <f t="shared" si="65"/>
        <v>0</v>
      </c>
      <c r="AE305" s="58">
        <f>SUMIFS(Таблица1[8],Таблица1[2],$D305)+SUMIFS(Таблица1[18],Таблица1[2],$D305)</f>
        <v>377.29999999999995</v>
      </c>
      <c r="AF305" s="58">
        <f>SUMIFS(Таблица1[9],Таблица1[2],$D305)+SUMIFS(Таблица1[19],Таблица1[2],$D305)</f>
        <v>0</v>
      </c>
      <c r="AG305" s="59">
        <f>AJ305+AR305+AV305+AZ305+BB305</f>
        <v>2076.9</v>
      </c>
      <c r="AH305" s="59">
        <f>AJ305+AL305+AR305+AT305+AV305+AX305+BB305+BD305</f>
        <v>2076.9</v>
      </c>
      <c r="AI305" s="60">
        <f>693.4-AM305</f>
        <v>532.5</v>
      </c>
      <c r="AJ305" s="60">
        <f t="shared" si="60"/>
        <v>190.5</v>
      </c>
      <c r="AK305" s="60">
        <f>SUMIFS(Таблица1[10],Таблица1[2],$D305)</f>
        <v>342</v>
      </c>
      <c r="AL305" s="60">
        <f>SUMIFS(Таблица1[11],Таблица1[2],$D305)</f>
        <v>0</v>
      </c>
      <c r="AM305" s="251">
        <v>160.9</v>
      </c>
      <c r="AN305" s="249">
        <f t="shared" si="61"/>
        <v>0</v>
      </c>
      <c r="AO305" s="249">
        <f>SUMIFS(Таблица1[12],Таблица1[2],$D305)</f>
        <v>160.9</v>
      </c>
      <c r="AP305" s="249">
        <f>SUMIFS(Таблица1[13],Таблица1[2],$D305)</f>
        <v>0</v>
      </c>
      <c r="AQ305" s="61">
        <v>471.3</v>
      </c>
      <c r="AR305" s="61">
        <f t="shared" si="62"/>
        <v>471.3</v>
      </c>
      <c r="AS305" s="60">
        <f>SUMIFS(Таблица1[14],Таблица1[2],$D305)</f>
        <v>0</v>
      </c>
      <c r="AT305" s="60">
        <f>SUMIFS(Таблица1[15],Таблица1[2],$D305)</f>
        <v>0</v>
      </c>
      <c r="AU305" s="61">
        <v>1396</v>
      </c>
      <c r="AV305" s="61">
        <f t="shared" si="63"/>
        <v>1396</v>
      </c>
      <c r="AW305" s="60">
        <f>SUMIFS(Таблица1[16],Таблица1[2],$D305)</f>
        <v>0</v>
      </c>
      <c r="AX305" s="60">
        <f>SUMIFS(Таблица1[17],Таблица1[2],$D305)</f>
        <v>0</v>
      </c>
      <c r="AY305" s="263"/>
      <c r="AZ305" s="264"/>
      <c r="BA305" s="296">
        <v>29.1</v>
      </c>
      <c r="BB305" s="296">
        <f t="shared" si="71"/>
        <v>19.100000000000001</v>
      </c>
      <c r="BC305" s="296">
        <f>Нежилые!I1776</f>
        <v>10.000000000000002</v>
      </c>
      <c r="BD305" s="296">
        <v>0</v>
      </c>
      <c r="BE305" s="285"/>
      <c r="BF305" s="259">
        <f>3791+33</f>
        <v>3824</v>
      </c>
      <c r="BG305" s="260">
        <f>16622+82</f>
        <v>16704</v>
      </c>
      <c r="BH305" s="62" t="s">
        <v>939</v>
      </c>
      <c r="BI305" s="62" t="s">
        <v>935</v>
      </c>
      <c r="BJ305" s="62"/>
      <c r="BK305" s="267"/>
      <c r="BL305" s="267"/>
      <c r="BM305" s="267" t="s">
        <v>1649</v>
      </c>
      <c r="BN305" s="268"/>
      <c r="BO305" s="62">
        <v>15</v>
      </c>
      <c r="BP305" s="63">
        <v>28915</v>
      </c>
      <c r="BQ305" s="64" t="s">
        <v>1131</v>
      </c>
      <c r="BR305" s="372" t="s">
        <v>2747</v>
      </c>
      <c r="BS305" s="62"/>
      <c r="BT305" s="323"/>
      <c r="BU305" s="62"/>
      <c r="BV305" s="323"/>
      <c r="BW305" s="62"/>
      <c r="BX305" s="336"/>
      <c r="BY305" s="336"/>
    </row>
    <row r="306" spans="1:77" ht="13.15" hidden="1" customHeight="1" outlineLevel="1" x14ac:dyDescent="0.2">
      <c r="A306" s="50">
        <f t="shared" si="69"/>
        <v>301</v>
      </c>
      <c r="B306" s="51">
        <v>31</v>
      </c>
      <c r="C306" s="51">
        <v>51</v>
      </c>
      <c r="D306" s="18" t="s">
        <v>645</v>
      </c>
      <c r="E306" s="18">
        <v>14</v>
      </c>
      <c r="F306" s="18">
        <v>3</v>
      </c>
      <c r="G306" s="52">
        <v>1</v>
      </c>
      <c r="H306" s="237">
        <v>1</v>
      </c>
      <c r="I306" s="65">
        <v>1969</v>
      </c>
      <c r="J306" s="349">
        <v>5</v>
      </c>
      <c r="K306" s="346">
        <f t="shared" si="70"/>
        <v>6</v>
      </c>
      <c r="L306" s="346">
        <v>1</v>
      </c>
      <c r="M306" s="349">
        <v>4</v>
      </c>
      <c r="N306" s="255">
        <f t="shared" si="68"/>
        <v>0</v>
      </c>
      <c r="O306" s="310">
        <v>60</v>
      </c>
      <c r="P306" s="66">
        <v>0</v>
      </c>
      <c r="Q306" s="66"/>
      <c r="R306" s="66">
        <v>10</v>
      </c>
      <c r="S306" s="66">
        <v>40</v>
      </c>
      <c r="T306" s="66">
        <v>10</v>
      </c>
      <c r="U306" s="66">
        <v>0</v>
      </c>
      <c r="V306" s="66">
        <v>0</v>
      </c>
      <c r="W306" s="54">
        <v>0</v>
      </c>
      <c r="X306" s="55">
        <f>SUMIFS(Таблица3[Кол-во квартир],Таблица3[Адрес МКД],$D306)</f>
        <v>60</v>
      </c>
      <c r="Y306" s="56">
        <f t="shared" si="72"/>
        <v>4130.1000000000004</v>
      </c>
      <c r="Z306" s="253">
        <f>SUMIFS(Таблица3[Площадь жилая],Таблица3[Адрес МКД],$D306)</f>
        <v>2715</v>
      </c>
      <c r="AA306" s="261">
        <f>SUMIFS(Таблица3[Площадь нежилых помещений],Таблица3[Адрес МКД],$D306)</f>
        <v>250.1</v>
      </c>
      <c r="AB306" s="252">
        <f>SUMIFS(Таблица1[1],Таблица1[2],$D306)</f>
        <v>250.1</v>
      </c>
      <c r="AC306" s="57">
        <f t="shared" si="64"/>
        <v>250.1</v>
      </c>
      <c r="AD306" s="57">
        <f t="shared" si="65"/>
        <v>0</v>
      </c>
      <c r="AE306" s="58">
        <f>SUMIFS(Таблица1[8],Таблица1[2],$D306)+SUMIFS(Таблица1[18],Таблица1[2],$D306)</f>
        <v>0</v>
      </c>
      <c r="AF306" s="58">
        <f>SUMIFS(Таблица1[9],Таблица1[2],$D306)+SUMIFS(Таблица1[19],Таблица1[2],$D306)</f>
        <v>0</v>
      </c>
      <c r="AG306" s="59">
        <f t="shared" si="66"/>
        <v>1165</v>
      </c>
      <c r="AH306" s="59">
        <f t="shared" si="67"/>
        <v>1165</v>
      </c>
      <c r="AI306" s="60">
        <f>516.7-AM306</f>
        <v>516.70000000000005</v>
      </c>
      <c r="AJ306" s="60">
        <f t="shared" si="60"/>
        <v>266.60000000000002</v>
      </c>
      <c r="AK306" s="60">
        <f>SUMIFS(Таблица1[10],Таблица1[2],$D306)</f>
        <v>250.1</v>
      </c>
      <c r="AL306" s="60">
        <f>SUMIFS(Таблица1[11],Таблица1[2],$D306)</f>
        <v>0</v>
      </c>
      <c r="AM306" s="251">
        <v>0</v>
      </c>
      <c r="AN306" s="249">
        <f t="shared" si="61"/>
        <v>0</v>
      </c>
      <c r="AO306" s="249">
        <f>SUMIFS(Таблица1[12],Таблица1[2],$D306)</f>
        <v>0</v>
      </c>
      <c r="AP306" s="249">
        <f>SUMIFS(Таблица1[13],Таблица1[2],$D306)</f>
        <v>0</v>
      </c>
      <c r="AQ306" s="61">
        <v>291.39999999999998</v>
      </c>
      <c r="AR306" s="61">
        <f t="shared" si="62"/>
        <v>291.39999999999998</v>
      </c>
      <c r="AS306" s="60">
        <f>SUMIFS(Таблица1[14],Таблица1[2],$D306)</f>
        <v>0</v>
      </c>
      <c r="AT306" s="60">
        <f>SUMIFS(Таблица1[15],Таблица1[2],$D306)</f>
        <v>0</v>
      </c>
      <c r="AU306" s="61">
        <v>607</v>
      </c>
      <c r="AV306" s="61">
        <f t="shared" si="63"/>
        <v>607</v>
      </c>
      <c r="AW306" s="60">
        <f>SUMIFS(Таблица1[16],Таблица1[2],$D306)</f>
        <v>0</v>
      </c>
      <c r="AX306" s="60">
        <f>SUMIFS(Таблица1[17],Таблица1[2],$D306)</f>
        <v>0</v>
      </c>
      <c r="AY306" s="263"/>
      <c r="AZ306" s="264"/>
      <c r="BA306" s="296">
        <v>0</v>
      </c>
      <c r="BB306" s="296">
        <f t="shared" si="71"/>
        <v>0</v>
      </c>
      <c r="BC306" s="296">
        <v>0</v>
      </c>
      <c r="BD306" s="296">
        <v>0</v>
      </c>
      <c r="BE306" s="285"/>
      <c r="BF306" s="259">
        <v>1729</v>
      </c>
      <c r="BG306" s="260">
        <v>9601</v>
      </c>
      <c r="BH306" s="62" t="s">
        <v>940</v>
      </c>
      <c r="BI306" s="62" t="s">
        <v>935</v>
      </c>
      <c r="BJ306" s="62"/>
      <c r="BK306" s="267"/>
      <c r="BL306" s="267" t="s">
        <v>1649</v>
      </c>
      <c r="BM306" s="267"/>
      <c r="BN306" s="268"/>
      <c r="BO306" s="62">
        <v>14</v>
      </c>
      <c r="BP306" s="63">
        <v>30015</v>
      </c>
      <c r="BQ306" s="64" t="s">
        <v>1131</v>
      </c>
      <c r="BR306" s="372" t="s">
        <v>2747</v>
      </c>
      <c r="BS306" s="62"/>
      <c r="BT306" s="323"/>
      <c r="BU306" s="62"/>
      <c r="BV306" s="323"/>
      <c r="BW306" s="62"/>
      <c r="BX306" s="336"/>
      <c r="BY306" s="336"/>
    </row>
    <row r="307" spans="1:77" ht="13.15" hidden="1" customHeight="1" outlineLevel="1" x14ac:dyDescent="0.2">
      <c r="A307" s="50">
        <f t="shared" si="69"/>
        <v>302</v>
      </c>
      <c r="B307" s="51">
        <v>45</v>
      </c>
      <c r="C307" s="51">
        <v>72</v>
      </c>
      <c r="D307" s="18" t="s">
        <v>539</v>
      </c>
      <c r="E307" s="18">
        <v>11</v>
      </c>
      <c r="F307" s="18">
        <v>2</v>
      </c>
      <c r="G307" s="52">
        <v>1</v>
      </c>
      <c r="H307" s="237">
        <v>1</v>
      </c>
      <c r="I307" s="65">
        <v>1956</v>
      </c>
      <c r="J307" s="351">
        <v>5.6</v>
      </c>
      <c r="K307" s="345">
        <v>6.7</v>
      </c>
      <c r="L307" s="346">
        <v>1</v>
      </c>
      <c r="M307" s="349">
        <v>5</v>
      </c>
      <c r="N307" s="255">
        <f t="shared" si="68"/>
        <v>0</v>
      </c>
      <c r="O307" s="310">
        <v>87</v>
      </c>
      <c r="P307" s="66">
        <v>7</v>
      </c>
      <c r="Q307" s="66"/>
      <c r="R307" s="66">
        <v>0</v>
      </c>
      <c r="S307" s="66">
        <v>54</v>
      </c>
      <c r="T307" s="66">
        <v>25</v>
      </c>
      <c r="U307" s="66">
        <v>8</v>
      </c>
      <c r="V307" s="66">
        <v>0</v>
      </c>
      <c r="W307" s="54">
        <v>0</v>
      </c>
      <c r="X307" s="55">
        <f>SUMIFS(Таблица3[Кол-во квартир],Таблица3[Адрес МКД],$D307)</f>
        <v>80</v>
      </c>
      <c r="Y307" s="56">
        <f t="shared" si="72"/>
        <v>9478.7999999999993</v>
      </c>
      <c r="Z307" s="253">
        <f>SUMIFS(Таблица3[Площадь жилая],Таблица3[Адрес МКД],$D307)</f>
        <v>5319.0999999999995</v>
      </c>
      <c r="AA307" s="261">
        <f>SUMIFS(Таблица3[Площадь нежилых помещений],Таблица3[Адрес МКД],$D307)</f>
        <v>1375.2</v>
      </c>
      <c r="AB307" s="252">
        <f>SUMIFS(Таблица1[1],Таблица1[2],$D307)</f>
        <v>1219.5999999999999</v>
      </c>
      <c r="AC307" s="57">
        <f t="shared" si="64"/>
        <v>1194.8</v>
      </c>
      <c r="AD307" s="57">
        <f t="shared" si="65"/>
        <v>24.799999999999997</v>
      </c>
      <c r="AE307" s="58">
        <f>SUMIFS(Таблица1[8],Таблица1[2],$D307)+SUMIFS(Таблица1[18],Таблица1[2],$D307)</f>
        <v>792.4</v>
      </c>
      <c r="AF307" s="58">
        <f>SUMIFS(Таблица1[9],Таблица1[2],$D307)+SUMIFS(Таблица1[19],Таблица1[2],$D307)</f>
        <v>0</v>
      </c>
      <c r="AG307" s="59">
        <f t="shared" si="66"/>
        <v>2940.1</v>
      </c>
      <c r="AH307" s="59">
        <f t="shared" si="67"/>
        <v>2964.8999999999996</v>
      </c>
      <c r="AI307" s="60">
        <f>993.5-AM307</f>
        <v>635.29999999999995</v>
      </c>
      <c r="AJ307" s="60">
        <f t="shared" si="60"/>
        <v>591.09999999999991</v>
      </c>
      <c r="AK307" s="60">
        <f>SUMIFS(Таблица1[10],Таблица1[2],$D307)</f>
        <v>44.2</v>
      </c>
      <c r="AL307" s="60">
        <f>SUMIFS(Таблица1[11],Таблица1[2],$D307)</f>
        <v>0</v>
      </c>
      <c r="AM307" s="251">
        <f>582.8-74.7-3.4-3.1-2.7-140.7</f>
        <v>358.2</v>
      </c>
      <c r="AN307" s="249">
        <f t="shared" si="61"/>
        <v>0</v>
      </c>
      <c r="AO307" s="249">
        <f>SUMIFS(Таблица1[12],Таблица1[2],$D307)</f>
        <v>358.2</v>
      </c>
      <c r="AP307" s="249">
        <f>SUMIFS(Таблица1[13],Таблица1[2],$D307)</f>
        <v>0</v>
      </c>
      <c r="AQ307" s="61">
        <f>724+12.1+12.7</f>
        <v>748.80000000000007</v>
      </c>
      <c r="AR307" s="61">
        <f t="shared" si="62"/>
        <v>724.00000000000011</v>
      </c>
      <c r="AS307" s="60">
        <f>SUMIFS(Таблица1[14],Таблица1[2],$D307)</f>
        <v>0</v>
      </c>
      <c r="AT307" s="60">
        <f>SUMIFS(Таблица1[15],Таблица1[2],$D307)</f>
        <v>24.799999999999997</v>
      </c>
      <c r="AU307" s="61">
        <v>1625</v>
      </c>
      <c r="AV307" s="61">
        <f t="shared" si="63"/>
        <v>1625</v>
      </c>
      <c r="AW307" s="60">
        <f>SUMIFS(Таблица1[16],Таблица1[2],$D307)</f>
        <v>0</v>
      </c>
      <c r="AX307" s="60">
        <f>SUMIFS(Таблица1[17],Таблица1[2],$D307)</f>
        <v>0</v>
      </c>
      <c r="AY307" s="263">
        <f>Нежилые!G1600</f>
        <v>44.2</v>
      </c>
      <c r="AZ307" s="264"/>
      <c r="BA307" s="296">
        <v>0</v>
      </c>
      <c r="BB307" s="296">
        <f t="shared" si="71"/>
        <v>0</v>
      </c>
      <c r="BC307" s="296">
        <v>0</v>
      </c>
      <c r="BD307" s="296">
        <v>0</v>
      </c>
      <c r="BE307" s="285"/>
      <c r="BF307" s="259">
        <v>4528</v>
      </c>
      <c r="BG307" s="260">
        <f>6043+21295+656</f>
        <v>27994</v>
      </c>
      <c r="BH307" s="62" t="s">
        <v>936</v>
      </c>
      <c r="BI307" s="62" t="s">
        <v>935</v>
      </c>
      <c r="BJ307" s="62" t="s">
        <v>1017</v>
      </c>
      <c r="BK307" s="267"/>
      <c r="BL307" s="267"/>
      <c r="BM307" s="267" t="s">
        <v>1649</v>
      </c>
      <c r="BN307" s="268"/>
      <c r="BO307" s="62">
        <v>42</v>
      </c>
      <c r="BP307" s="63">
        <v>44084</v>
      </c>
      <c r="BQ307" s="64" t="s">
        <v>1131</v>
      </c>
      <c r="BR307" s="372" t="s">
        <v>2747</v>
      </c>
      <c r="BS307" s="62"/>
      <c r="BT307" s="323"/>
      <c r="BU307" s="62"/>
      <c r="BV307" s="323"/>
      <c r="BW307" s="62"/>
      <c r="BX307" s="336">
        <v>42</v>
      </c>
      <c r="BY307" s="336" t="s">
        <v>1649</v>
      </c>
    </row>
    <row r="308" spans="1:77" ht="13.15" hidden="1" customHeight="1" outlineLevel="1" x14ac:dyDescent="0.2">
      <c r="A308" s="50">
        <f t="shared" si="69"/>
        <v>303</v>
      </c>
      <c r="B308" s="51">
        <v>46</v>
      </c>
      <c r="C308" s="51">
        <v>73</v>
      </c>
      <c r="D308" s="18" t="s">
        <v>540</v>
      </c>
      <c r="E308" s="18">
        <v>11</v>
      </c>
      <c r="F308" s="18">
        <v>2</v>
      </c>
      <c r="G308" s="52">
        <v>1</v>
      </c>
      <c r="H308" s="237">
        <v>1</v>
      </c>
      <c r="I308" s="65">
        <v>1953</v>
      </c>
      <c r="J308" s="349">
        <v>4</v>
      </c>
      <c r="K308" s="346">
        <f t="shared" si="70"/>
        <v>5</v>
      </c>
      <c r="L308" s="346">
        <v>1</v>
      </c>
      <c r="M308" s="349">
        <v>3</v>
      </c>
      <c r="N308" s="255">
        <f t="shared" si="68"/>
        <v>1</v>
      </c>
      <c r="O308" s="310">
        <v>44</v>
      </c>
      <c r="P308" s="66">
        <v>0</v>
      </c>
      <c r="Q308" s="66"/>
      <c r="R308" s="66">
        <v>1</v>
      </c>
      <c r="S308" s="66">
        <v>31</v>
      </c>
      <c r="T308" s="66">
        <v>8</v>
      </c>
      <c r="U308" s="66">
        <v>4</v>
      </c>
      <c r="V308" s="66">
        <v>0</v>
      </c>
      <c r="W308" s="54">
        <v>0</v>
      </c>
      <c r="X308" s="55">
        <f>SUMIFS(Таблица3[Кол-во квартир],Таблица3[Адрес МКД],$D308)</f>
        <v>43</v>
      </c>
      <c r="Y308" s="56">
        <f t="shared" si="72"/>
        <v>4275.1400000000003</v>
      </c>
      <c r="Z308" s="253">
        <f>SUMIFS(Таблица3[Площадь жилая],Таблица3[Адрес МКД],$D308)</f>
        <v>2679.3</v>
      </c>
      <c r="AA308" s="261">
        <f>SUMIFS(Таблица3[Площадь нежилых помещений],Таблица3[Адрес МКД],$D308)</f>
        <v>153.6</v>
      </c>
      <c r="AB308" s="252">
        <f>SUMIFS(Таблица1[1],Таблица1[2],$D308)</f>
        <v>153.6</v>
      </c>
      <c r="AC308" s="57">
        <f t="shared" si="64"/>
        <v>153.6</v>
      </c>
      <c r="AD308" s="57">
        <f t="shared" si="65"/>
        <v>0</v>
      </c>
      <c r="AE308" s="58">
        <f>SUMIFS(Таблица1[8],Таблица1[2],$D308)+SUMIFS(Таблица1[18],Таблица1[2],$D308)</f>
        <v>28.8</v>
      </c>
      <c r="AF308" s="58">
        <f>SUMIFS(Таблица1[9],Таблица1[2],$D308)+SUMIFS(Таблица1[19],Таблица1[2],$D308)</f>
        <v>0</v>
      </c>
      <c r="AG308" s="59">
        <f>AJ308+AR308+AV308+AZ308+BB308</f>
        <v>1442.24</v>
      </c>
      <c r="AH308" s="59">
        <f>AJ308+AL308+AR308+AT308+AV308+AX308+BB308+BD308</f>
        <v>1442.24</v>
      </c>
      <c r="AI308" s="60">
        <f>425.3-AM308</f>
        <v>300.5</v>
      </c>
      <c r="AJ308" s="60">
        <f t="shared" si="60"/>
        <v>300.5</v>
      </c>
      <c r="AK308" s="60">
        <f>SUMIFS(Таблица1[10],Таблица1[2],$D308)</f>
        <v>0</v>
      </c>
      <c r="AL308" s="60">
        <f>SUMIFS(Таблица1[11],Таблица1[2],$D308)</f>
        <v>0</v>
      </c>
      <c r="AM308" s="251">
        <v>124.8</v>
      </c>
      <c r="AN308" s="249">
        <f t="shared" si="61"/>
        <v>0</v>
      </c>
      <c r="AO308" s="249">
        <f>SUMIFS(Таблица1[12],Таблица1[2],$D308)</f>
        <v>124.8</v>
      </c>
      <c r="AP308" s="249">
        <f>SUMIFS(Таблица1[13],Таблица1[2],$D308)</f>
        <v>0</v>
      </c>
      <c r="AQ308" s="61">
        <v>333.4</v>
      </c>
      <c r="AR308" s="61">
        <f t="shared" si="62"/>
        <v>333.4</v>
      </c>
      <c r="AS308" s="60">
        <f>SUMIFS(Таблица1[14],Таблица1[2],$D308)</f>
        <v>0</v>
      </c>
      <c r="AT308" s="60">
        <f>SUMIFS(Таблица1[15],Таблица1[2],$D308)</f>
        <v>0</v>
      </c>
      <c r="AU308" s="61">
        <v>808.34</v>
      </c>
      <c r="AV308" s="61">
        <f t="shared" si="63"/>
        <v>808.34</v>
      </c>
      <c r="AW308" s="60">
        <f>SUMIFS(Таблица1[16],Таблица1[2],$D308)</f>
        <v>0</v>
      </c>
      <c r="AX308" s="60">
        <f>SUMIFS(Таблица1[17],Таблица1[2],$D308)</f>
        <v>0</v>
      </c>
      <c r="AY308" s="263"/>
      <c r="AZ308" s="264"/>
      <c r="BA308" s="296">
        <v>28.8</v>
      </c>
      <c r="BB308" s="296">
        <f t="shared" si="71"/>
        <v>0</v>
      </c>
      <c r="BC308" s="296">
        <f>Нежилые!I1609</f>
        <v>28.8</v>
      </c>
      <c r="BD308" s="296">
        <v>0</v>
      </c>
      <c r="BE308" s="285"/>
      <c r="BF308" s="259">
        <v>2609</v>
      </c>
      <c r="BG308" s="260">
        <v>12140</v>
      </c>
      <c r="BH308" s="62" t="s">
        <v>936</v>
      </c>
      <c r="BI308" s="62" t="s">
        <v>935</v>
      </c>
      <c r="BJ308" s="62"/>
      <c r="BK308" s="267"/>
      <c r="BL308" s="267"/>
      <c r="BM308" s="267" t="s">
        <v>1649</v>
      </c>
      <c r="BN308" s="268"/>
      <c r="BO308" s="62">
        <v>31</v>
      </c>
      <c r="BP308" s="63">
        <v>28229</v>
      </c>
      <c r="BQ308" s="64" t="s">
        <v>1131</v>
      </c>
      <c r="BR308" s="372" t="s">
        <v>2747</v>
      </c>
      <c r="BS308" s="62"/>
      <c r="BT308" s="323"/>
      <c r="BU308" s="62"/>
      <c r="BV308" s="323"/>
      <c r="BW308" s="62"/>
      <c r="BX308" s="336"/>
      <c r="BY308" s="336"/>
    </row>
    <row r="309" spans="1:77" ht="13.15" hidden="1" customHeight="1" outlineLevel="1" x14ac:dyDescent="0.2">
      <c r="A309" s="50">
        <f t="shared" si="69"/>
        <v>304</v>
      </c>
      <c r="B309" s="51">
        <v>32</v>
      </c>
      <c r="C309" s="51">
        <v>52</v>
      </c>
      <c r="D309" s="18" t="s">
        <v>657</v>
      </c>
      <c r="E309" s="18">
        <v>14</v>
      </c>
      <c r="F309" s="18">
        <v>3</v>
      </c>
      <c r="G309" s="52">
        <v>1</v>
      </c>
      <c r="H309" s="237">
        <v>1</v>
      </c>
      <c r="I309" s="65">
        <v>1959</v>
      </c>
      <c r="J309" s="349">
        <v>4</v>
      </c>
      <c r="K309" s="346">
        <f t="shared" si="70"/>
        <v>5</v>
      </c>
      <c r="L309" s="346">
        <v>1</v>
      </c>
      <c r="M309" s="349">
        <v>5</v>
      </c>
      <c r="N309" s="255">
        <f t="shared" si="68"/>
        <v>0</v>
      </c>
      <c r="O309" s="310">
        <v>80</v>
      </c>
      <c r="P309" s="66">
        <v>0</v>
      </c>
      <c r="Q309" s="66"/>
      <c r="R309" s="66">
        <v>60</v>
      </c>
      <c r="S309" s="66">
        <v>20</v>
      </c>
      <c r="T309" s="66">
        <v>0</v>
      </c>
      <c r="U309" s="66">
        <v>0</v>
      </c>
      <c r="V309" s="66">
        <v>0</v>
      </c>
      <c r="W309" s="54">
        <v>0</v>
      </c>
      <c r="X309" s="55">
        <f>SUMIFS(Таблица3[Кол-во квартир],Таблица3[Адрес МКД],$D309)</f>
        <v>80</v>
      </c>
      <c r="Y309" s="56">
        <f t="shared" si="72"/>
        <v>4402.8</v>
      </c>
      <c r="Z309" s="253">
        <f>SUMIFS(Таблица3[Площадь жилая],Таблица3[Адрес МКД],$D309)</f>
        <v>2797.6</v>
      </c>
      <c r="AA309" s="261">
        <f>SUMIFS(Таблица3[Площадь нежилых помещений],Таблица3[Адрес МКД],$D309)</f>
        <v>22.4</v>
      </c>
      <c r="AB309" s="252">
        <f>SUMIFS(Таблица1[1],Таблица1[2],$D309)</f>
        <v>22.4</v>
      </c>
      <c r="AC309" s="57">
        <f t="shared" si="64"/>
        <v>22.4</v>
      </c>
      <c r="AD309" s="57">
        <f t="shared" si="65"/>
        <v>0</v>
      </c>
      <c r="AE309" s="58">
        <f>SUMIFS(Таблица1[8],Таблица1[2],$D309)+SUMIFS(Таблица1[18],Таблица1[2],$D309)</f>
        <v>22.4</v>
      </c>
      <c r="AF309" s="58">
        <f>SUMIFS(Таблица1[9],Таблица1[2],$D309)+SUMIFS(Таблица1[19],Таблица1[2],$D309)</f>
        <v>0</v>
      </c>
      <c r="AG309" s="59">
        <f>AJ309+AR309+AV309+AZ309+BB309</f>
        <v>1582.8</v>
      </c>
      <c r="AH309" s="59">
        <f>AJ309+AL309+AR309+AT309+AV309+AX309+BB309+BD309</f>
        <v>1582.8</v>
      </c>
      <c r="AI309" s="60">
        <f>464.2-AM309</f>
        <v>464.2</v>
      </c>
      <c r="AJ309" s="60">
        <f t="shared" si="60"/>
        <v>464.2</v>
      </c>
      <c r="AK309" s="60">
        <f>SUMIFS(Таблица1[10],Таблица1[2],$D309)</f>
        <v>0</v>
      </c>
      <c r="AL309" s="60">
        <f>SUMIFS(Таблица1[11],Таблица1[2],$D309)</f>
        <v>0</v>
      </c>
      <c r="AM309" s="251">
        <v>0</v>
      </c>
      <c r="AN309" s="249">
        <f t="shared" si="61"/>
        <v>0</v>
      </c>
      <c r="AO309" s="249">
        <f>SUMIFS(Таблица1[12],Таблица1[2],$D309)</f>
        <v>0</v>
      </c>
      <c r="AP309" s="249">
        <f>SUMIFS(Таблица1[13],Таблица1[2],$D309)</f>
        <v>0</v>
      </c>
      <c r="AQ309" s="61">
        <v>218.6</v>
      </c>
      <c r="AR309" s="61">
        <f t="shared" si="62"/>
        <v>218.6</v>
      </c>
      <c r="AS309" s="60">
        <f>SUMIFS(Таблица1[14],Таблица1[2],$D309)</f>
        <v>0</v>
      </c>
      <c r="AT309" s="60">
        <f>SUMIFS(Таблица1[15],Таблица1[2],$D309)</f>
        <v>0</v>
      </c>
      <c r="AU309" s="61">
        <v>900</v>
      </c>
      <c r="AV309" s="61">
        <f t="shared" si="63"/>
        <v>900</v>
      </c>
      <c r="AW309" s="60">
        <f>SUMIFS(Таблица1[16],Таблица1[2],$D309)</f>
        <v>0</v>
      </c>
      <c r="AX309" s="60">
        <f>SUMIFS(Таблица1[17],Таблица1[2],$D309)</f>
        <v>0</v>
      </c>
      <c r="AY309" s="263"/>
      <c r="AZ309" s="264"/>
      <c r="BA309" s="296">
        <v>22.4</v>
      </c>
      <c r="BB309" s="296">
        <f t="shared" si="71"/>
        <v>0</v>
      </c>
      <c r="BC309" s="296">
        <f>Нежилые!I1787</f>
        <v>22.4</v>
      </c>
      <c r="BD309" s="296">
        <v>0</v>
      </c>
      <c r="BE309" s="285"/>
      <c r="BF309" s="259">
        <v>1832</v>
      </c>
      <c r="BG309" s="260">
        <f>12136+161+148</f>
        <v>12445</v>
      </c>
      <c r="BH309" s="62" t="s">
        <v>940</v>
      </c>
      <c r="BI309" s="62" t="s">
        <v>935</v>
      </c>
      <c r="BJ309" s="62"/>
      <c r="BK309" s="267"/>
      <c r="BL309" s="267" t="s">
        <v>1649</v>
      </c>
      <c r="BM309" s="267"/>
      <c r="BN309" s="268"/>
      <c r="BO309" s="62">
        <v>16</v>
      </c>
      <c r="BP309" s="63">
        <v>28944</v>
      </c>
      <c r="BQ309" s="64" t="s">
        <v>1131</v>
      </c>
      <c r="BR309" s="372" t="s">
        <v>2747</v>
      </c>
      <c r="BS309" s="62"/>
      <c r="BT309" s="323"/>
      <c r="BU309" s="62"/>
      <c r="BV309" s="323"/>
      <c r="BW309" s="62"/>
      <c r="BX309" s="336"/>
      <c r="BY309" s="336"/>
    </row>
    <row r="310" spans="1:77" ht="13.15" hidden="1" customHeight="1" outlineLevel="1" x14ac:dyDescent="0.2">
      <c r="A310" s="50">
        <f t="shared" si="69"/>
        <v>305</v>
      </c>
      <c r="B310" s="51">
        <v>33</v>
      </c>
      <c r="C310" s="51">
        <v>53</v>
      </c>
      <c r="D310" s="18" t="s">
        <v>646</v>
      </c>
      <c r="E310" s="18">
        <v>14</v>
      </c>
      <c r="F310" s="18">
        <v>3</v>
      </c>
      <c r="G310" s="52">
        <v>3</v>
      </c>
      <c r="H310" s="237">
        <v>3</v>
      </c>
      <c r="I310" s="65">
        <v>1959</v>
      </c>
      <c r="J310" s="349">
        <v>5</v>
      </c>
      <c r="K310" s="346">
        <f t="shared" si="70"/>
        <v>6</v>
      </c>
      <c r="L310" s="346">
        <v>1</v>
      </c>
      <c r="M310" s="349">
        <v>9</v>
      </c>
      <c r="N310" s="255">
        <f t="shared" si="68"/>
        <v>2</v>
      </c>
      <c r="O310" s="310">
        <v>131</v>
      </c>
      <c r="P310" s="66">
        <v>14</v>
      </c>
      <c r="Q310" s="66"/>
      <c r="R310" s="66">
        <v>39</v>
      </c>
      <c r="S310" s="66">
        <v>47</v>
      </c>
      <c r="T310" s="66">
        <v>45</v>
      </c>
      <c r="U310" s="66">
        <v>0</v>
      </c>
      <c r="V310" s="66">
        <v>0</v>
      </c>
      <c r="W310" s="54">
        <v>0</v>
      </c>
      <c r="X310" s="55">
        <f>SUMIFS(Таблица3[Кол-во квартир],Таблица3[Адрес МКД],$D310)</f>
        <v>115</v>
      </c>
      <c r="Y310" s="56">
        <f t="shared" si="72"/>
        <v>11775.05</v>
      </c>
      <c r="Z310" s="253">
        <f>SUMIFS(Таблица3[Площадь жилая],Таблица3[Адрес МКД],$D310)</f>
        <v>6651.25</v>
      </c>
      <c r="AA310" s="261">
        <f>SUMIFS(Таблица3[Площадь нежилых помещений],Таблица3[Адрес МКД],$D310)</f>
        <v>881.9</v>
      </c>
      <c r="AB310" s="252">
        <f>SUMIFS(Таблица1[1],Таблица1[2],$D310)</f>
        <v>956.30000000000007</v>
      </c>
      <c r="AC310" s="57">
        <f t="shared" si="64"/>
        <v>956.30000000000007</v>
      </c>
      <c r="AD310" s="57">
        <f t="shared" si="65"/>
        <v>0</v>
      </c>
      <c r="AE310" s="58">
        <f>SUMIFS(Таблица1[8],Таблица1[2],$D310)+SUMIFS(Таблица1[18],Таблица1[2],$D310)</f>
        <v>881.90000000000009</v>
      </c>
      <c r="AF310" s="58">
        <f>SUMIFS(Таблица1[9],Таблица1[2],$D310)+SUMIFS(Таблица1[19],Таблица1[2],$D310)</f>
        <v>0</v>
      </c>
      <c r="AG310" s="59">
        <f t="shared" si="66"/>
        <v>4167.5</v>
      </c>
      <c r="AH310" s="59">
        <f t="shared" si="67"/>
        <v>4167.5</v>
      </c>
      <c r="AI310" s="60">
        <f>1527.6-AM310</f>
        <v>1527.6</v>
      </c>
      <c r="AJ310" s="60">
        <f t="shared" si="60"/>
        <v>1453.1999999999998</v>
      </c>
      <c r="AK310" s="60">
        <f>SUMIFS(Таблица1[10],Таблица1[2],$D310)</f>
        <v>74.400000000000006</v>
      </c>
      <c r="AL310" s="60">
        <f>SUMIFS(Таблица1[11],Таблица1[2],$D310)</f>
        <v>0</v>
      </c>
      <c r="AM310" s="251">
        <v>0</v>
      </c>
      <c r="AN310" s="249">
        <f t="shared" si="61"/>
        <v>0</v>
      </c>
      <c r="AO310" s="249">
        <f>SUMIFS(Таблица1[12],Таблица1[2],$D310)</f>
        <v>0</v>
      </c>
      <c r="AP310" s="249">
        <f>SUMIFS(Таблица1[13],Таблица1[2],$D310)</f>
        <v>0</v>
      </c>
      <c r="AQ310" s="61">
        <v>775.3</v>
      </c>
      <c r="AR310" s="61">
        <f t="shared" si="62"/>
        <v>775.3</v>
      </c>
      <c r="AS310" s="60">
        <f>SUMIFS(Таблица1[14],Таблица1[2],$D310)</f>
        <v>0</v>
      </c>
      <c r="AT310" s="60">
        <f>SUMIFS(Таблица1[15],Таблица1[2],$D310)</f>
        <v>0</v>
      </c>
      <c r="AU310" s="61">
        <v>1939</v>
      </c>
      <c r="AV310" s="61">
        <f t="shared" si="63"/>
        <v>1939</v>
      </c>
      <c r="AW310" s="60">
        <f>SUMIFS(Таблица1[16],Таблица1[2],$D310)</f>
        <v>0</v>
      </c>
      <c r="AX310" s="60">
        <f>SUMIFS(Таблица1[17],Таблица1[2],$D310)</f>
        <v>0</v>
      </c>
      <c r="AY310" s="263">
        <f>Нежилые!G1796</f>
        <v>74.400000000000006</v>
      </c>
      <c r="AZ310" s="264"/>
      <c r="BA310" s="296">
        <v>0</v>
      </c>
      <c r="BB310" s="296">
        <f t="shared" si="71"/>
        <v>0</v>
      </c>
      <c r="BC310" s="296">
        <v>0</v>
      </c>
      <c r="BD310" s="296">
        <v>0</v>
      </c>
      <c r="BE310" s="285"/>
      <c r="BF310" s="259">
        <v>5720</v>
      </c>
      <c r="BG310" s="260">
        <v>32536</v>
      </c>
      <c r="BH310" s="62" t="s">
        <v>940</v>
      </c>
      <c r="BI310" s="62" t="s">
        <v>935</v>
      </c>
      <c r="BJ310" s="62" t="s">
        <v>1016</v>
      </c>
      <c r="BK310" s="267"/>
      <c r="BL310" s="267"/>
      <c r="BM310" s="267" t="s">
        <v>1649</v>
      </c>
      <c r="BN310" s="268"/>
      <c r="BO310" s="62">
        <v>23</v>
      </c>
      <c r="BP310" s="63">
        <v>30996</v>
      </c>
      <c r="BQ310" s="64" t="s">
        <v>1131</v>
      </c>
      <c r="BR310" s="372" t="s">
        <v>2747</v>
      </c>
      <c r="BS310" s="62"/>
      <c r="BT310" s="323"/>
      <c r="BU310" s="62"/>
      <c r="BV310" s="323"/>
      <c r="BW310" s="62"/>
      <c r="BX310" s="336"/>
      <c r="BY310" s="336"/>
    </row>
    <row r="311" spans="1:77" ht="13.15" hidden="1" customHeight="1" outlineLevel="1" x14ac:dyDescent="0.2">
      <c r="A311" s="50">
        <f t="shared" si="69"/>
        <v>306</v>
      </c>
      <c r="B311" s="51">
        <v>34</v>
      </c>
      <c r="C311" s="51">
        <v>54</v>
      </c>
      <c r="D311" s="18" t="s">
        <v>647</v>
      </c>
      <c r="E311" s="18">
        <v>14</v>
      </c>
      <c r="F311" s="18">
        <v>3</v>
      </c>
      <c r="G311" s="52">
        <v>1</v>
      </c>
      <c r="H311" s="237">
        <v>1</v>
      </c>
      <c r="I311" s="65">
        <v>1959</v>
      </c>
      <c r="J311" s="349">
        <v>4</v>
      </c>
      <c r="K311" s="346">
        <f t="shared" si="70"/>
        <v>5</v>
      </c>
      <c r="L311" s="346">
        <v>1</v>
      </c>
      <c r="M311" s="349">
        <v>5</v>
      </c>
      <c r="N311" s="255">
        <f t="shared" si="68"/>
        <v>0</v>
      </c>
      <c r="O311" s="310">
        <v>80</v>
      </c>
      <c r="P311" s="66">
        <v>0</v>
      </c>
      <c r="Q311" s="66"/>
      <c r="R311" s="66">
        <v>60</v>
      </c>
      <c r="S311" s="66">
        <v>20</v>
      </c>
      <c r="T311" s="66">
        <v>0</v>
      </c>
      <c r="U311" s="66">
        <v>0</v>
      </c>
      <c r="V311" s="66">
        <v>0</v>
      </c>
      <c r="W311" s="54">
        <v>0</v>
      </c>
      <c r="X311" s="55">
        <f>SUMIFS(Таблица3[Кол-во квартир],Таблица3[Адрес МКД],$D311)</f>
        <v>80</v>
      </c>
      <c r="Y311" s="56">
        <f t="shared" si="72"/>
        <v>4622.91</v>
      </c>
      <c r="Z311" s="253">
        <f>SUMIFS(Таблица3[Площадь жилая],Таблица3[Адрес МКД],$D311)</f>
        <v>2790.01</v>
      </c>
      <c r="AA311" s="261">
        <f>SUMIFS(Таблица3[Площадь нежилых помещений],Таблица3[Адрес МКД],$D311)</f>
        <v>101.5</v>
      </c>
      <c r="AB311" s="252">
        <f>SUMIFS(Таблица1[1],Таблица1[2],$D311)</f>
        <v>101.5</v>
      </c>
      <c r="AC311" s="57">
        <f t="shared" si="64"/>
        <v>101.5</v>
      </c>
      <c r="AD311" s="57">
        <f t="shared" si="65"/>
        <v>0</v>
      </c>
      <c r="AE311" s="58">
        <f>SUMIFS(Таблица1[8],Таблица1[2],$D311)+SUMIFS(Таблица1[18],Таблица1[2],$D311)</f>
        <v>0</v>
      </c>
      <c r="AF311" s="58">
        <f>SUMIFS(Таблица1[9],Таблица1[2],$D311)+SUMIFS(Таблица1[19],Таблица1[2],$D311)</f>
        <v>0</v>
      </c>
      <c r="AG311" s="59">
        <f t="shared" si="66"/>
        <v>1731.3999999999999</v>
      </c>
      <c r="AH311" s="59">
        <f t="shared" si="67"/>
        <v>1731.3999999999999</v>
      </c>
      <c r="AI311" s="60">
        <f>664.9-AM311</f>
        <v>664.9</v>
      </c>
      <c r="AJ311" s="60">
        <f t="shared" si="60"/>
        <v>563.4</v>
      </c>
      <c r="AK311" s="60">
        <f>SUMIFS(Таблица1[10],Таблица1[2],$D311)</f>
        <v>101.5</v>
      </c>
      <c r="AL311" s="60">
        <f>SUMIFS(Таблица1[11],Таблица1[2],$D311)</f>
        <v>0</v>
      </c>
      <c r="AM311" s="251">
        <v>0</v>
      </c>
      <c r="AN311" s="249">
        <f t="shared" si="61"/>
        <v>0</v>
      </c>
      <c r="AO311" s="249">
        <f>SUMIFS(Таблица1[12],Таблица1[2],$D311)</f>
        <v>0</v>
      </c>
      <c r="AP311" s="249">
        <f>SUMIFS(Таблица1[13],Таблица1[2],$D311)</f>
        <v>0</v>
      </c>
      <c r="AQ311" s="61">
        <v>338.2</v>
      </c>
      <c r="AR311" s="61">
        <f t="shared" si="62"/>
        <v>338.2</v>
      </c>
      <c r="AS311" s="60">
        <f>SUMIFS(Таблица1[14],Таблица1[2],$D311)</f>
        <v>0</v>
      </c>
      <c r="AT311" s="60">
        <f>SUMIFS(Таблица1[15],Таблица1[2],$D311)</f>
        <v>0</v>
      </c>
      <c r="AU311" s="61">
        <v>829.8</v>
      </c>
      <c r="AV311" s="61">
        <f t="shared" si="63"/>
        <v>829.8</v>
      </c>
      <c r="AW311" s="60">
        <f>SUMIFS(Таблица1[16],Таблица1[2],$D311)</f>
        <v>0</v>
      </c>
      <c r="AX311" s="60">
        <f>SUMIFS(Таблица1[17],Таблица1[2],$D311)</f>
        <v>0</v>
      </c>
      <c r="AY311" s="263"/>
      <c r="AZ311" s="264"/>
      <c r="BA311" s="296">
        <v>0</v>
      </c>
      <c r="BB311" s="296">
        <f t="shared" si="71"/>
        <v>0</v>
      </c>
      <c r="BC311" s="296">
        <v>0</v>
      </c>
      <c r="BD311" s="296">
        <v>0</v>
      </c>
      <c r="BE311" s="285"/>
      <c r="BF311" s="259">
        <v>2520</v>
      </c>
      <c r="BG311" s="260">
        <v>11967</v>
      </c>
      <c r="BH311" s="62" t="s">
        <v>940</v>
      </c>
      <c r="BI311" s="62" t="s">
        <v>935</v>
      </c>
      <c r="BJ311" s="62"/>
      <c r="BK311" s="267"/>
      <c r="BL311" s="267" t="s">
        <v>1649</v>
      </c>
      <c r="BM311" s="267"/>
      <c r="BN311" s="268"/>
      <c r="BO311" s="62">
        <v>36</v>
      </c>
      <c r="BP311" s="63">
        <v>44118</v>
      </c>
      <c r="BQ311" s="64" t="s">
        <v>1131</v>
      </c>
      <c r="BR311" s="372" t="s">
        <v>2747</v>
      </c>
      <c r="BS311" s="62"/>
      <c r="BT311" s="323"/>
      <c r="BU311" s="62"/>
      <c r="BV311" s="323"/>
      <c r="BW311" s="62"/>
      <c r="BX311" s="336"/>
      <c r="BY311" s="336"/>
    </row>
    <row r="312" spans="1:77" ht="13.15" hidden="1" customHeight="1" outlineLevel="1" x14ac:dyDescent="0.2">
      <c r="A312" s="50">
        <f t="shared" si="69"/>
        <v>307</v>
      </c>
      <c r="B312" s="51">
        <v>35</v>
      </c>
      <c r="C312" s="51">
        <v>55</v>
      </c>
      <c r="D312" s="18" t="s">
        <v>658</v>
      </c>
      <c r="E312" s="18">
        <v>14</v>
      </c>
      <c r="F312" s="18">
        <v>3</v>
      </c>
      <c r="G312" s="52">
        <v>2</v>
      </c>
      <c r="H312" s="237">
        <v>2</v>
      </c>
      <c r="I312" s="65">
        <v>1960</v>
      </c>
      <c r="J312" s="349">
        <v>5</v>
      </c>
      <c r="K312" s="346">
        <f t="shared" si="70"/>
        <v>6</v>
      </c>
      <c r="L312" s="346">
        <v>1</v>
      </c>
      <c r="M312" s="349">
        <v>8</v>
      </c>
      <c r="N312" s="255">
        <f t="shared" si="68"/>
        <v>0</v>
      </c>
      <c r="O312" s="310">
        <v>159</v>
      </c>
      <c r="P312" s="327">
        <v>15</v>
      </c>
      <c r="Q312" s="66"/>
      <c r="R312" s="66">
        <v>39</v>
      </c>
      <c r="S312" s="66">
        <v>119</v>
      </c>
      <c r="T312" s="66">
        <v>1</v>
      </c>
      <c r="U312" s="66">
        <v>0</v>
      </c>
      <c r="V312" s="66">
        <v>0</v>
      </c>
      <c r="W312" s="54">
        <v>0</v>
      </c>
      <c r="X312" s="55">
        <f>SUMIFS(Таблица3[Кол-во квартир],Таблица3[Адрес МКД],$D312)</f>
        <v>144</v>
      </c>
      <c r="Y312" s="56">
        <f t="shared" si="72"/>
        <v>9853.82</v>
      </c>
      <c r="Z312" s="253">
        <f>SUMIFS(Таблица3[Площадь жилая],Таблица3[Адрес МКД],$D312)</f>
        <v>5817.62</v>
      </c>
      <c r="AA312" s="261">
        <f>SUMIFS(Таблица3[Площадь нежилых помещений],Таблица3[Адрес МКД],$D312)</f>
        <v>667.3</v>
      </c>
      <c r="AB312" s="252">
        <f>SUMIFS(Таблица1[1],Таблица1[2],$D312)</f>
        <v>855.59999999999991</v>
      </c>
      <c r="AC312" s="57">
        <f t="shared" si="64"/>
        <v>667.3</v>
      </c>
      <c r="AD312" s="57">
        <f t="shared" si="65"/>
        <v>188.3</v>
      </c>
      <c r="AE312" s="58">
        <f>SUMIFS(Таблица1[8],Таблица1[2],$D312)+SUMIFS(Таблица1[18],Таблица1[2],$D312)</f>
        <v>667.3</v>
      </c>
      <c r="AF312" s="58">
        <f>SUMIFS(Таблица1[9],Таблица1[2],$D312)+SUMIFS(Таблица1[19],Таблица1[2],$D312)</f>
        <v>0</v>
      </c>
      <c r="AG312" s="59">
        <f t="shared" si="66"/>
        <v>3180.6000000000004</v>
      </c>
      <c r="AH312" s="59">
        <f t="shared" si="67"/>
        <v>3368.9</v>
      </c>
      <c r="AI312" s="60">
        <f>1229.5-AM312</f>
        <v>1229.5</v>
      </c>
      <c r="AJ312" s="60">
        <f t="shared" si="60"/>
        <v>1049.5</v>
      </c>
      <c r="AK312" s="60">
        <f>SUMIFS(Таблица1[10],Таблица1[2],$D312)</f>
        <v>0</v>
      </c>
      <c r="AL312" s="60">
        <f>SUMIFS(Таблица1[11],Таблица1[2],$D312)</f>
        <v>180</v>
      </c>
      <c r="AM312" s="251">
        <v>0</v>
      </c>
      <c r="AN312" s="249">
        <f t="shared" si="61"/>
        <v>0</v>
      </c>
      <c r="AO312" s="249">
        <f>SUMIFS(Таблица1[12],Таблица1[2],$D312)</f>
        <v>0</v>
      </c>
      <c r="AP312" s="249">
        <f>SUMIFS(Таблица1[13],Таблица1[2],$D312)</f>
        <v>0</v>
      </c>
      <c r="AQ312" s="61">
        <f>570.7</f>
        <v>570.70000000000005</v>
      </c>
      <c r="AR312" s="61">
        <f t="shared" si="62"/>
        <v>562.40000000000009</v>
      </c>
      <c r="AS312" s="60">
        <f>SUMIFS(Таблица1[14],Таблица1[2],$D312)</f>
        <v>0</v>
      </c>
      <c r="AT312" s="60">
        <f>SUMIFS(Таблица1[15],Таблица1[2],$D312)</f>
        <v>8.3000000000000007</v>
      </c>
      <c r="AU312" s="61">
        <v>1568.7</v>
      </c>
      <c r="AV312" s="61">
        <f t="shared" si="63"/>
        <v>1568.7</v>
      </c>
      <c r="AW312" s="60">
        <f>SUMIFS(Таблица1[16],Таблица1[2],$D312)</f>
        <v>0</v>
      </c>
      <c r="AX312" s="60">
        <f>SUMIFS(Таблица1[17],Таблица1[2],$D312)</f>
        <v>0</v>
      </c>
      <c r="AY312" s="263"/>
      <c r="AZ312" s="264"/>
      <c r="BA312" s="296">
        <v>0</v>
      </c>
      <c r="BB312" s="296">
        <f t="shared" si="71"/>
        <v>0</v>
      </c>
      <c r="BC312" s="296">
        <v>0</v>
      </c>
      <c r="BD312" s="296">
        <v>0</v>
      </c>
      <c r="BE312" s="285"/>
      <c r="BF312" s="259">
        <v>4261</v>
      </c>
      <c r="BG312" s="260">
        <v>25132</v>
      </c>
      <c r="BH312" s="62" t="s">
        <v>943</v>
      </c>
      <c r="BI312" s="62" t="s">
        <v>935</v>
      </c>
      <c r="BJ312" s="62"/>
      <c r="BK312" s="267"/>
      <c r="BL312" s="267" t="s">
        <v>1649</v>
      </c>
      <c r="BM312" s="267"/>
      <c r="BN312" s="268"/>
      <c r="BO312" s="62">
        <v>16</v>
      </c>
      <c r="BP312" s="63">
        <v>28944</v>
      </c>
      <c r="BQ312" s="64" t="s">
        <v>1131</v>
      </c>
      <c r="BR312" s="372" t="s">
        <v>2747</v>
      </c>
      <c r="BS312" s="62"/>
      <c r="BT312" s="323"/>
      <c r="BU312" s="62"/>
      <c r="BV312" s="323"/>
      <c r="BW312" s="62"/>
      <c r="BX312" s="336"/>
      <c r="BY312" s="336"/>
    </row>
    <row r="313" spans="1:77" ht="13.15" hidden="1" customHeight="1" outlineLevel="1" x14ac:dyDescent="0.2">
      <c r="A313" s="50">
        <f t="shared" si="69"/>
        <v>308</v>
      </c>
      <c r="B313" s="51">
        <v>36</v>
      </c>
      <c r="C313" s="51">
        <v>56</v>
      </c>
      <c r="D313" s="18" t="s">
        <v>659</v>
      </c>
      <c r="E313" s="18">
        <v>14</v>
      </c>
      <c r="F313" s="18">
        <v>3</v>
      </c>
      <c r="G313" s="52">
        <v>1</v>
      </c>
      <c r="H313" s="237">
        <v>1</v>
      </c>
      <c r="I313" s="65">
        <v>1959</v>
      </c>
      <c r="J313" s="349">
        <v>5</v>
      </c>
      <c r="K313" s="346">
        <f t="shared" si="70"/>
        <v>6</v>
      </c>
      <c r="L313" s="346">
        <v>1</v>
      </c>
      <c r="M313" s="349">
        <v>5</v>
      </c>
      <c r="N313" s="255">
        <f t="shared" si="68"/>
        <v>0</v>
      </c>
      <c r="O313" s="310">
        <v>100</v>
      </c>
      <c r="P313" s="66">
        <v>0</v>
      </c>
      <c r="Q313" s="66"/>
      <c r="R313" s="66">
        <v>75</v>
      </c>
      <c r="S313" s="66">
        <v>25</v>
      </c>
      <c r="T313" s="66">
        <v>0</v>
      </c>
      <c r="U313" s="66">
        <v>0</v>
      </c>
      <c r="V313" s="66">
        <v>0</v>
      </c>
      <c r="W313" s="54">
        <v>0</v>
      </c>
      <c r="X313" s="55">
        <f>SUMIFS(Таблица3[Кол-во квартир],Таблица3[Адрес МКД],$D313)</f>
        <v>100</v>
      </c>
      <c r="Y313" s="56">
        <f>Z313+AB313+AG313+AM313</f>
        <v>5014.2999999999993</v>
      </c>
      <c r="Z313" s="253">
        <f>SUMIFS(Таблица3[Площадь жилая],Таблица3[Адрес МКД],$D313)</f>
        <v>3496.2</v>
      </c>
      <c r="AA313" s="261">
        <f>SUMIFS(Таблица3[Площадь нежилых помещений],Таблица3[Адрес МКД],$D313)</f>
        <v>145.6</v>
      </c>
      <c r="AB313" s="252">
        <f>SUMIFS(Таблица1[1],Таблица1[2],$D313)</f>
        <v>224.7</v>
      </c>
      <c r="AC313" s="57">
        <f t="shared" si="64"/>
        <v>224.7</v>
      </c>
      <c r="AD313" s="57">
        <f t="shared" si="65"/>
        <v>0</v>
      </c>
      <c r="AE313" s="58">
        <f>SUMIFS(Таблица1[8],Таблица1[2],$D313)+SUMIFS(Таблица1[18],Таблица1[2],$D313)</f>
        <v>0</v>
      </c>
      <c r="AF313" s="58">
        <f>SUMIFS(Таблица1[9],Таблица1[2],$D313)+SUMIFS(Таблица1[19],Таблица1[2],$D313)</f>
        <v>0</v>
      </c>
      <c r="AG313" s="59">
        <f t="shared" si="66"/>
        <v>1293.4000000000001</v>
      </c>
      <c r="AH313" s="59">
        <f t="shared" si="67"/>
        <v>1293.4000000000001</v>
      </c>
      <c r="AI313" s="60">
        <f>322.9-AM313</f>
        <v>322.89999999999998</v>
      </c>
      <c r="AJ313" s="60">
        <f t="shared" si="60"/>
        <v>98.199999999999989</v>
      </c>
      <c r="AK313" s="60">
        <f>SUMIFS(Таблица1[10],Таблица1[2],$D313)</f>
        <v>224.7</v>
      </c>
      <c r="AL313" s="60">
        <f>SUMIFS(Таблица1[11],Таблица1[2],$D313)</f>
        <v>0</v>
      </c>
      <c r="AM313" s="251">
        <v>0</v>
      </c>
      <c r="AN313" s="249">
        <f t="shared" si="61"/>
        <v>0</v>
      </c>
      <c r="AO313" s="249">
        <f>SUMIFS(Таблица1[12],Таблица1[2],$D313)</f>
        <v>0</v>
      </c>
      <c r="AP313" s="249">
        <f>SUMIFS(Таблица1[13],Таблица1[2],$D313)</f>
        <v>0</v>
      </c>
      <c r="AQ313" s="61">
        <v>384.8</v>
      </c>
      <c r="AR313" s="61">
        <f t="shared" si="62"/>
        <v>384.8</v>
      </c>
      <c r="AS313" s="60">
        <f>SUMIFS(Таблица1[14],Таблица1[2],$D313)</f>
        <v>0</v>
      </c>
      <c r="AT313" s="60">
        <f>SUMIFS(Таблица1[15],Таблица1[2],$D313)</f>
        <v>0</v>
      </c>
      <c r="AU313" s="61">
        <v>810.4</v>
      </c>
      <c r="AV313" s="61">
        <f t="shared" si="63"/>
        <v>810.4</v>
      </c>
      <c r="AW313" s="60">
        <f>SUMIFS(Таблица1[16],Таблица1[2],$D313)</f>
        <v>0</v>
      </c>
      <c r="AX313" s="60">
        <f>SUMIFS(Таблица1[17],Таблица1[2],$D313)</f>
        <v>0</v>
      </c>
      <c r="AY313" s="263">
        <f>Нежилые!G1823</f>
        <v>79.099999999999994</v>
      </c>
      <c r="AZ313" s="264"/>
      <c r="BA313" s="296">
        <v>0</v>
      </c>
      <c r="BB313" s="296">
        <f t="shared" si="71"/>
        <v>0</v>
      </c>
      <c r="BC313" s="296">
        <v>0</v>
      </c>
      <c r="BD313" s="296">
        <v>0</v>
      </c>
      <c r="BE313" s="285"/>
      <c r="BF313" s="259">
        <f>1433+25</f>
        <v>1458</v>
      </c>
      <c r="BG313" s="260">
        <v>15415</v>
      </c>
      <c r="BH313" s="62" t="s">
        <v>940</v>
      </c>
      <c r="BI313" s="62" t="s">
        <v>935</v>
      </c>
      <c r="BJ313" s="62"/>
      <c r="BK313" s="267"/>
      <c r="BL313" s="267" t="s">
        <v>1649</v>
      </c>
      <c r="BM313" s="267"/>
      <c r="BN313" s="268"/>
      <c r="BO313" s="62">
        <v>16</v>
      </c>
      <c r="BP313" s="63">
        <v>27118</v>
      </c>
      <c r="BQ313" s="64" t="s">
        <v>1131</v>
      </c>
      <c r="BR313" s="372" t="s">
        <v>2747</v>
      </c>
      <c r="BS313" s="62"/>
      <c r="BT313" s="323"/>
      <c r="BU313" s="62"/>
      <c r="BV313" s="323"/>
      <c r="BW313" s="62"/>
      <c r="BX313" s="336"/>
      <c r="BY313" s="336"/>
    </row>
    <row r="314" spans="1:77" ht="13.15" hidden="1" customHeight="1" outlineLevel="1" x14ac:dyDescent="0.2">
      <c r="A314" s="50">
        <f t="shared" si="69"/>
        <v>309</v>
      </c>
      <c r="B314" s="51">
        <v>37</v>
      </c>
      <c r="C314" s="51">
        <v>57</v>
      </c>
      <c r="D314" s="18" t="s">
        <v>648</v>
      </c>
      <c r="E314" s="18">
        <v>14</v>
      </c>
      <c r="F314" s="18">
        <v>3</v>
      </c>
      <c r="G314" s="52">
        <v>1</v>
      </c>
      <c r="H314" s="237">
        <v>1</v>
      </c>
      <c r="I314" s="65">
        <v>1959</v>
      </c>
      <c r="J314" s="349">
        <v>5</v>
      </c>
      <c r="K314" s="346">
        <f t="shared" si="70"/>
        <v>6</v>
      </c>
      <c r="L314" s="346">
        <v>1</v>
      </c>
      <c r="M314" s="349">
        <v>4</v>
      </c>
      <c r="N314" s="255">
        <f t="shared" si="68"/>
        <v>0</v>
      </c>
      <c r="O314" s="310">
        <v>60</v>
      </c>
      <c r="P314" s="327">
        <v>9</v>
      </c>
      <c r="Q314" s="66"/>
      <c r="R314" s="66">
        <v>20</v>
      </c>
      <c r="S314" s="66">
        <v>20</v>
      </c>
      <c r="T314" s="66">
        <v>20</v>
      </c>
      <c r="U314" s="66">
        <v>0</v>
      </c>
      <c r="V314" s="66">
        <v>0</v>
      </c>
      <c r="W314" s="54">
        <v>0</v>
      </c>
      <c r="X314" s="55">
        <f>SUMIFS(Таблица3[Кол-во квартир],Таблица3[Адрес МКД],$D314)</f>
        <v>51</v>
      </c>
      <c r="Y314" s="56">
        <f>Z314+AB314+AG314+AN314</f>
        <v>4690.8999999999996</v>
      </c>
      <c r="Z314" s="253">
        <f>SUMIFS(Таблица3[Площадь жилая],Таблица3[Адрес МКД],$D314)</f>
        <v>2885.6</v>
      </c>
      <c r="AA314" s="261">
        <f>SUMIFS(Таблица3[Площадь нежилых помещений],Таблица3[Адрес МКД],$D314)</f>
        <v>395.6</v>
      </c>
      <c r="AB314" s="252">
        <f>SUMIFS(Таблица1[1],Таблица1[2],$D314)</f>
        <v>395.6</v>
      </c>
      <c r="AC314" s="57">
        <f t="shared" si="64"/>
        <v>395.6</v>
      </c>
      <c r="AD314" s="57">
        <f t="shared" si="65"/>
        <v>0</v>
      </c>
      <c r="AE314" s="58">
        <f>SUMIFS(Таблица1[8],Таблица1[2],$D314)+SUMIFS(Таблица1[18],Таблица1[2],$D314)</f>
        <v>395.6</v>
      </c>
      <c r="AF314" s="58">
        <f>SUMIFS(Таблица1[9],Таблица1[2],$D314)+SUMIFS(Таблица1[19],Таблица1[2],$D314)</f>
        <v>0</v>
      </c>
      <c r="AG314" s="59">
        <f t="shared" si="66"/>
        <v>1409.6999999999998</v>
      </c>
      <c r="AH314" s="59">
        <f t="shared" si="67"/>
        <v>1409.6999999999998</v>
      </c>
      <c r="AI314" s="60">
        <f>321.5-AM314</f>
        <v>321.5</v>
      </c>
      <c r="AJ314" s="60">
        <f t="shared" si="60"/>
        <v>321.5</v>
      </c>
      <c r="AK314" s="60">
        <f>SUMIFS(Таблица1[10],Таблица1[2],$D314)</f>
        <v>0</v>
      </c>
      <c r="AL314" s="60">
        <f>SUMIFS(Таблица1[11],Таблица1[2],$D314)</f>
        <v>0</v>
      </c>
      <c r="AM314" s="251">
        <v>0</v>
      </c>
      <c r="AN314" s="249">
        <f t="shared" si="61"/>
        <v>0</v>
      </c>
      <c r="AO314" s="249">
        <f>SUMIFS(Таблица1[12],Таблица1[2],$D314)</f>
        <v>0</v>
      </c>
      <c r="AP314" s="249">
        <f>SUMIFS(Таблица1[13],Таблица1[2],$D314)</f>
        <v>0</v>
      </c>
      <c r="AQ314" s="61">
        <v>337.4</v>
      </c>
      <c r="AR314" s="61">
        <f t="shared" si="62"/>
        <v>337.4</v>
      </c>
      <c r="AS314" s="60">
        <f>SUMIFS(Таблица1[14],Таблица1[2],$D314)</f>
        <v>0</v>
      </c>
      <c r="AT314" s="60">
        <f>SUMIFS(Таблица1[15],Таблица1[2],$D314)</f>
        <v>0</v>
      </c>
      <c r="AU314" s="61">
        <v>750.8</v>
      </c>
      <c r="AV314" s="61">
        <f t="shared" si="63"/>
        <v>750.8</v>
      </c>
      <c r="AW314" s="60">
        <f>SUMIFS(Таблица1[16],Таблица1[2],$D314)</f>
        <v>0</v>
      </c>
      <c r="AX314" s="60">
        <f>SUMIFS(Таблица1[17],Таблица1[2],$D314)</f>
        <v>0</v>
      </c>
      <c r="AY314" s="263"/>
      <c r="AZ314" s="264"/>
      <c r="BA314" s="296">
        <v>0</v>
      </c>
      <c r="BB314" s="296">
        <f t="shared" si="71"/>
        <v>0</v>
      </c>
      <c r="BC314" s="296">
        <v>0</v>
      </c>
      <c r="BD314" s="296">
        <v>0</v>
      </c>
      <c r="BE314" s="285"/>
      <c r="BF314" s="259">
        <v>2293</v>
      </c>
      <c r="BG314" s="260">
        <v>13873</v>
      </c>
      <c r="BH314" s="62" t="s">
        <v>940</v>
      </c>
      <c r="BI314" s="62" t="s">
        <v>935</v>
      </c>
      <c r="BJ314" s="62"/>
      <c r="BK314" s="267"/>
      <c r="BL314" s="267"/>
      <c r="BM314" s="267" t="s">
        <v>1649</v>
      </c>
      <c r="BN314" s="268"/>
      <c r="BO314" s="62">
        <v>13</v>
      </c>
      <c r="BP314" s="63">
        <v>28641</v>
      </c>
      <c r="BQ314" s="64" t="s">
        <v>1131</v>
      </c>
      <c r="BR314" s="372" t="s">
        <v>2747</v>
      </c>
      <c r="BS314" s="62"/>
      <c r="BT314" s="323"/>
      <c r="BU314" s="62"/>
      <c r="BV314" s="323"/>
      <c r="BW314" s="62"/>
      <c r="BX314" s="336"/>
      <c r="BY314" s="336"/>
    </row>
    <row r="315" spans="1:77" ht="13.15" hidden="1" customHeight="1" outlineLevel="1" x14ac:dyDescent="0.2">
      <c r="A315" s="50">
        <f t="shared" si="69"/>
        <v>310</v>
      </c>
      <c r="B315" s="51">
        <v>38</v>
      </c>
      <c r="C315" s="51">
        <v>58</v>
      </c>
      <c r="D315" s="18" t="s">
        <v>649</v>
      </c>
      <c r="E315" s="18">
        <v>14</v>
      </c>
      <c r="F315" s="18">
        <v>3</v>
      </c>
      <c r="G315" s="52">
        <v>1</v>
      </c>
      <c r="H315" s="237">
        <v>1</v>
      </c>
      <c r="I315" s="65">
        <v>1959</v>
      </c>
      <c r="J315" s="349">
        <v>4</v>
      </c>
      <c r="K315" s="346">
        <f t="shared" si="70"/>
        <v>5</v>
      </c>
      <c r="L315" s="346">
        <v>1</v>
      </c>
      <c r="M315" s="349">
        <v>5</v>
      </c>
      <c r="N315" s="255">
        <f t="shared" si="68"/>
        <v>0</v>
      </c>
      <c r="O315" s="310">
        <v>80</v>
      </c>
      <c r="P315" s="66">
        <v>2</v>
      </c>
      <c r="Q315" s="66"/>
      <c r="R315" s="66">
        <v>60</v>
      </c>
      <c r="S315" s="66">
        <v>20</v>
      </c>
      <c r="T315" s="66">
        <v>0</v>
      </c>
      <c r="U315" s="66">
        <v>0</v>
      </c>
      <c r="V315" s="66">
        <v>0</v>
      </c>
      <c r="W315" s="54">
        <v>0</v>
      </c>
      <c r="X315" s="55">
        <f>SUMIFS(Таблица3[Кол-во квартир],Таблица3[Адрес МКД],$D315)</f>
        <v>78</v>
      </c>
      <c r="Y315" s="56">
        <f>Z315+AB315+AG315+AN315</f>
        <v>4650.99</v>
      </c>
      <c r="Z315" s="253">
        <f>SUMIFS(Таблица3[Площадь жилая],Таблица3[Адрес МКД],$D315)</f>
        <v>2708.69</v>
      </c>
      <c r="AA315" s="261">
        <f>SUMIFS(Таблица3[Площадь нежилых помещений],Таблица3[Адрес МКД],$D315)</f>
        <v>288.5</v>
      </c>
      <c r="AB315" s="252">
        <f>SUMIFS(Таблица1[1],Таблица1[2],$D315)</f>
        <v>288.5</v>
      </c>
      <c r="AC315" s="57">
        <f t="shared" si="64"/>
        <v>288.5</v>
      </c>
      <c r="AD315" s="57">
        <f t="shared" si="65"/>
        <v>0</v>
      </c>
      <c r="AE315" s="58">
        <f>SUMIFS(Таблица1[8],Таблица1[2],$D315)+SUMIFS(Таблица1[18],Таблица1[2],$D315)</f>
        <v>84.5</v>
      </c>
      <c r="AF315" s="58">
        <f>SUMIFS(Таблица1[9],Таблица1[2],$D315)+SUMIFS(Таблица1[19],Таблица1[2],$D315)</f>
        <v>0</v>
      </c>
      <c r="AG315" s="59">
        <f>AJ315+AR315+AV315+AZ315+BB315</f>
        <v>1653.8</v>
      </c>
      <c r="AH315" s="59">
        <f>AJ315+AL315+AR315+AT315+AV315+AX315+BB315+BD315</f>
        <v>1653.8</v>
      </c>
      <c r="AI315" s="60">
        <f>667.3-AM315</f>
        <v>667.3</v>
      </c>
      <c r="AJ315" s="60">
        <f t="shared" si="60"/>
        <v>463.29999999999995</v>
      </c>
      <c r="AK315" s="60">
        <f>SUMIFS(Таблица1[10],Таблица1[2],$D315)</f>
        <v>204</v>
      </c>
      <c r="AL315" s="60">
        <f>SUMIFS(Таблица1[11],Таблица1[2],$D315)</f>
        <v>0</v>
      </c>
      <c r="AM315" s="251">
        <v>0</v>
      </c>
      <c r="AN315" s="249">
        <f t="shared" si="61"/>
        <v>0</v>
      </c>
      <c r="AO315" s="249">
        <f>SUMIFS(Таблица1[12],Таблица1[2],$D315)</f>
        <v>0</v>
      </c>
      <c r="AP315" s="249">
        <f>SUMIFS(Таблица1[13],Таблица1[2],$D315)</f>
        <v>0</v>
      </c>
      <c r="AQ315" s="61">
        <v>285</v>
      </c>
      <c r="AR315" s="61">
        <f t="shared" si="62"/>
        <v>285</v>
      </c>
      <c r="AS315" s="60">
        <f>SUMIFS(Таблица1[14],Таблица1[2],$D315)</f>
        <v>0</v>
      </c>
      <c r="AT315" s="60">
        <f>SUMIFS(Таблица1[15],Таблица1[2],$D315)</f>
        <v>0</v>
      </c>
      <c r="AU315" s="61">
        <v>905.5</v>
      </c>
      <c r="AV315" s="61">
        <f>AU315-AW315-AX315</f>
        <v>905.5</v>
      </c>
      <c r="AW315" s="60">
        <f>SUMIFS(Таблица1[16],Таблица1[2],$D315)</f>
        <v>0</v>
      </c>
      <c r="AX315" s="60">
        <f>SUMIFS(Таблица1[17],Таблица1[2],$D315)</f>
        <v>0</v>
      </c>
      <c r="AY315" s="263"/>
      <c r="AZ315" s="264"/>
      <c r="BA315" s="296">
        <v>24.1</v>
      </c>
      <c r="BB315" s="296">
        <f t="shared" si="71"/>
        <v>0</v>
      </c>
      <c r="BC315" s="296">
        <f>Нежилые!I1836</f>
        <v>24.1</v>
      </c>
      <c r="BD315" s="296">
        <v>0</v>
      </c>
      <c r="BE315" s="285"/>
      <c r="BF315" s="259">
        <v>2797</v>
      </c>
      <c r="BG315" s="260">
        <f>12038+281</f>
        <v>12319</v>
      </c>
      <c r="BH315" s="62" t="s">
        <v>940</v>
      </c>
      <c r="BI315" s="62" t="s">
        <v>935</v>
      </c>
      <c r="BJ315" s="62"/>
      <c r="BK315" s="267"/>
      <c r="BL315" s="267" t="s">
        <v>1649</v>
      </c>
      <c r="BM315" s="267"/>
      <c r="BN315" s="268"/>
      <c r="BO315" s="62">
        <v>37</v>
      </c>
      <c r="BP315" s="63">
        <v>44118</v>
      </c>
      <c r="BQ315" s="64" t="s">
        <v>1131</v>
      </c>
      <c r="BR315" s="372" t="s">
        <v>2747</v>
      </c>
      <c r="BS315" s="62"/>
      <c r="BT315" s="323"/>
      <c r="BU315" s="62"/>
      <c r="BV315" s="323"/>
      <c r="BW315" s="62"/>
      <c r="BX315" s="336"/>
      <c r="BY315" s="336"/>
    </row>
    <row r="316" spans="1:77" ht="13.15" hidden="1" customHeight="1" outlineLevel="1" x14ac:dyDescent="0.2">
      <c r="A316" s="50">
        <f t="shared" si="69"/>
        <v>311</v>
      </c>
      <c r="B316" s="51">
        <v>39</v>
      </c>
      <c r="C316" s="51">
        <v>59</v>
      </c>
      <c r="D316" s="18" t="s">
        <v>660</v>
      </c>
      <c r="E316" s="18">
        <v>14</v>
      </c>
      <c r="F316" s="18">
        <v>3</v>
      </c>
      <c r="G316" s="52">
        <v>1</v>
      </c>
      <c r="H316" s="237">
        <v>1</v>
      </c>
      <c r="I316" s="65">
        <v>1960</v>
      </c>
      <c r="J316" s="349">
        <v>5</v>
      </c>
      <c r="K316" s="346">
        <f t="shared" si="70"/>
        <v>6</v>
      </c>
      <c r="L316" s="346">
        <v>1</v>
      </c>
      <c r="M316" s="349">
        <v>5</v>
      </c>
      <c r="N316" s="255">
        <f t="shared" si="68"/>
        <v>0</v>
      </c>
      <c r="O316" s="310">
        <v>100</v>
      </c>
      <c r="P316" s="66">
        <v>0</v>
      </c>
      <c r="Q316" s="66"/>
      <c r="R316" s="66">
        <v>75</v>
      </c>
      <c r="S316" s="66">
        <v>25</v>
      </c>
      <c r="T316" s="66">
        <v>0</v>
      </c>
      <c r="U316" s="66">
        <v>0</v>
      </c>
      <c r="V316" s="66">
        <v>0</v>
      </c>
      <c r="W316" s="54">
        <v>0</v>
      </c>
      <c r="X316" s="55">
        <f>SUMIFS(Таблица3[Кол-во квартир],Таблица3[Адрес МКД],$D316)</f>
        <v>100</v>
      </c>
      <c r="Y316" s="56">
        <f>Z316+AB316+AG316+AN316</f>
        <v>5368.9</v>
      </c>
      <c r="Z316" s="253">
        <f>SUMIFS(Таблица3[Площадь жилая],Таблица3[Адрес МКД],$D316)</f>
        <v>3484.7999999999997</v>
      </c>
      <c r="AA316" s="261">
        <f>SUMIFS(Таблица3[Площадь нежилых помещений],Таблица3[Адрес МКД],$D316)</f>
        <v>134.4</v>
      </c>
      <c r="AB316" s="252">
        <f>SUMIFS(Таблица1[1],Таблица1[2],$D316)</f>
        <v>134.4</v>
      </c>
      <c r="AC316" s="57">
        <f t="shared" si="64"/>
        <v>134.4</v>
      </c>
      <c r="AD316" s="57">
        <f t="shared" si="65"/>
        <v>0</v>
      </c>
      <c r="AE316" s="58">
        <f>SUMIFS(Таблица1[8],Таблица1[2],$D316)+SUMIFS(Таблица1[18],Таблица1[2],$D316)</f>
        <v>0</v>
      </c>
      <c r="AF316" s="58">
        <f>SUMIFS(Таблица1[9],Таблица1[2],$D316)+SUMIFS(Таблица1[19],Таблица1[2],$D316)</f>
        <v>0</v>
      </c>
      <c r="AG316" s="59">
        <f t="shared" si="66"/>
        <v>1749.7</v>
      </c>
      <c r="AH316" s="59">
        <f t="shared" si="67"/>
        <v>1749.7</v>
      </c>
      <c r="AI316" s="60">
        <f>689.1-AM316</f>
        <v>689.1</v>
      </c>
      <c r="AJ316" s="60">
        <f t="shared" si="60"/>
        <v>554.70000000000005</v>
      </c>
      <c r="AK316" s="60">
        <f>SUMIFS(Таблица1[10],Таблица1[2],$D316)</f>
        <v>134.4</v>
      </c>
      <c r="AL316" s="60">
        <f>SUMIFS(Таблица1[11],Таблица1[2],$D316)</f>
        <v>0</v>
      </c>
      <c r="AM316" s="251">
        <v>0</v>
      </c>
      <c r="AN316" s="249">
        <f t="shared" si="61"/>
        <v>0</v>
      </c>
      <c r="AO316" s="249">
        <f>SUMIFS(Таблица1[12],Таблица1[2],$D316)</f>
        <v>0</v>
      </c>
      <c r="AP316" s="249">
        <f>SUMIFS(Таблица1[13],Таблица1[2],$D316)</f>
        <v>0</v>
      </c>
      <c r="AQ316" s="61">
        <v>384.5</v>
      </c>
      <c r="AR316" s="61">
        <f t="shared" si="62"/>
        <v>384.5</v>
      </c>
      <c r="AS316" s="60">
        <f>SUMIFS(Таблица1[14],Таблица1[2],$D316)</f>
        <v>0</v>
      </c>
      <c r="AT316" s="60">
        <f>SUMIFS(Таблица1[15],Таблица1[2],$D316)</f>
        <v>0</v>
      </c>
      <c r="AU316" s="61">
        <v>810.5</v>
      </c>
      <c r="AV316" s="61">
        <f t="shared" si="63"/>
        <v>810.5</v>
      </c>
      <c r="AW316" s="60">
        <f>SUMIFS(Таблица1[16],Таблица1[2],$D316)</f>
        <v>0</v>
      </c>
      <c r="AX316" s="60">
        <f>SUMIFS(Таблица1[17],Таблица1[2],$D316)</f>
        <v>0</v>
      </c>
      <c r="AY316" s="263"/>
      <c r="AZ316" s="264"/>
      <c r="BA316" s="296">
        <v>0</v>
      </c>
      <c r="BB316" s="296">
        <f t="shared" si="71"/>
        <v>0</v>
      </c>
      <c r="BC316" s="296">
        <v>0</v>
      </c>
      <c r="BD316" s="296">
        <v>0</v>
      </c>
      <c r="BE316" s="285"/>
      <c r="BF316" s="259">
        <v>2818</v>
      </c>
      <c r="BG316" s="260">
        <v>14960</v>
      </c>
      <c r="BH316" s="62" t="s">
        <v>940</v>
      </c>
      <c r="BI316" s="62" t="s">
        <v>935</v>
      </c>
      <c r="BJ316" s="62"/>
      <c r="BK316" s="267"/>
      <c r="BL316" s="267" t="s">
        <v>1649</v>
      </c>
      <c r="BM316" s="267"/>
      <c r="BN316" s="268"/>
      <c r="BO316" s="62">
        <v>16</v>
      </c>
      <c r="BP316" s="63">
        <v>28944</v>
      </c>
      <c r="BQ316" s="64" t="s">
        <v>1131</v>
      </c>
      <c r="BR316" s="372" t="s">
        <v>2747</v>
      </c>
      <c r="BS316" s="62"/>
      <c r="BT316" s="323"/>
      <c r="BU316" s="62"/>
      <c r="BV316" s="323"/>
      <c r="BW316" s="62"/>
      <c r="BX316" s="336"/>
      <c r="BY316" s="336"/>
    </row>
    <row r="317" spans="1:77" ht="13.15" hidden="1" customHeight="1" outlineLevel="1" x14ac:dyDescent="0.2">
      <c r="A317" s="50">
        <f t="shared" si="69"/>
        <v>312</v>
      </c>
      <c r="B317" s="51">
        <v>47</v>
      </c>
      <c r="C317" s="51">
        <v>60</v>
      </c>
      <c r="D317" s="18" t="s">
        <v>706</v>
      </c>
      <c r="E317" s="18">
        <v>16</v>
      </c>
      <c r="F317" s="18">
        <v>3</v>
      </c>
      <c r="G317" s="52">
        <v>1</v>
      </c>
      <c r="H317" s="237">
        <v>1</v>
      </c>
      <c r="I317" s="65">
        <v>1960</v>
      </c>
      <c r="J317" s="349">
        <v>5</v>
      </c>
      <c r="K317" s="346">
        <f t="shared" si="70"/>
        <v>6</v>
      </c>
      <c r="L317" s="346">
        <v>1</v>
      </c>
      <c r="M317" s="349">
        <v>5</v>
      </c>
      <c r="N317" s="255">
        <f t="shared" si="68"/>
        <v>0</v>
      </c>
      <c r="O317" s="310">
        <v>100</v>
      </c>
      <c r="P317" s="66">
        <v>2</v>
      </c>
      <c r="Q317" s="66"/>
      <c r="R317" s="66">
        <v>75</v>
      </c>
      <c r="S317" s="66">
        <v>25</v>
      </c>
      <c r="T317" s="66">
        <v>0</v>
      </c>
      <c r="U317" s="66">
        <v>0</v>
      </c>
      <c r="V317" s="66">
        <v>0</v>
      </c>
      <c r="W317" s="54">
        <v>0</v>
      </c>
      <c r="X317" s="55">
        <f>SUMIFS(Таблица3[Кол-во квартир],Таблица3[Адрес МКД],$D317)</f>
        <v>98</v>
      </c>
      <c r="Y317" s="56">
        <f>Z317+AB317+AG317+AM317</f>
        <v>5330.1</v>
      </c>
      <c r="Z317" s="253">
        <f>SUMIFS(Таблица3[Площадь жилая],Таблица3[Адрес МКД],$D317)</f>
        <v>3407.6</v>
      </c>
      <c r="AA317" s="261">
        <f>SUMIFS(Таблица3[Площадь нежилых помещений],Таблица3[Адрес МКД],$D317)</f>
        <v>292.89999999999998</v>
      </c>
      <c r="AB317" s="252">
        <f>SUMIFS(Таблица1[1],Таблица1[2],$D317)</f>
        <v>292.89999999999998</v>
      </c>
      <c r="AC317" s="57">
        <f t="shared" si="64"/>
        <v>292.89999999999998</v>
      </c>
      <c r="AD317" s="57">
        <f t="shared" si="65"/>
        <v>0</v>
      </c>
      <c r="AE317" s="58">
        <f>SUMIFS(Таблица1[8],Таблица1[2],$D317)+SUMIFS(Таблица1[18],Таблица1[2],$D317)</f>
        <v>75.400000000000006</v>
      </c>
      <c r="AF317" s="58">
        <f>SUMIFS(Таблица1[9],Таблица1[2],$D317)+SUMIFS(Таблица1[19],Таблица1[2],$D317)</f>
        <v>0</v>
      </c>
      <c r="AG317" s="59">
        <f t="shared" si="66"/>
        <v>1629.6</v>
      </c>
      <c r="AH317" s="59">
        <f t="shared" si="67"/>
        <v>1629.6</v>
      </c>
      <c r="AI317" s="60">
        <f>644.5-AM317</f>
        <v>644.5</v>
      </c>
      <c r="AJ317" s="60">
        <f t="shared" si="60"/>
        <v>427</v>
      </c>
      <c r="AK317" s="60">
        <f>SUMIFS(Таблица1[10],Таблица1[2],$D317)</f>
        <v>217.5</v>
      </c>
      <c r="AL317" s="60">
        <f>SUMIFS(Таблица1[11],Таблица1[2],$D317)</f>
        <v>0</v>
      </c>
      <c r="AM317" s="251">
        <v>0</v>
      </c>
      <c r="AN317" s="249">
        <f t="shared" si="61"/>
        <v>0</v>
      </c>
      <c r="AO317" s="249">
        <f>SUMIFS(Таблица1[12],Таблица1[2],$D317)</f>
        <v>0</v>
      </c>
      <c r="AP317" s="249">
        <f>SUMIFS(Таблица1[13],Таблица1[2],$D317)</f>
        <v>0</v>
      </c>
      <c r="AQ317" s="61">
        <v>358.8</v>
      </c>
      <c r="AR317" s="61">
        <f t="shared" si="62"/>
        <v>358.8</v>
      </c>
      <c r="AS317" s="60">
        <f>SUMIFS(Таблица1[14],Таблица1[2],$D317)</f>
        <v>0</v>
      </c>
      <c r="AT317" s="60">
        <f>SUMIFS(Таблица1[15],Таблица1[2],$D317)</f>
        <v>0</v>
      </c>
      <c r="AU317" s="61">
        <v>843.8</v>
      </c>
      <c r="AV317" s="61">
        <f t="shared" si="63"/>
        <v>843.8</v>
      </c>
      <c r="AW317" s="60">
        <f>SUMIFS(Таблица1[16],Таблица1[2],$D317)</f>
        <v>0</v>
      </c>
      <c r="AX317" s="60">
        <f>SUMIFS(Таблица1[17],Таблица1[2],$D317)</f>
        <v>0</v>
      </c>
      <c r="AY317" s="263">
        <f>Нежилые!G1843</f>
        <v>82.4</v>
      </c>
      <c r="AZ317" s="264"/>
      <c r="BA317" s="296">
        <v>0</v>
      </c>
      <c r="BB317" s="296">
        <f t="shared" si="71"/>
        <v>0</v>
      </c>
      <c r="BC317" s="296">
        <v>0</v>
      </c>
      <c r="BD317" s="296">
        <v>0</v>
      </c>
      <c r="BE317" s="285"/>
      <c r="BF317" s="259">
        <v>2453</v>
      </c>
      <c r="BG317" s="260">
        <v>14960</v>
      </c>
      <c r="BH317" s="62" t="s">
        <v>940</v>
      </c>
      <c r="BI317" s="62" t="s">
        <v>935</v>
      </c>
      <c r="BJ317" s="62"/>
      <c r="BK317" s="267"/>
      <c r="BL317" s="267" t="s">
        <v>1649</v>
      </c>
      <c r="BM317" s="267"/>
      <c r="BN317" s="268"/>
      <c r="BO317" s="62">
        <v>17</v>
      </c>
      <c r="BP317" s="63">
        <v>28944</v>
      </c>
      <c r="BQ317" s="64" t="s">
        <v>1131</v>
      </c>
      <c r="BR317" s="372" t="s">
        <v>2747</v>
      </c>
      <c r="BS317" s="62"/>
      <c r="BT317" s="323"/>
      <c r="BU317" s="62"/>
      <c r="BV317" s="323"/>
      <c r="BW317" s="62"/>
      <c r="BX317" s="336"/>
      <c r="BY317" s="336"/>
    </row>
    <row r="318" spans="1:77" ht="13.15" hidden="1" customHeight="1" outlineLevel="1" x14ac:dyDescent="0.2">
      <c r="A318" s="50">
        <f t="shared" si="69"/>
        <v>313</v>
      </c>
      <c r="B318" s="51">
        <v>48</v>
      </c>
      <c r="C318" s="51">
        <v>61</v>
      </c>
      <c r="D318" s="18" t="s">
        <v>707</v>
      </c>
      <c r="E318" s="18">
        <v>16</v>
      </c>
      <c r="F318" s="18">
        <v>3</v>
      </c>
      <c r="G318" s="52">
        <v>2</v>
      </c>
      <c r="H318" s="237">
        <v>2</v>
      </c>
      <c r="I318" s="65">
        <v>1960</v>
      </c>
      <c r="J318" s="349">
        <v>5</v>
      </c>
      <c r="K318" s="346">
        <f t="shared" si="70"/>
        <v>6</v>
      </c>
      <c r="L318" s="346">
        <v>1</v>
      </c>
      <c r="M318" s="349">
        <v>8</v>
      </c>
      <c r="N318" s="255">
        <f t="shared" si="68"/>
        <v>0</v>
      </c>
      <c r="O318" s="310">
        <v>159</v>
      </c>
      <c r="P318" s="327">
        <v>15</v>
      </c>
      <c r="Q318" s="66"/>
      <c r="R318" s="66">
        <v>39</v>
      </c>
      <c r="S318" s="66">
        <v>119</v>
      </c>
      <c r="T318" s="66">
        <v>1</v>
      </c>
      <c r="U318" s="66">
        <v>0</v>
      </c>
      <c r="V318" s="66">
        <v>0</v>
      </c>
      <c r="W318" s="54">
        <v>0</v>
      </c>
      <c r="X318" s="55">
        <f>SUMIFS(Таблица3[Кол-во квартир],Таблица3[Адрес МКД],$D318)</f>
        <v>144</v>
      </c>
      <c r="Y318" s="56">
        <f t="shared" ref="Y318:Y336" si="73">Z318+AB318+AG318+AN318</f>
        <v>9769.2000000000007</v>
      </c>
      <c r="Z318" s="253">
        <f>SUMIFS(Таблица3[Площадь жилая],Таблица3[Адрес МКД],$D318)</f>
        <v>5791</v>
      </c>
      <c r="AA318" s="261">
        <f>SUMIFS(Таблица3[Площадь нежилых помещений],Таблица3[Адрес МКД],$D318)</f>
        <v>634.6</v>
      </c>
      <c r="AB318" s="252">
        <f>SUMIFS(Таблица1[1],Таблица1[2],$D318)</f>
        <v>634.6</v>
      </c>
      <c r="AC318" s="57">
        <f t="shared" si="64"/>
        <v>634.6</v>
      </c>
      <c r="AD318" s="57">
        <f t="shared" si="65"/>
        <v>0</v>
      </c>
      <c r="AE318" s="58">
        <f>SUMIFS(Таблица1[8],Таблица1[2],$D318)+SUMIFS(Таблица1[18],Таблица1[2],$D318)</f>
        <v>634.6</v>
      </c>
      <c r="AF318" s="58">
        <f>SUMIFS(Таблица1[9],Таблица1[2],$D318)+SUMIFS(Таблица1[19],Таблица1[2],$D318)</f>
        <v>0</v>
      </c>
      <c r="AG318" s="59">
        <f t="shared" si="66"/>
        <v>3343.6</v>
      </c>
      <c r="AH318" s="59">
        <f t="shared" si="67"/>
        <v>3343.6</v>
      </c>
      <c r="AI318" s="60">
        <f>1292.3-AM318</f>
        <v>1292.3</v>
      </c>
      <c r="AJ318" s="60">
        <f t="shared" si="60"/>
        <v>1292.3</v>
      </c>
      <c r="AK318" s="60">
        <f>SUMIFS(Таблица1[10],Таблица1[2],$D318)</f>
        <v>0</v>
      </c>
      <c r="AL318" s="60">
        <f>SUMIFS(Таблица1[11],Таблица1[2],$D318)</f>
        <v>0</v>
      </c>
      <c r="AM318" s="251">
        <v>0</v>
      </c>
      <c r="AN318" s="249">
        <f t="shared" si="61"/>
        <v>0</v>
      </c>
      <c r="AO318" s="249">
        <f>SUMIFS(Таблица1[12],Таблица1[2],$D318)</f>
        <v>0</v>
      </c>
      <c r="AP318" s="249">
        <f>SUMIFS(Таблица1[13],Таблица1[2],$D318)</f>
        <v>0</v>
      </c>
      <c r="AQ318" s="61">
        <f>491.3</f>
        <v>491.3</v>
      </c>
      <c r="AR318" s="61">
        <f t="shared" si="62"/>
        <v>491.3</v>
      </c>
      <c r="AS318" s="60">
        <f>SUMIFS(Таблица1[14],Таблица1[2],$D318)</f>
        <v>0</v>
      </c>
      <c r="AT318" s="60">
        <f>SUMIFS(Таблица1[15],Таблица1[2],$D318)</f>
        <v>0</v>
      </c>
      <c r="AU318" s="61">
        <v>1560</v>
      </c>
      <c r="AV318" s="61">
        <f t="shared" si="63"/>
        <v>1560</v>
      </c>
      <c r="AW318" s="60">
        <f>SUMIFS(Таблица1[16],Таблица1[2],$D318)</f>
        <v>0</v>
      </c>
      <c r="AX318" s="60">
        <f>SUMIFS(Таблица1[17],Таблица1[2],$D318)</f>
        <v>0</v>
      </c>
      <c r="AY318" s="263"/>
      <c r="AZ318" s="264"/>
      <c r="BA318" s="296">
        <v>0</v>
      </c>
      <c r="BB318" s="296">
        <f t="shared" si="71"/>
        <v>0</v>
      </c>
      <c r="BC318" s="296">
        <v>0</v>
      </c>
      <c r="BD318" s="296">
        <v>0</v>
      </c>
      <c r="BE318" s="285"/>
      <c r="BF318" s="259">
        <v>4279</v>
      </c>
      <c r="BG318" s="260">
        <v>24998</v>
      </c>
      <c r="BH318" s="62" t="s">
        <v>943</v>
      </c>
      <c r="BI318" s="62" t="s">
        <v>935</v>
      </c>
      <c r="BJ318" s="62"/>
      <c r="BK318" s="267"/>
      <c r="BL318" s="267" t="s">
        <v>1649</v>
      </c>
      <c r="BM318" s="267"/>
      <c r="BN318" s="268"/>
      <c r="BO318" s="62">
        <v>17</v>
      </c>
      <c r="BP318" s="63">
        <v>28944</v>
      </c>
      <c r="BQ318" s="64" t="s">
        <v>1131</v>
      </c>
      <c r="BR318" s="372" t="s">
        <v>2747</v>
      </c>
      <c r="BS318" s="62"/>
      <c r="BT318" s="323"/>
      <c r="BU318" s="62"/>
      <c r="BV318" s="323"/>
      <c r="BW318" s="62"/>
      <c r="BX318" s="336"/>
      <c r="BY318" s="336"/>
    </row>
    <row r="319" spans="1:77" ht="13.15" hidden="1" customHeight="1" outlineLevel="1" x14ac:dyDescent="0.2">
      <c r="A319" s="50">
        <f t="shared" si="69"/>
        <v>314</v>
      </c>
      <c r="B319" s="51">
        <v>49</v>
      </c>
      <c r="C319" s="51">
        <v>62</v>
      </c>
      <c r="D319" s="18" t="s">
        <v>708</v>
      </c>
      <c r="E319" s="18">
        <v>16</v>
      </c>
      <c r="F319" s="18">
        <v>3</v>
      </c>
      <c r="G319" s="52">
        <v>1</v>
      </c>
      <c r="H319" s="237">
        <v>1</v>
      </c>
      <c r="I319" s="65">
        <v>1960</v>
      </c>
      <c r="J319" s="349">
        <v>5</v>
      </c>
      <c r="K319" s="346">
        <f t="shared" si="70"/>
        <v>6</v>
      </c>
      <c r="L319" s="346">
        <v>1</v>
      </c>
      <c r="M319" s="349">
        <v>5</v>
      </c>
      <c r="N319" s="255">
        <f t="shared" si="68"/>
        <v>0</v>
      </c>
      <c r="O319" s="310">
        <v>100</v>
      </c>
      <c r="P319" s="66">
        <v>0</v>
      </c>
      <c r="Q319" s="66"/>
      <c r="R319" s="66">
        <v>75</v>
      </c>
      <c r="S319" s="66">
        <v>25</v>
      </c>
      <c r="T319" s="66">
        <v>0</v>
      </c>
      <c r="U319" s="66">
        <v>0</v>
      </c>
      <c r="V319" s="66">
        <v>0</v>
      </c>
      <c r="W319" s="54">
        <v>0</v>
      </c>
      <c r="X319" s="55">
        <f>SUMIFS(Таблица3[Кол-во квартир],Таблица3[Адрес МКД],$D319)</f>
        <v>100</v>
      </c>
      <c r="Y319" s="56">
        <f t="shared" si="73"/>
        <v>5419.34</v>
      </c>
      <c r="Z319" s="253">
        <f>SUMIFS(Таблица3[Площадь жилая],Таблица3[Адрес МКД],$D319)</f>
        <v>3477.44</v>
      </c>
      <c r="AA319" s="261">
        <f>SUMIFS(Таблица3[Площадь нежилых помещений],Таблица3[Адрес МКД],$D319)</f>
        <v>35</v>
      </c>
      <c r="AB319" s="252">
        <f>SUMIFS(Таблица1[1],Таблица1[2],$D319)</f>
        <v>35</v>
      </c>
      <c r="AC319" s="57">
        <f t="shared" si="64"/>
        <v>35</v>
      </c>
      <c r="AD319" s="57">
        <f t="shared" si="65"/>
        <v>0</v>
      </c>
      <c r="AE319" s="58">
        <f>SUMIFS(Таблица1[8],Таблица1[2],$D319)+SUMIFS(Таблица1[18],Таблица1[2],$D319)</f>
        <v>35</v>
      </c>
      <c r="AF319" s="58">
        <f>SUMIFS(Таблица1[9],Таблица1[2],$D319)+SUMIFS(Таблица1[19],Таблица1[2],$D319)</f>
        <v>0</v>
      </c>
      <c r="AG319" s="59">
        <f t="shared" si="66"/>
        <v>1906.9</v>
      </c>
      <c r="AH319" s="59">
        <f t="shared" si="67"/>
        <v>1906.9</v>
      </c>
      <c r="AI319" s="60">
        <f>696-AM319</f>
        <v>696</v>
      </c>
      <c r="AJ319" s="60">
        <f t="shared" si="60"/>
        <v>696</v>
      </c>
      <c r="AK319" s="60">
        <f>SUMIFS(Таблица1[10],Таблица1[2],$D319)</f>
        <v>0</v>
      </c>
      <c r="AL319" s="60">
        <f>SUMIFS(Таблица1[11],Таблица1[2],$D319)</f>
        <v>0</v>
      </c>
      <c r="AM319" s="251">
        <v>0</v>
      </c>
      <c r="AN319" s="249">
        <f t="shared" si="61"/>
        <v>0</v>
      </c>
      <c r="AO319" s="249">
        <f>SUMIFS(Таблица1[12],Таблица1[2],$D319)</f>
        <v>0</v>
      </c>
      <c r="AP319" s="249">
        <f>SUMIFS(Таблица1[13],Таблица1[2],$D319)</f>
        <v>0</v>
      </c>
      <c r="AQ319" s="61">
        <v>367.4</v>
      </c>
      <c r="AR319" s="61">
        <f t="shared" si="62"/>
        <v>367.4</v>
      </c>
      <c r="AS319" s="60">
        <f>SUMIFS(Таблица1[14],Таблица1[2],$D319)</f>
        <v>0</v>
      </c>
      <c r="AT319" s="60">
        <f>SUMIFS(Таблица1[15],Таблица1[2],$D319)</f>
        <v>0</v>
      </c>
      <c r="AU319" s="61">
        <v>843.5</v>
      </c>
      <c r="AV319" s="61">
        <f t="shared" si="63"/>
        <v>843.5</v>
      </c>
      <c r="AW319" s="60">
        <f>SUMIFS(Таблица1[16],Таблица1[2],$D319)</f>
        <v>0</v>
      </c>
      <c r="AX319" s="60">
        <f>SUMIFS(Таблица1[17],Таблица1[2],$D319)</f>
        <v>0</v>
      </c>
      <c r="AY319" s="263"/>
      <c r="AZ319" s="264"/>
      <c r="BA319" s="296">
        <v>0</v>
      </c>
      <c r="BB319" s="296">
        <f t="shared" si="71"/>
        <v>0</v>
      </c>
      <c r="BC319" s="296">
        <v>0</v>
      </c>
      <c r="BD319" s="296">
        <v>0</v>
      </c>
      <c r="BE319" s="285"/>
      <c r="BF319" s="259">
        <v>1978</v>
      </c>
      <c r="BG319" s="260">
        <f>14955+191</f>
        <v>15146</v>
      </c>
      <c r="BH319" s="62" t="s">
        <v>940</v>
      </c>
      <c r="BI319" s="62" t="s">
        <v>935</v>
      </c>
      <c r="BJ319" s="62"/>
      <c r="BK319" s="267"/>
      <c r="BL319" s="267" t="s">
        <v>1649</v>
      </c>
      <c r="BM319" s="267"/>
      <c r="BN319" s="268"/>
      <c r="BO319" s="62">
        <v>35</v>
      </c>
      <c r="BP319" s="63">
        <v>41387</v>
      </c>
      <c r="BQ319" s="64" t="s">
        <v>1131</v>
      </c>
      <c r="BR319" s="372" t="s">
        <v>2747</v>
      </c>
      <c r="BS319" s="62"/>
      <c r="BT319" s="323"/>
      <c r="BU319" s="62"/>
      <c r="BV319" s="323"/>
      <c r="BW319" s="62"/>
      <c r="BX319" s="336"/>
      <c r="BY319" s="336"/>
    </row>
    <row r="320" spans="1:77" ht="13.15" hidden="1" customHeight="1" outlineLevel="1" x14ac:dyDescent="0.2">
      <c r="A320" s="50">
        <f t="shared" si="69"/>
        <v>315</v>
      </c>
      <c r="B320" s="51">
        <v>20</v>
      </c>
      <c r="C320" s="51">
        <v>63</v>
      </c>
      <c r="D320" s="18" t="s">
        <v>637</v>
      </c>
      <c r="E320" s="18">
        <v>14</v>
      </c>
      <c r="F320" s="18">
        <v>3</v>
      </c>
      <c r="G320" s="52">
        <v>1</v>
      </c>
      <c r="H320" s="237">
        <v>1</v>
      </c>
      <c r="I320" s="65">
        <v>1957</v>
      </c>
      <c r="J320" s="349">
        <v>4</v>
      </c>
      <c r="K320" s="346">
        <f t="shared" si="70"/>
        <v>5</v>
      </c>
      <c r="L320" s="346">
        <v>1</v>
      </c>
      <c r="M320" s="349">
        <v>2</v>
      </c>
      <c r="N320" s="255">
        <f t="shared" si="68"/>
        <v>0</v>
      </c>
      <c r="O320" s="310">
        <v>8</v>
      </c>
      <c r="P320" s="66">
        <v>0</v>
      </c>
      <c r="Q320" s="66"/>
      <c r="R320" s="66">
        <v>0</v>
      </c>
      <c r="S320" s="66">
        <v>2</v>
      </c>
      <c r="T320" s="66">
        <v>3</v>
      </c>
      <c r="U320" s="66">
        <v>3</v>
      </c>
      <c r="V320" s="66">
        <v>0</v>
      </c>
      <c r="W320" s="54">
        <v>0</v>
      </c>
      <c r="X320" s="55">
        <f>SUMIFS(Таблица3[Кол-во квартир],Таблица3[Адрес МКД],$D320)</f>
        <v>8</v>
      </c>
      <c r="Y320" s="56">
        <f t="shared" si="73"/>
        <v>1021.1</v>
      </c>
      <c r="Z320" s="253">
        <f>SUMIFS(Таблица3[Площадь жилая],Таблица3[Адрес МКД],$D320)</f>
        <v>607.5</v>
      </c>
      <c r="AA320" s="261">
        <f>SUMIFS(Таблица3[Площадь нежилых помещений],Таблица3[Адрес МКД],$D320)</f>
        <v>0</v>
      </c>
      <c r="AB320" s="252">
        <f>SUMIFS(Таблица1[1],Таблица1[2],$D320)</f>
        <v>0</v>
      </c>
      <c r="AC320" s="57">
        <f t="shared" si="64"/>
        <v>0</v>
      </c>
      <c r="AD320" s="57">
        <f t="shared" si="65"/>
        <v>0</v>
      </c>
      <c r="AE320" s="58">
        <f>SUMIFS(Таблица1[8],Таблица1[2],$D320)+SUMIFS(Таблица1[18],Таблица1[2],$D320)</f>
        <v>0</v>
      </c>
      <c r="AF320" s="58">
        <f>SUMIFS(Таблица1[9],Таблица1[2],$D320)+SUMIFS(Таблица1[19],Таблица1[2],$D320)</f>
        <v>0</v>
      </c>
      <c r="AG320" s="59">
        <f t="shared" si="66"/>
        <v>413.6</v>
      </c>
      <c r="AH320" s="59">
        <f t="shared" si="67"/>
        <v>413.6</v>
      </c>
      <c r="AI320" s="60">
        <f>92.9-AM320</f>
        <v>92.9</v>
      </c>
      <c r="AJ320" s="60">
        <f t="shared" si="60"/>
        <v>92.9</v>
      </c>
      <c r="AK320" s="60">
        <f>SUMIFS(Таблица1[10],Таблица1[2],$D320)</f>
        <v>0</v>
      </c>
      <c r="AL320" s="60">
        <f>SUMIFS(Таблица1[11],Таблица1[2],$D320)</f>
        <v>0</v>
      </c>
      <c r="AM320" s="251">
        <v>0</v>
      </c>
      <c r="AN320" s="249">
        <f t="shared" si="61"/>
        <v>0</v>
      </c>
      <c r="AO320" s="249">
        <f>SUMIFS(Таблица1[12],Таблица1[2],$D320)</f>
        <v>0</v>
      </c>
      <c r="AP320" s="249">
        <f>SUMIFS(Таблица1[13],Таблица1[2],$D320)</f>
        <v>0</v>
      </c>
      <c r="AQ320" s="61">
        <v>110.5</v>
      </c>
      <c r="AR320" s="61">
        <f t="shared" si="62"/>
        <v>110.5</v>
      </c>
      <c r="AS320" s="60">
        <f>SUMIFS(Таблица1[14],Таблица1[2],$D320)</f>
        <v>0</v>
      </c>
      <c r="AT320" s="60">
        <f>SUMIFS(Таблица1[15],Таблица1[2],$D320)</f>
        <v>0</v>
      </c>
      <c r="AU320" s="61">
        <v>210.2</v>
      </c>
      <c r="AV320" s="61">
        <f t="shared" si="63"/>
        <v>210.2</v>
      </c>
      <c r="AW320" s="60">
        <f>SUMIFS(Таблица1[16],Таблица1[2],$D320)</f>
        <v>0</v>
      </c>
      <c r="AX320" s="60">
        <f>SUMIFS(Таблица1[17],Таблица1[2],$D320)</f>
        <v>0</v>
      </c>
      <c r="AY320" s="263"/>
      <c r="AZ320" s="264"/>
      <c r="BA320" s="296">
        <v>0</v>
      </c>
      <c r="BB320" s="296">
        <f t="shared" si="71"/>
        <v>0</v>
      </c>
      <c r="BC320" s="296">
        <v>0</v>
      </c>
      <c r="BD320" s="296">
        <v>0</v>
      </c>
      <c r="BE320" s="285"/>
      <c r="BF320" s="259">
        <v>612</v>
      </c>
      <c r="BG320" s="260">
        <v>3046</v>
      </c>
      <c r="BH320" s="62" t="s">
        <v>936</v>
      </c>
      <c r="BI320" s="62" t="s">
        <v>935</v>
      </c>
      <c r="BJ320" s="62"/>
      <c r="BK320" s="267"/>
      <c r="BL320" s="267"/>
      <c r="BM320" s="267" t="s">
        <v>1649</v>
      </c>
      <c r="BN320" s="268"/>
      <c r="BO320" s="62">
        <v>25</v>
      </c>
      <c r="BP320" s="63">
        <v>32114</v>
      </c>
      <c r="BQ320" s="64" t="s">
        <v>1131</v>
      </c>
      <c r="BR320" s="372" t="s">
        <v>2747</v>
      </c>
      <c r="BS320" s="62"/>
      <c r="BT320" s="323"/>
      <c r="BU320" s="62"/>
      <c r="BV320" s="323"/>
      <c r="BW320" s="62"/>
      <c r="BX320" s="336"/>
      <c r="BY320" s="336"/>
    </row>
    <row r="321" spans="1:77" ht="13.15" hidden="1" customHeight="1" outlineLevel="1" x14ac:dyDescent="0.2">
      <c r="A321" s="50">
        <f t="shared" si="69"/>
        <v>316</v>
      </c>
      <c r="B321" s="51">
        <v>50</v>
      </c>
      <c r="C321" s="51">
        <v>64</v>
      </c>
      <c r="D321" s="18" t="s">
        <v>709</v>
      </c>
      <c r="E321" s="18">
        <v>16</v>
      </c>
      <c r="F321" s="18">
        <v>3</v>
      </c>
      <c r="G321" s="52">
        <v>1</v>
      </c>
      <c r="H321" s="237">
        <v>1</v>
      </c>
      <c r="I321" s="65">
        <v>1960</v>
      </c>
      <c r="J321" s="349">
        <v>5</v>
      </c>
      <c r="K321" s="346">
        <f t="shared" si="70"/>
        <v>6</v>
      </c>
      <c r="L321" s="346">
        <v>1</v>
      </c>
      <c r="M321" s="349">
        <v>5</v>
      </c>
      <c r="N321" s="255">
        <f t="shared" si="68"/>
        <v>0</v>
      </c>
      <c r="O321" s="310">
        <v>100</v>
      </c>
      <c r="P321" s="66">
        <v>0</v>
      </c>
      <c r="Q321" s="66"/>
      <c r="R321" s="66">
        <v>75</v>
      </c>
      <c r="S321" s="66">
        <v>25</v>
      </c>
      <c r="T321" s="66">
        <v>0</v>
      </c>
      <c r="U321" s="66">
        <v>0</v>
      </c>
      <c r="V321" s="66">
        <v>0</v>
      </c>
      <c r="W321" s="54">
        <v>0</v>
      </c>
      <c r="X321" s="55">
        <f>SUMIFS(Таблица3[Кол-во квартир],Таблица3[Адрес МКД],$D321)</f>
        <v>100</v>
      </c>
      <c r="Y321" s="56">
        <f t="shared" si="73"/>
        <v>5358.49</v>
      </c>
      <c r="Z321" s="253">
        <f>SUMIFS(Таблица3[Площадь жилая],Таблица3[Адрес МКД],$D321)</f>
        <v>3494.89</v>
      </c>
      <c r="AA321" s="261">
        <f>SUMIFS(Таблица3[Площадь нежилых помещений],Таблица3[Адрес МКД],$D321)</f>
        <v>0</v>
      </c>
      <c r="AB321" s="252">
        <f>SUMIFS(Таблица1[1],Таблица1[2],$D321)</f>
        <v>0</v>
      </c>
      <c r="AC321" s="57">
        <f t="shared" si="64"/>
        <v>0</v>
      </c>
      <c r="AD321" s="57">
        <f t="shared" si="65"/>
        <v>0</v>
      </c>
      <c r="AE321" s="58">
        <f>SUMIFS(Таблица1[8],Таблица1[2],$D321)+SUMIFS(Таблица1[18],Таблица1[2],$D321)</f>
        <v>0</v>
      </c>
      <c r="AF321" s="58">
        <f>SUMIFS(Таблица1[9],Таблица1[2],$D321)+SUMIFS(Таблица1[19],Таблица1[2],$D321)</f>
        <v>0</v>
      </c>
      <c r="AG321" s="59">
        <f t="shared" si="66"/>
        <v>1863.6000000000001</v>
      </c>
      <c r="AH321" s="59">
        <f t="shared" si="67"/>
        <v>1863.6000000000001</v>
      </c>
      <c r="AI321" s="60">
        <f>662.1-AM321</f>
        <v>662.1</v>
      </c>
      <c r="AJ321" s="60">
        <f t="shared" si="60"/>
        <v>662.1</v>
      </c>
      <c r="AK321" s="60">
        <f>SUMIFS(Таблица1[10],Таблица1[2],$D321)</f>
        <v>0</v>
      </c>
      <c r="AL321" s="60">
        <f>SUMIFS(Таблица1[11],Таблица1[2],$D321)</f>
        <v>0</v>
      </c>
      <c r="AM321" s="251">
        <v>0</v>
      </c>
      <c r="AN321" s="249">
        <f t="shared" si="61"/>
        <v>0</v>
      </c>
      <c r="AO321" s="249">
        <f>SUMIFS(Таблица1[12],Таблица1[2],$D321)</f>
        <v>0</v>
      </c>
      <c r="AP321" s="249">
        <f>SUMIFS(Таблица1[13],Таблица1[2],$D321)</f>
        <v>0</v>
      </c>
      <c r="AQ321" s="61">
        <f>358.8</f>
        <v>358.8</v>
      </c>
      <c r="AR321" s="61">
        <f t="shared" si="62"/>
        <v>358.8</v>
      </c>
      <c r="AS321" s="60">
        <f>SUMIFS(Таблица1[14],Таблица1[2],$D321)</f>
        <v>0</v>
      </c>
      <c r="AT321" s="60">
        <f>SUMIFS(Таблица1[15],Таблица1[2],$D321)</f>
        <v>0</v>
      </c>
      <c r="AU321" s="61">
        <v>842.7</v>
      </c>
      <c r="AV321" s="61">
        <f t="shared" si="63"/>
        <v>842.7</v>
      </c>
      <c r="AW321" s="60">
        <f>SUMIFS(Таблица1[16],Таблица1[2],$D321)</f>
        <v>0</v>
      </c>
      <c r="AX321" s="60">
        <f>SUMIFS(Таблица1[17],Таблица1[2],$D321)</f>
        <v>0</v>
      </c>
      <c r="AY321" s="263"/>
      <c r="AZ321" s="264"/>
      <c r="BA321" s="296">
        <v>0</v>
      </c>
      <c r="BB321" s="296">
        <f t="shared" si="71"/>
        <v>0</v>
      </c>
      <c r="BC321" s="296">
        <v>0</v>
      </c>
      <c r="BD321" s="296">
        <v>0</v>
      </c>
      <c r="BE321" s="285"/>
      <c r="BF321" s="259">
        <v>2353</v>
      </c>
      <c r="BG321" s="260">
        <v>14942</v>
      </c>
      <c r="BH321" s="62" t="s">
        <v>940</v>
      </c>
      <c r="BI321" s="62" t="s">
        <v>935</v>
      </c>
      <c r="BJ321" s="62"/>
      <c r="BK321" s="267"/>
      <c r="BL321" s="267" t="s">
        <v>1649</v>
      </c>
      <c r="BM321" s="267"/>
      <c r="BN321" s="268"/>
      <c r="BO321" s="62">
        <v>17</v>
      </c>
      <c r="BP321" s="63">
        <v>28944</v>
      </c>
      <c r="BQ321" s="64" t="s">
        <v>1131</v>
      </c>
      <c r="BR321" s="372" t="s">
        <v>2747</v>
      </c>
      <c r="BS321" s="62"/>
      <c r="BT321" s="323"/>
      <c r="BU321" s="62"/>
      <c r="BV321" s="323"/>
      <c r="BW321" s="62"/>
      <c r="BX321" s="336"/>
      <c r="BY321" s="336"/>
    </row>
    <row r="322" spans="1:77" ht="13.15" hidden="1" customHeight="1" outlineLevel="1" x14ac:dyDescent="0.2">
      <c r="A322" s="50">
        <f t="shared" si="69"/>
        <v>317</v>
      </c>
      <c r="B322" s="51">
        <v>51</v>
      </c>
      <c r="C322" s="51">
        <v>65</v>
      </c>
      <c r="D322" s="18" t="s">
        <v>710</v>
      </c>
      <c r="E322" s="18">
        <v>16</v>
      </c>
      <c r="F322" s="18">
        <v>3</v>
      </c>
      <c r="G322" s="52">
        <v>1</v>
      </c>
      <c r="H322" s="237">
        <v>1</v>
      </c>
      <c r="I322" s="65">
        <v>1967</v>
      </c>
      <c r="J322" s="349">
        <v>5</v>
      </c>
      <c r="K322" s="346">
        <f t="shared" si="70"/>
        <v>6</v>
      </c>
      <c r="L322" s="346">
        <v>1</v>
      </c>
      <c r="M322" s="349">
        <v>4</v>
      </c>
      <c r="N322" s="255">
        <f t="shared" si="68"/>
        <v>0</v>
      </c>
      <c r="O322" s="310">
        <v>70</v>
      </c>
      <c r="P322" s="66">
        <v>0</v>
      </c>
      <c r="Q322" s="66"/>
      <c r="R322" s="66">
        <v>15</v>
      </c>
      <c r="S322" s="66">
        <v>30</v>
      </c>
      <c r="T322" s="66">
        <v>25</v>
      </c>
      <c r="U322" s="66">
        <v>0</v>
      </c>
      <c r="V322" s="66">
        <v>0</v>
      </c>
      <c r="W322" s="54">
        <v>0</v>
      </c>
      <c r="X322" s="55">
        <f>SUMIFS(Таблица3[Кол-во квартир],Таблица3[Адрес МКД],$D322)</f>
        <v>70</v>
      </c>
      <c r="Y322" s="56">
        <f t="shared" si="73"/>
        <v>4922.2</v>
      </c>
      <c r="Z322" s="253">
        <f>SUMIFS(Таблица3[Площадь жилая],Таблица3[Адрес МКД],$D322)</f>
        <v>3209.1</v>
      </c>
      <c r="AA322" s="261">
        <f>SUMIFS(Таблица3[Площадь нежилых помещений],Таблица3[Адрес МКД],$D322)</f>
        <v>0</v>
      </c>
      <c r="AB322" s="252">
        <f>SUMIFS(Таблица1[1],Таблица1[2],$D322)</f>
        <v>0</v>
      </c>
      <c r="AC322" s="57">
        <f t="shared" si="64"/>
        <v>0</v>
      </c>
      <c r="AD322" s="57">
        <f t="shared" si="65"/>
        <v>0</v>
      </c>
      <c r="AE322" s="58">
        <f>SUMIFS(Таблица1[8],Таблица1[2],$D322)+SUMIFS(Таблица1[18],Таблица1[2],$D322)</f>
        <v>0</v>
      </c>
      <c r="AF322" s="58">
        <f>SUMIFS(Таблица1[9],Таблица1[2],$D322)+SUMIFS(Таблица1[19],Таблица1[2],$D322)</f>
        <v>0</v>
      </c>
      <c r="AG322" s="59">
        <f t="shared" si="66"/>
        <v>1713.1000000000001</v>
      </c>
      <c r="AH322" s="59">
        <f t="shared" si="67"/>
        <v>1713.1000000000001</v>
      </c>
      <c r="AI322" s="60">
        <f>671.6-AM322</f>
        <v>671.6</v>
      </c>
      <c r="AJ322" s="60">
        <f t="shared" ref="AJ322:AJ383" si="74">AI322-AK322-AL322</f>
        <v>671.6</v>
      </c>
      <c r="AK322" s="60">
        <f>SUMIFS(Таблица1[10],Таблица1[2],$D322)</f>
        <v>0</v>
      </c>
      <c r="AL322" s="60">
        <f>SUMIFS(Таблица1[11],Таблица1[2],$D322)</f>
        <v>0</v>
      </c>
      <c r="AM322" s="251">
        <v>0</v>
      </c>
      <c r="AN322" s="249">
        <f t="shared" ref="AN322:AN383" si="75">AM322-AO322-AP322</f>
        <v>0</v>
      </c>
      <c r="AO322" s="249">
        <f>SUMIFS(Таблица1[12],Таблица1[2],$D322)</f>
        <v>0</v>
      </c>
      <c r="AP322" s="249">
        <f>SUMIFS(Таблица1[13],Таблица1[2],$D322)</f>
        <v>0</v>
      </c>
      <c r="AQ322" s="61">
        <v>270.8</v>
      </c>
      <c r="AR322" s="61">
        <f t="shared" ref="AR322:AR383" si="76">AQ322-AS322-AT322</f>
        <v>270.8</v>
      </c>
      <c r="AS322" s="60">
        <f>SUMIFS(Таблица1[14],Таблица1[2],$D322)</f>
        <v>0</v>
      </c>
      <c r="AT322" s="60">
        <f>SUMIFS(Таблица1[15],Таблица1[2],$D322)</f>
        <v>0</v>
      </c>
      <c r="AU322" s="61">
        <v>770.7</v>
      </c>
      <c r="AV322" s="61">
        <f t="shared" ref="AV322:AV383" si="77">AU322-AW322-AX322</f>
        <v>770.7</v>
      </c>
      <c r="AW322" s="60">
        <f>SUMIFS(Таблица1[16],Таблица1[2],$D322)</f>
        <v>0</v>
      </c>
      <c r="AX322" s="60">
        <f>SUMIFS(Таблица1[17],Таблица1[2],$D322)</f>
        <v>0</v>
      </c>
      <c r="AY322" s="263"/>
      <c r="AZ322" s="264"/>
      <c r="BA322" s="296">
        <v>0</v>
      </c>
      <c r="BB322" s="296">
        <f t="shared" si="71"/>
        <v>0</v>
      </c>
      <c r="BC322" s="296">
        <v>0</v>
      </c>
      <c r="BD322" s="296">
        <v>0</v>
      </c>
      <c r="BE322" s="285"/>
      <c r="BF322" s="259">
        <v>2085</v>
      </c>
      <c r="BG322" s="260">
        <v>11331</v>
      </c>
      <c r="BH322" s="62" t="s">
        <v>943</v>
      </c>
      <c r="BI322" s="62" t="s">
        <v>935</v>
      </c>
      <c r="BJ322" s="62"/>
      <c r="BK322" s="267"/>
      <c r="BL322" s="267" t="s">
        <v>1649</v>
      </c>
      <c r="BM322" s="267"/>
      <c r="BN322" s="268"/>
      <c r="BO322" s="62">
        <v>22</v>
      </c>
      <c r="BP322" s="63">
        <v>31971</v>
      </c>
      <c r="BQ322" s="64" t="s">
        <v>2596</v>
      </c>
      <c r="BR322" s="372" t="s">
        <v>2747</v>
      </c>
      <c r="BS322" s="62"/>
      <c r="BT322" s="323"/>
      <c r="BU322" s="62"/>
      <c r="BV322" s="323"/>
      <c r="BW322" s="62"/>
      <c r="BX322" s="336"/>
      <c r="BY322" s="336"/>
    </row>
    <row r="323" spans="1:77" ht="13.15" hidden="1" customHeight="1" outlineLevel="1" x14ac:dyDescent="0.2">
      <c r="A323" s="50">
        <f t="shared" si="69"/>
        <v>318</v>
      </c>
      <c r="B323" s="51">
        <v>52</v>
      </c>
      <c r="C323" s="51">
        <v>66</v>
      </c>
      <c r="D323" s="18" t="s">
        <v>711</v>
      </c>
      <c r="E323" s="18">
        <v>16</v>
      </c>
      <c r="F323" s="18">
        <v>3</v>
      </c>
      <c r="G323" s="52">
        <v>1</v>
      </c>
      <c r="H323" s="237">
        <v>1</v>
      </c>
      <c r="I323" s="65">
        <v>1960</v>
      </c>
      <c r="J323" s="349">
        <v>5</v>
      </c>
      <c r="K323" s="346">
        <f t="shared" si="70"/>
        <v>6</v>
      </c>
      <c r="L323" s="346">
        <v>1</v>
      </c>
      <c r="M323" s="349">
        <v>5</v>
      </c>
      <c r="N323" s="255">
        <f t="shared" si="68"/>
        <v>0</v>
      </c>
      <c r="O323" s="310">
        <v>100</v>
      </c>
      <c r="P323" s="66">
        <v>1</v>
      </c>
      <c r="Q323" s="66"/>
      <c r="R323" s="66">
        <v>75</v>
      </c>
      <c r="S323" s="66">
        <v>25</v>
      </c>
      <c r="T323" s="66">
        <v>0</v>
      </c>
      <c r="U323" s="66">
        <v>0</v>
      </c>
      <c r="V323" s="66">
        <v>0</v>
      </c>
      <c r="W323" s="54">
        <v>0</v>
      </c>
      <c r="X323" s="55">
        <f>SUMIFS(Таблица3[Кол-во квартир],Таблица3[Адрес МКД],$D323)</f>
        <v>99</v>
      </c>
      <c r="Y323" s="56">
        <f t="shared" si="73"/>
        <v>5384.3</v>
      </c>
      <c r="Z323" s="253">
        <f>SUMIFS(Таблица3[Площадь жилая],Таблица3[Адрес МКД],$D323)</f>
        <v>3465.6</v>
      </c>
      <c r="AA323" s="261">
        <f>SUMIFS(Таблица3[Площадь нежилых помещений],Таблица3[Адрес МКД],$D323)</f>
        <v>28.8</v>
      </c>
      <c r="AB323" s="252">
        <f>SUMIFS(Таблица1[1],Таблица1[2],$D323)</f>
        <v>28.8</v>
      </c>
      <c r="AC323" s="57">
        <f t="shared" ref="AC323:AC384" si="78">AE323+AK323+AO323+AS323+AW323</f>
        <v>28.8</v>
      </c>
      <c r="AD323" s="57">
        <f t="shared" ref="AD323:AD384" si="79">AF323+AL323+AP323+AT323+AX323</f>
        <v>0</v>
      </c>
      <c r="AE323" s="58">
        <f>SUMIFS(Таблица1[8],Таблица1[2],$D323)+SUMIFS(Таблица1[18],Таблица1[2],$D323)</f>
        <v>28.8</v>
      </c>
      <c r="AF323" s="58">
        <f>SUMIFS(Таблица1[9],Таблица1[2],$D323)+SUMIFS(Таблица1[19],Таблица1[2],$D323)</f>
        <v>0</v>
      </c>
      <c r="AG323" s="59">
        <f t="shared" ref="AG323:AG384" si="80">AJ323+AR323+AV323+AZ323</f>
        <v>1889.9</v>
      </c>
      <c r="AH323" s="59">
        <f t="shared" ref="AH323:AH384" si="81">AJ323+AL323+AR323+AT323+AV323+AX323</f>
        <v>1889.9</v>
      </c>
      <c r="AI323" s="60">
        <f>671.4-AM323</f>
        <v>671.4</v>
      </c>
      <c r="AJ323" s="60">
        <f t="shared" si="74"/>
        <v>671.4</v>
      </c>
      <c r="AK323" s="60">
        <f>SUMIFS(Таблица1[10],Таблица1[2],$D323)</f>
        <v>0</v>
      </c>
      <c r="AL323" s="60">
        <f>SUMIFS(Таблица1[11],Таблица1[2],$D323)</f>
        <v>0</v>
      </c>
      <c r="AM323" s="251">
        <v>0</v>
      </c>
      <c r="AN323" s="249">
        <f t="shared" si="75"/>
        <v>0</v>
      </c>
      <c r="AO323" s="249">
        <f>SUMIFS(Таблица1[12],Таблица1[2],$D323)</f>
        <v>0</v>
      </c>
      <c r="AP323" s="249">
        <f>SUMIFS(Таблица1[13],Таблица1[2],$D323)</f>
        <v>0</v>
      </c>
      <c r="AQ323" s="61">
        <v>358.9</v>
      </c>
      <c r="AR323" s="61">
        <f t="shared" si="76"/>
        <v>358.9</v>
      </c>
      <c r="AS323" s="60">
        <f>SUMIFS(Таблица1[14],Таблица1[2],$D323)</f>
        <v>0</v>
      </c>
      <c r="AT323" s="60">
        <f>SUMIFS(Таблица1[15],Таблица1[2],$D323)</f>
        <v>0</v>
      </c>
      <c r="AU323" s="61">
        <v>859.6</v>
      </c>
      <c r="AV323" s="61">
        <f t="shared" si="77"/>
        <v>859.6</v>
      </c>
      <c r="AW323" s="60">
        <f>SUMIFS(Таблица1[16],Таблица1[2],$D323)</f>
        <v>0</v>
      </c>
      <c r="AX323" s="60">
        <f>SUMIFS(Таблица1[17],Таблица1[2],$D323)</f>
        <v>0</v>
      </c>
      <c r="AY323" s="263"/>
      <c r="AZ323" s="264"/>
      <c r="BA323" s="296">
        <v>0</v>
      </c>
      <c r="BB323" s="296">
        <f t="shared" si="71"/>
        <v>0</v>
      </c>
      <c r="BC323" s="296">
        <v>0</v>
      </c>
      <c r="BD323" s="296">
        <v>0</v>
      </c>
      <c r="BE323" s="285"/>
      <c r="BF323" s="259">
        <v>2620</v>
      </c>
      <c r="BG323" s="260">
        <v>14934</v>
      </c>
      <c r="BH323" s="62" t="s">
        <v>940</v>
      </c>
      <c r="BI323" s="62" t="s">
        <v>935</v>
      </c>
      <c r="BJ323" s="62"/>
      <c r="BK323" s="267"/>
      <c r="BL323" s="267" t="s">
        <v>1649</v>
      </c>
      <c r="BM323" s="267"/>
      <c r="BN323" s="268"/>
      <c r="BO323" s="62">
        <v>18</v>
      </c>
      <c r="BP323" s="63">
        <v>29108</v>
      </c>
      <c r="BQ323" s="64" t="s">
        <v>1131</v>
      </c>
      <c r="BR323" s="372" t="s">
        <v>2747</v>
      </c>
      <c r="BS323" s="62"/>
      <c r="BT323" s="323"/>
      <c r="BU323" s="62"/>
      <c r="BV323" s="323"/>
      <c r="BW323" s="62"/>
      <c r="BX323" s="336"/>
      <c r="BY323" s="336"/>
    </row>
    <row r="324" spans="1:77" ht="13.15" hidden="1" customHeight="1" outlineLevel="1" x14ac:dyDescent="0.2">
      <c r="A324" s="50">
        <f t="shared" si="69"/>
        <v>319</v>
      </c>
      <c r="B324" s="51">
        <v>53</v>
      </c>
      <c r="C324" s="51">
        <v>67</v>
      </c>
      <c r="D324" s="18" t="s">
        <v>712</v>
      </c>
      <c r="E324" s="18">
        <v>16</v>
      </c>
      <c r="F324" s="18">
        <v>3</v>
      </c>
      <c r="G324" s="52">
        <v>2</v>
      </c>
      <c r="H324" s="237">
        <v>2</v>
      </c>
      <c r="I324" s="65">
        <v>1960</v>
      </c>
      <c r="J324" s="349">
        <v>5</v>
      </c>
      <c r="K324" s="346">
        <f t="shared" si="70"/>
        <v>6</v>
      </c>
      <c r="L324" s="346">
        <v>1</v>
      </c>
      <c r="M324" s="349">
        <v>6</v>
      </c>
      <c r="N324" s="255">
        <f t="shared" si="68"/>
        <v>0</v>
      </c>
      <c r="O324" s="310">
        <v>119</v>
      </c>
      <c r="P324" s="66">
        <v>0</v>
      </c>
      <c r="Q324" s="66"/>
      <c r="R324" s="66">
        <v>29</v>
      </c>
      <c r="S324" s="66">
        <v>89</v>
      </c>
      <c r="T324" s="66">
        <v>1</v>
      </c>
      <c r="U324" s="66">
        <v>0</v>
      </c>
      <c r="V324" s="66">
        <v>0</v>
      </c>
      <c r="W324" s="54">
        <v>0</v>
      </c>
      <c r="X324" s="55">
        <f>SUMIFS(Таблица3[Кол-во квартир],Таблица3[Адрес МКД],$D324)</f>
        <v>119</v>
      </c>
      <c r="Y324" s="56">
        <f t="shared" si="73"/>
        <v>7288.96</v>
      </c>
      <c r="Z324" s="253">
        <f>SUMIFS(Таблица3[Площадь жилая],Таблица3[Адрес МКД],$D324)</f>
        <v>4824.26</v>
      </c>
      <c r="AA324" s="261">
        <f>SUMIFS(Таблица3[Площадь нежилых помещений],Таблица3[Адрес МКД],$D324)</f>
        <v>58.5</v>
      </c>
      <c r="AB324" s="252">
        <f>SUMIFS(Таблица1[1],Таблица1[2],$D324)</f>
        <v>58.5</v>
      </c>
      <c r="AC324" s="57">
        <f t="shared" si="78"/>
        <v>58.5</v>
      </c>
      <c r="AD324" s="57">
        <f t="shared" si="79"/>
        <v>0</v>
      </c>
      <c r="AE324" s="58">
        <f>SUMIFS(Таблица1[8],Таблица1[2],$D324)+SUMIFS(Таблица1[18],Таблица1[2],$D324)</f>
        <v>0</v>
      </c>
      <c r="AF324" s="58">
        <f>SUMIFS(Таблица1[9],Таблица1[2],$D324)+SUMIFS(Таблица1[19],Таблица1[2],$D324)</f>
        <v>0</v>
      </c>
      <c r="AG324" s="59">
        <f t="shared" si="80"/>
        <v>2406.1999999999998</v>
      </c>
      <c r="AH324" s="59">
        <f t="shared" si="81"/>
        <v>2406.1999999999998</v>
      </c>
      <c r="AI324" s="60">
        <f>927.2-AM324</f>
        <v>927.2</v>
      </c>
      <c r="AJ324" s="60">
        <f t="shared" si="74"/>
        <v>868.7</v>
      </c>
      <c r="AK324" s="60">
        <f>SUMIFS(Таблица1[10],Таблица1[2],$D324)</f>
        <v>58.5</v>
      </c>
      <c r="AL324" s="60">
        <f>SUMIFS(Таблица1[11],Таблица1[2],$D324)</f>
        <v>0</v>
      </c>
      <c r="AM324" s="251">
        <v>0</v>
      </c>
      <c r="AN324" s="249">
        <f t="shared" si="75"/>
        <v>0</v>
      </c>
      <c r="AO324" s="249">
        <f>SUMIFS(Таблица1[12],Таблица1[2],$D324)</f>
        <v>0</v>
      </c>
      <c r="AP324" s="249">
        <f>SUMIFS(Таблица1[13],Таблица1[2],$D324)</f>
        <v>0</v>
      </c>
      <c r="AQ324" s="61">
        <f>373</f>
        <v>373</v>
      </c>
      <c r="AR324" s="61">
        <f t="shared" si="76"/>
        <v>373</v>
      </c>
      <c r="AS324" s="60">
        <f>SUMIFS(Таблица1[14],Таблица1[2],$D324)</f>
        <v>0</v>
      </c>
      <c r="AT324" s="60">
        <f>SUMIFS(Таблица1[15],Таблица1[2],$D324)</f>
        <v>0</v>
      </c>
      <c r="AU324" s="61">
        <v>1164.5</v>
      </c>
      <c r="AV324" s="61">
        <f t="shared" si="77"/>
        <v>1164.5</v>
      </c>
      <c r="AW324" s="60">
        <f>SUMIFS(Таблица1[16],Таблица1[2],$D324)</f>
        <v>0</v>
      </c>
      <c r="AX324" s="60">
        <f>SUMIFS(Таблица1[17],Таблица1[2],$D324)</f>
        <v>0</v>
      </c>
      <c r="AY324" s="263"/>
      <c r="AZ324" s="264"/>
      <c r="BA324" s="296">
        <v>0</v>
      </c>
      <c r="BB324" s="296">
        <f t="shared" si="71"/>
        <v>0</v>
      </c>
      <c r="BC324" s="296">
        <v>0</v>
      </c>
      <c r="BD324" s="296">
        <v>0</v>
      </c>
      <c r="BE324" s="285"/>
      <c r="BF324" s="259">
        <v>3113</v>
      </c>
      <c r="BG324" s="260">
        <v>18806</v>
      </c>
      <c r="BH324" s="62" t="s">
        <v>943</v>
      </c>
      <c r="BI324" s="62" t="s">
        <v>935</v>
      </c>
      <c r="BJ324" s="62"/>
      <c r="BK324" s="267"/>
      <c r="BL324" s="267" t="s">
        <v>1649</v>
      </c>
      <c r="BM324" s="267"/>
      <c r="BN324" s="268"/>
      <c r="BO324" s="62">
        <v>17</v>
      </c>
      <c r="BP324" s="63">
        <v>29108</v>
      </c>
      <c r="BQ324" s="64" t="s">
        <v>1131</v>
      </c>
      <c r="BR324" s="372" t="s">
        <v>2747</v>
      </c>
      <c r="BS324" s="62"/>
      <c r="BT324" s="323"/>
      <c r="BU324" s="62"/>
      <c r="BV324" s="323"/>
      <c r="BW324" s="62"/>
      <c r="BX324" s="336"/>
      <c r="BY324" s="336"/>
    </row>
    <row r="325" spans="1:77" ht="13.15" hidden="1" customHeight="1" outlineLevel="1" x14ac:dyDescent="0.2">
      <c r="A325" s="50">
        <f t="shared" si="69"/>
        <v>320</v>
      </c>
      <c r="B325" s="51">
        <v>54</v>
      </c>
      <c r="C325" s="51">
        <v>68</v>
      </c>
      <c r="D325" s="18" t="s">
        <v>713</v>
      </c>
      <c r="E325" s="18">
        <v>16</v>
      </c>
      <c r="F325" s="18">
        <v>3</v>
      </c>
      <c r="G325" s="52">
        <v>1</v>
      </c>
      <c r="H325" s="237">
        <v>1</v>
      </c>
      <c r="I325" s="65">
        <v>1960</v>
      </c>
      <c r="J325" s="349">
        <v>5</v>
      </c>
      <c r="K325" s="346">
        <f t="shared" si="70"/>
        <v>6</v>
      </c>
      <c r="L325" s="346">
        <v>1</v>
      </c>
      <c r="M325" s="349">
        <v>6</v>
      </c>
      <c r="N325" s="255">
        <f t="shared" ref="N325:N386" si="82">O325-P325-X325-Q325</f>
        <v>6</v>
      </c>
      <c r="O325" s="310">
        <v>95</v>
      </c>
      <c r="P325" s="327">
        <v>8</v>
      </c>
      <c r="Q325" s="66"/>
      <c r="R325" s="66">
        <v>32</v>
      </c>
      <c r="S325" s="66">
        <v>31</v>
      </c>
      <c r="T325" s="66">
        <v>32</v>
      </c>
      <c r="U325" s="66">
        <v>0</v>
      </c>
      <c r="V325" s="66">
        <v>0</v>
      </c>
      <c r="W325" s="54">
        <v>0</v>
      </c>
      <c r="X325" s="55">
        <f>SUMIFS(Таблица3[Кол-во квартир],Таблица3[Адрес МКД],$D325)</f>
        <v>81</v>
      </c>
      <c r="Y325" s="56">
        <f t="shared" si="73"/>
        <v>7591.9500000000007</v>
      </c>
      <c r="Z325" s="253">
        <f>SUMIFS(Таблица3[Площадь жилая],Таблица3[Адрес МКД],$D325)</f>
        <v>4505.1500000000005</v>
      </c>
      <c r="AA325" s="261">
        <f>SUMIFS(Таблица3[Площадь нежилых помещений],Таблица3[Адрес МКД],$D325)</f>
        <v>802.5</v>
      </c>
      <c r="AB325" s="252">
        <f>SUMIFS(Таблица1[1],Таблица1[2],$D325)</f>
        <v>815.5</v>
      </c>
      <c r="AC325" s="57">
        <f t="shared" si="78"/>
        <v>802.5</v>
      </c>
      <c r="AD325" s="57">
        <f t="shared" si="79"/>
        <v>13</v>
      </c>
      <c r="AE325" s="58">
        <f>SUMIFS(Таблица1[8],Таблица1[2],$D325)+SUMIFS(Таблица1[18],Таблица1[2],$D325)</f>
        <v>478.8</v>
      </c>
      <c r="AF325" s="58">
        <f>SUMIFS(Таблица1[9],Таблица1[2],$D325)+SUMIFS(Таблица1[19],Таблица1[2],$D325)</f>
        <v>0</v>
      </c>
      <c r="AG325" s="59">
        <f t="shared" si="80"/>
        <v>2271.3000000000002</v>
      </c>
      <c r="AH325" s="59">
        <f t="shared" si="81"/>
        <v>2284.3000000000002</v>
      </c>
      <c r="AI325" s="60">
        <f>977.6-AM325</f>
        <v>977.6</v>
      </c>
      <c r="AJ325" s="60">
        <f>AI325-AK325-AL325</f>
        <v>653.90000000000009</v>
      </c>
      <c r="AK325" s="60">
        <f>SUMIFS(Таблица1[10],Таблица1[2],$D325)</f>
        <v>323.7</v>
      </c>
      <c r="AL325" s="60">
        <f>SUMIFS(Таблица1[11],Таблица1[2],$D325)</f>
        <v>0</v>
      </c>
      <c r="AM325" s="251">
        <v>0</v>
      </c>
      <c r="AN325" s="249">
        <f t="shared" si="75"/>
        <v>0</v>
      </c>
      <c r="AO325" s="249">
        <f>SUMIFS(Таблица1[12],Таблица1[2],$D325)</f>
        <v>0</v>
      </c>
      <c r="AP325" s="249">
        <f>SUMIFS(Таблица1[13],Таблица1[2],$D325)</f>
        <v>0</v>
      </c>
      <c r="AQ325" s="61">
        <f>449.2</f>
        <v>449.2</v>
      </c>
      <c r="AR325" s="61">
        <f t="shared" si="76"/>
        <v>436.2</v>
      </c>
      <c r="AS325" s="60">
        <f>SUMIFS(Таблица1[14],Таблица1[2],$D325)</f>
        <v>0</v>
      </c>
      <c r="AT325" s="60">
        <f>SUMIFS(Таблица1[15],Таблица1[2],$D325)</f>
        <v>13</v>
      </c>
      <c r="AU325" s="61">
        <v>1181.2</v>
      </c>
      <c r="AV325" s="61">
        <f t="shared" si="77"/>
        <v>1181.2</v>
      </c>
      <c r="AW325" s="60">
        <f>SUMIFS(Таблица1[16],Таблица1[2],$D325)</f>
        <v>0</v>
      </c>
      <c r="AX325" s="60">
        <f>SUMIFS(Таблица1[17],Таблица1[2],$D325)</f>
        <v>0</v>
      </c>
      <c r="AY325" s="263"/>
      <c r="AZ325" s="264"/>
      <c r="BA325" s="296">
        <v>0</v>
      </c>
      <c r="BB325" s="296">
        <f t="shared" si="71"/>
        <v>0</v>
      </c>
      <c r="BC325" s="296">
        <v>0</v>
      </c>
      <c r="BD325" s="296">
        <v>0</v>
      </c>
      <c r="BE325" s="285"/>
      <c r="BF325" s="259">
        <v>3462</v>
      </c>
      <c r="BG325" s="260">
        <v>20897</v>
      </c>
      <c r="BH325" s="62" t="s">
        <v>940</v>
      </c>
      <c r="BI325" s="62" t="s">
        <v>935</v>
      </c>
      <c r="BJ325" s="62"/>
      <c r="BK325" s="267"/>
      <c r="BL325" s="267"/>
      <c r="BM325" s="267" t="s">
        <v>1649</v>
      </c>
      <c r="BN325" s="268"/>
      <c r="BO325" s="62">
        <v>17</v>
      </c>
      <c r="BP325" s="63">
        <v>29138</v>
      </c>
      <c r="BQ325" s="64" t="s">
        <v>1131</v>
      </c>
      <c r="BR325" s="372" t="s">
        <v>2747</v>
      </c>
      <c r="BS325" s="62"/>
      <c r="BT325" s="323"/>
      <c r="BU325" s="62"/>
      <c r="BV325" s="323"/>
      <c r="BW325" s="62"/>
      <c r="BX325" s="336"/>
      <c r="BY325" s="336"/>
    </row>
    <row r="326" spans="1:77" ht="13.15" hidden="1" customHeight="1" outlineLevel="1" x14ac:dyDescent="0.2">
      <c r="A326" s="50">
        <f t="shared" ref="A326:A387" si="83">A325+1</f>
        <v>321</v>
      </c>
      <c r="B326" s="51">
        <v>47</v>
      </c>
      <c r="C326" s="51">
        <v>74</v>
      </c>
      <c r="D326" s="18" t="s">
        <v>541</v>
      </c>
      <c r="E326" s="18">
        <v>11</v>
      </c>
      <c r="F326" s="18">
        <v>2</v>
      </c>
      <c r="G326" s="52">
        <v>1</v>
      </c>
      <c r="H326" s="237">
        <v>1</v>
      </c>
      <c r="I326" s="65">
        <v>1953</v>
      </c>
      <c r="J326" s="349">
        <v>4</v>
      </c>
      <c r="K326" s="346">
        <f t="shared" ref="K326:K387" si="84">J326+L326</f>
        <v>5</v>
      </c>
      <c r="L326" s="346">
        <v>1</v>
      </c>
      <c r="M326" s="349">
        <v>3</v>
      </c>
      <c r="N326" s="255">
        <f t="shared" si="82"/>
        <v>1</v>
      </c>
      <c r="O326" s="310">
        <v>54</v>
      </c>
      <c r="P326" s="66">
        <v>4</v>
      </c>
      <c r="Q326" s="66"/>
      <c r="R326" s="66">
        <v>0</v>
      </c>
      <c r="S326" s="66">
        <v>41</v>
      </c>
      <c r="T326" s="66">
        <v>13</v>
      </c>
      <c r="U326" s="66">
        <v>0</v>
      </c>
      <c r="V326" s="66">
        <v>0</v>
      </c>
      <c r="W326" s="54">
        <v>0</v>
      </c>
      <c r="X326" s="55">
        <f>SUMIFS(Таблица3[Кол-во квартир],Таблица3[Адрес МКД],$D326)</f>
        <v>49</v>
      </c>
      <c r="Y326" s="56">
        <f t="shared" si="73"/>
        <v>4787.01</v>
      </c>
      <c r="Z326" s="253">
        <f>SUMIFS(Таблица3[Площадь жилая],Таблица3[Адрес МКД],$D326)</f>
        <v>2890.3</v>
      </c>
      <c r="AA326" s="261">
        <f>SUMIFS(Таблица3[Площадь нежилых помещений],Таблица3[Адрес МКД],$D326)</f>
        <v>507.5</v>
      </c>
      <c r="AB326" s="252">
        <f>SUMIFS(Таблица1[1],Таблица1[2],$D326)</f>
        <v>507.5</v>
      </c>
      <c r="AC326" s="57">
        <f t="shared" si="78"/>
        <v>507.5</v>
      </c>
      <c r="AD326" s="57">
        <f t="shared" si="79"/>
        <v>0</v>
      </c>
      <c r="AE326" s="58">
        <f>SUMIFS(Таблица1[8],Таблица1[2],$D326)+SUMIFS(Таблица1[18],Таблица1[2],$D326)</f>
        <v>0</v>
      </c>
      <c r="AF326" s="58">
        <f>SUMIFS(Таблица1[9],Таблица1[2],$D326)+SUMIFS(Таблица1[19],Таблица1[2],$D326)</f>
        <v>0</v>
      </c>
      <c r="AG326" s="59">
        <f t="shared" si="80"/>
        <v>1389.21</v>
      </c>
      <c r="AH326" s="59">
        <f t="shared" si="81"/>
        <v>1389.21</v>
      </c>
      <c r="AI326" s="60">
        <f>683.3-AM326</f>
        <v>683.3</v>
      </c>
      <c r="AJ326" s="60">
        <f t="shared" si="74"/>
        <v>175.79999999999995</v>
      </c>
      <c r="AK326" s="60">
        <f>SUMIFS(Таблица1[10],Таблица1[2],$D326)</f>
        <v>507.5</v>
      </c>
      <c r="AL326" s="60">
        <f>SUMIFS(Таблица1[11],Таблица1[2],$D326)</f>
        <v>0</v>
      </c>
      <c r="AM326" s="251">
        <v>0</v>
      </c>
      <c r="AN326" s="249">
        <f t="shared" si="75"/>
        <v>0</v>
      </c>
      <c r="AO326" s="249">
        <f>SUMIFS(Таблица1[12],Таблица1[2],$D326)</f>
        <v>0</v>
      </c>
      <c r="AP326" s="249">
        <f>SUMIFS(Таблица1[13],Таблица1[2],$D326)</f>
        <v>0</v>
      </c>
      <c r="AQ326" s="61">
        <v>353</v>
      </c>
      <c r="AR326" s="61">
        <f t="shared" si="76"/>
        <v>353</v>
      </c>
      <c r="AS326" s="60">
        <f>SUMIFS(Таблица1[14],Таблица1[2],$D326)</f>
        <v>0</v>
      </c>
      <c r="AT326" s="60">
        <f>SUMIFS(Таблица1[15],Таблица1[2],$D326)</f>
        <v>0</v>
      </c>
      <c r="AU326" s="61">
        <v>860.41</v>
      </c>
      <c r="AV326" s="61">
        <f t="shared" si="77"/>
        <v>860.41</v>
      </c>
      <c r="AW326" s="60">
        <f>SUMIFS(Таблица1[16],Таблица1[2],$D326)</f>
        <v>0</v>
      </c>
      <c r="AX326" s="60">
        <f>SUMIFS(Таблица1[17],Таблица1[2],$D326)</f>
        <v>0</v>
      </c>
      <c r="AY326" s="263"/>
      <c r="AZ326" s="264"/>
      <c r="BA326" s="296">
        <v>0</v>
      </c>
      <c r="BB326" s="296">
        <f t="shared" si="71"/>
        <v>0</v>
      </c>
      <c r="BC326" s="296">
        <v>0</v>
      </c>
      <c r="BD326" s="296">
        <v>0</v>
      </c>
      <c r="BE326" s="285"/>
      <c r="BF326" s="259">
        <v>0</v>
      </c>
      <c r="BG326" s="260">
        <f>3060+6174+6228</f>
        <v>15462</v>
      </c>
      <c r="BH326" s="62" t="s">
        <v>939</v>
      </c>
      <c r="BI326" s="62" t="s">
        <v>935</v>
      </c>
      <c r="BJ326" s="62"/>
      <c r="BK326" s="267"/>
      <c r="BL326" s="267"/>
      <c r="BM326" s="267" t="s">
        <v>1649</v>
      </c>
      <c r="BN326" s="268"/>
      <c r="BO326" s="62">
        <v>29</v>
      </c>
      <c r="BP326" s="63">
        <v>30996</v>
      </c>
      <c r="BQ326" s="64" t="s">
        <v>1131</v>
      </c>
      <c r="BR326" s="372" t="s">
        <v>2747</v>
      </c>
      <c r="BS326" s="62"/>
      <c r="BT326" s="323"/>
      <c r="BU326" s="62"/>
      <c r="BV326" s="323"/>
      <c r="BW326" s="62"/>
      <c r="BX326" s="336"/>
      <c r="BY326" s="336"/>
    </row>
    <row r="327" spans="1:77" ht="13.15" hidden="1" customHeight="1" outlineLevel="1" x14ac:dyDescent="0.2">
      <c r="A327" s="50">
        <f t="shared" si="83"/>
        <v>322</v>
      </c>
      <c r="B327" s="51">
        <v>21</v>
      </c>
      <c r="C327" s="51">
        <v>69</v>
      </c>
      <c r="D327" s="18" t="s">
        <v>638</v>
      </c>
      <c r="E327" s="18">
        <v>14</v>
      </c>
      <c r="F327" s="18">
        <v>3</v>
      </c>
      <c r="G327" s="52"/>
      <c r="H327" s="237">
        <v>1</v>
      </c>
      <c r="I327" s="65">
        <v>1957</v>
      </c>
      <c r="J327" s="349">
        <v>4</v>
      </c>
      <c r="K327" s="356">
        <f t="shared" si="84"/>
        <v>6</v>
      </c>
      <c r="L327" s="356">
        <v>2</v>
      </c>
      <c r="M327" s="349">
        <v>3</v>
      </c>
      <c r="N327" s="255">
        <f t="shared" si="82"/>
        <v>1</v>
      </c>
      <c r="O327" s="310">
        <v>52</v>
      </c>
      <c r="P327" s="66">
        <v>3</v>
      </c>
      <c r="Q327" s="66"/>
      <c r="R327" s="66">
        <v>0</v>
      </c>
      <c r="S327" s="66">
        <v>40</v>
      </c>
      <c r="T327" s="66">
        <v>12</v>
      </c>
      <c r="U327" s="66">
        <v>0</v>
      </c>
      <c r="V327" s="66">
        <v>0</v>
      </c>
      <c r="W327" s="54">
        <v>0</v>
      </c>
      <c r="X327" s="55">
        <f>SUMIFS(Таблица3[Кол-во квартир],Таблица3[Адрес МКД],$D327)</f>
        <v>48</v>
      </c>
      <c r="Y327" s="56">
        <f t="shared" si="73"/>
        <v>5377.7000000000007</v>
      </c>
      <c r="Z327" s="253">
        <f>SUMIFS(Таблица3[Площадь жилая],Таблица3[Адрес МКД],$D327)</f>
        <v>2996</v>
      </c>
      <c r="AA327" s="261">
        <f>SUMIFS(Таблица3[Площадь нежилых помещений],Таблица3[Адрес МКД],$D327)</f>
        <v>571.9</v>
      </c>
      <c r="AB327" s="252">
        <f>SUMIFS(Таблица1[1],Таблица1[2],$D327)</f>
        <v>571.9</v>
      </c>
      <c r="AC327" s="57">
        <f t="shared" si="78"/>
        <v>571.9</v>
      </c>
      <c r="AD327" s="57">
        <f t="shared" si="79"/>
        <v>0</v>
      </c>
      <c r="AE327" s="58">
        <f>SUMIFS(Таблица1[8],Таблица1[2],$D327)+SUMIFS(Таблица1[18],Таблица1[2],$D327)</f>
        <v>246.2</v>
      </c>
      <c r="AF327" s="58">
        <f>SUMIFS(Таблица1[9],Таблица1[2],$D327)+SUMIFS(Таблица1[19],Таблица1[2],$D327)</f>
        <v>0</v>
      </c>
      <c r="AG327" s="59">
        <f t="shared" si="80"/>
        <v>1809.8000000000002</v>
      </c>
      <c r="AH327" s="59">
        <f t="shared" si="81"/>
        <v>1809.8000000000002</v>
      </c>
      <c r="AI327" s="60">
        <f>376.1+491.3-AM327</f>
        <v>663.30000000000007</v>
      </c>
      <c r="AJ327" s="60">
        <f t="shared" si="74"/>
        <v>541.70000000000005</v>
      </c>
      <c r="AK327" s="60">
        <f>SUMIFS(Таблица1[10],Таблица1[2],$D327)</f>
        <v>121.6</v>
      </c>
      <c r="AL327" s="60">
        <f>SUMIFS(Таблица1[11],Таблица1[2],$D327)</f>
        <v>0</v>
      </c>
      <c r="AM327" s="251">
        <f>204.1</f>
        <v>204.1</v>
      </c>
      <c r="AN327" s="249">
        <f t="shared" si="75"/>
        <v>0</v>
      </c>
      <c r="AO327" s="249">
        <f>SUMIFS(Таблица1[12],Таблица1[2],$D327)</f>
        <v>204.1</v>
      </c>
      <c r="AP327" s="249">
        <f>SUMIFS(Таблица1[13],Таблица1[2],$D327)</f>
        <v>0</v>
      </c>
      <c r="AQ327" s="61">
        <v>372.6</v>
      </c>
      <c r="AR327" s="61">
        <f t="shared" si="76"/>
        <v>372.6</v>
      </c>
      <c r="AS327" s="60">
        <f>SUMIFS(Таблица1[14],Таблица1[2],$D327)</f>
        <v>0</v>
      </c>
      <c r="AT327" s="60">
        <f>SUMIFS(Таблица1[15],Таблица1[2],$D327)</f>
        <v>0</v>
      </c>
      <c r="AU327" s="61">
        <v>895.5</v>
      </c>
      <c r="AV327" s="61">
        <f t="shared" si="77"/>
        <v>895.5</v>
      </c>
      <c r="AW327" s="60">
        <f>SUMIFS(Таблица1[16],Таблица1[2],$D327)</f>
        <v>0</v>
      </c>
      <c r="AX327" s="60">
        <f>SUMIFS(Таблица1[17],Таблица1[2],$D327)</f>
        <v>0</v>
      </c>
      <c r="AY327" s="263"/>
      <c r="AZ327" s="264"/>
      <c r="BA327" s="296">
        <v>0</v>
      </c>
      <c r="BB327" s="296">
        <f t="shared" si="71"/>
        <v>0</v>
      </c>
      <c r="BC327" s="296">
        <v>0</v>
      </c>
      <c r="BD327" s="296">
        <v>0</v>
      </c>
      <c r="BE327" s="285"/>
      <c r="BF327" s="259">
        <f>1437+2756</f>
        <v>4193</v>
      </c>
      <c r="BG327" s="260">
        <f>3352+10037</f>
        <v>13389</v>
      </c>
      <c r="BH327" s="62" t="s">
        <v>936</v>
      </c>
      <c r="BI327" s="62" t="s">
        <v>935</v>
      </c>
      <c r="BJ327" s="62"/>
      <c r="BK327" s="267"/>
      <c r="BL327" s="267"/>
      <c r="BM327" s="267" t="s">
        <v>1649</v>
      </c>
      <c r="BN327" s="268"/>
      <c r="BO327" s="62">
        <v>25</v>
      </c>
      <c r="BP327" s="63">
        <v>32114</v>
      </c>
      <c r="BQ327" s="64" t="s">
        <v>1131</v>
      </c>
      <c r="BR327" s="372" t="s">
        <v>2747</v>
      </c>
      <c r="BS327" s="62"/>
      <c r="BT327" s="323"/>
      <c r="BU327" s="62"/>
      <c r="BV327" s="323"/>
      <c r="BW327" s="62"/>
      <c r="BX327" s="336"/>
      <c r="BY327" s="336"/>
    </row>
    <row r="328" spans="1:77" ht="13.15" hidden="1" customHeight="1" outlineLevel="1" x14ac:dyDescent="0.2">
      <c r="A328" s="50">
        <f t="shared" si="83"/>
        <v>323</v>
      </c>
      <c r="B328" s="51">
        <v>22</v>
      </c>
      <c r="C328" s="51">
        <v>70</v>
      </c>
      <c r="D328" s="18" t="s">
        <v>639</v>
      </c>
      <c r="E328" s="18">
        <v>14</v>
      </c>
      <c r="F328" s="18">
        <v>3</v>
      </c>
      <c r="G328" s="52">
        <v>1</v>
      </c>
      <c r="H328" s="237">
        <v>1</v>
      </c>
      <c r="I328" s="65">
        <v>1956</v>
      </c>
      <c r="J328" s="349">
        <v>4</v>
      </c>
      <c r="K328" s="346">
        <f t="shared" si="84"/>
        <v>5</v>
      </c>
      <c r="L328" s="346">
        <v>1</v>
      </c>
      <c r="M328" s="349">
        <v>3</v>
      </c>
      <c r="N328" s="255">
        <f t="shared" si="82"/>
        <v>0</v>
      </c>
      <c r="O328" s="310">
        <v>25</v>
      </c>
      <c r="P328" s="66">
        <v>0</v>
      </c>
      <c r="Q328" s="66"/>
      <c r="R328" s="66">
        <v>0</v>
      </c>
      <c r="S328" s="66">
        <v>25</v>
      </c>
      <c r="T328" s="66">
        <v>0</v>
      </c>
      <c r="U328" s="66">
        <v>0</v>
      </c>
      <c r="V328" s="66">
        <v>0</v>
      </c>
      <c r="W328" s="54">
        <v>0</v>
      </c>
      <c r="X328" s="55">
        <f>SUMIFS(Таблица3[Кол-во квартир],Таблица3[Адрес МКД],$D328)</f>
        <v>25</v>
      </c>
      <c r="Y328" s="56">
        <f t="shared" si="73"/>
        <v>3050.1</v>
      </c>
      <c r="Z328" s="253">
        <f>SUMIFS(Таблица3[Площадь жилая],Таблица3[Адрес МКД],$D328)</f>
        <v>1230.0999999999999</v>
      </c>
      <c r="AA328" s="261">
        <f>SUMIFS(Таблица3[Площадь нежилых помещений],Таблица3[Адрес МКД],$D328)</f>
        <v>749.5</v>
      </c>
      <c r="AB328" s="252">
        <f>SUMIFS(Таблица1[1],Таблица1[2],$D328)</f>
        <v>752.50000000000011</v>
      </c>
      <c r="AC328" s="57">
        <f t="shared" si="78"/>
        <v>752.50000000000011</v>
      </c>
      <c r="AD328" s="57">
        <f t="shared" si="79"/>
        <v>0</v>
      </c>
      <c r="AE328" s="58">
        <f>SUMIFS(Таблица1[8],Таблица1[2],$D328)+SUMIFS(Таблица1[18],Таблица1[2],$D328)</f>
        <v>543.6</v>
      </c>
      <c r="AF328" s="58">
        <f>SUMIFS(Таблица1[9],Таблица1[2],$D328)+SUMIFS(Таблица1[19],Таблица1[2],$D328)</f>
        <v>0</v>
      </c>
      <c r="AG328" s="59">
        <f>AJ328+AR328+AV328+AZ328+BB328</f>
        <v>1070.5</v>
      </c>
      <c r="AH328" s="59">
        <f>AJ328+AL328+AR328+AT328+AV328+AX328+BB328+BD328</f>
        <v>1070.5</v>
      </c>
      <c r="AI328" s="60">
        <f>399.8-AM328</f>
        <v>278.60000000000002</v>
      </c>
      <c r="AJ328" s="60">
        <f t="shared" si="74"/>
        <v>193.90000000000003</v>
      </c>
      <c r="AK328" s="60">
        <f>SUMIFS(Таблица1[10],Таблица1[2],$D328)</f>
        <v>84.7</v>
      </c>
      <c r="AL328" s="60">
        <f>SUMIFS(Таблица1[11],Таблица1[2],$D328)</f>
        <v>0</v>
      </c>
      <c r="AM328" s="251">
        <v>121.2</v>
      </c>
      <c r="AN328" s="249">
        <f t="shared" si="75"/>
        <v>-3</v>
      </c>
      <c r="AO328" s="249">
        <f>SUMIFS(Таблица1[12],Таблица1[2],$D328)</f>
        <v>124.2</v>
      </c>
      <c r="AP328" s="249">
        <f>SUMIFS(Таблица1[13],Таблица1[2],$D328)</f>
        <v>0</v>
      </c>
      <c r="AQ328" s="61">
        <v>277.60000000000002</v>
      </c>
      <c r="AR328" s="61">
        <f t="shared" si="76"/>
        <v>277.60000000000002</v>
      </c>
      <c r="AS328" s="60">
        <f>SUMIFS(Таблица1[14],Таблица1[2],$D328)</f>
        <v>0</v>
      </c>
      <c r="AT328" s="60">
        <f>SUMIFS(Таблица1[15],Таблица1[2],$D328)</f>
        <v>0</v>
      </c>
      <c r="AU328" s="61">
        <v>599</v>
      </c>
      <c r="AV328" s="61">
        <f t="shared" si="77"/>
        <v>599</v>
      </c>
      <c r="AW328" s="60">
        <f>SUMIFS(Таблица1[16],Таблица1[2],$D328)</f>
        <v>0</v>
      </c>
      <c r="AX328" s="60">
        <f>SUMIFS(Таблица1[17],Таблица1[2],$D328)</f>
        <v>0</v>
      </c>
      <c r="AY328" s="263"/>
      <c r="AZ328" s="264"/>
      <c r="BA328" s="296">
        <v>28.2</v>
      </c>
      <c r="BB328" s="296">
        <f t="shared" si="71"/>
        <v>0</v>
      </c>
      <c r="BC328" s="296">
        <f>Нежилые!I1628</f>
        <v>28.2</v>
      </c>
      <c r="BD328" s="296">
        <v>0</v>
      </c>
      <c r="BE328" s="285"/>
      <c r="BF328" s="259">
        <f>1811+19</f>
        <v>1830</v>
      </c>
      <c r="BG328" s="260">
        <v>8704</v>
      </c>
      <c r="BH328" s="62" t="s">
        <v>936</v>
      </c>
      <c r="BI328" s="62" t="s">
        <v>935</v>
      </c>
      <c r="BJ328" s="62"/>
      <c r="BK328" s="267"/>
      <c r="BL328" s="267"/>
      <c r="BM328" s="267" t="s">
        <v>1649</v>
      </c>
      <c r="BN328" s="268"/>
      <c r="BO328" s="62">
        <v>26</v>
      </c>
      <c r="BP328" s="63">
        <v>32114</v>
      </c>
      <c r="BQ328" s="64" t="s">
        <v>1131</v>
      </c>
      <c r="BR328" s="372" t="s">
        <v>2747</v>
      </c>
      <c r="BS328" s="62"/>
      <c r="BT328" s="323"/>
      <c r="BU328" s="62"/>
      <c r="BV328" s="323"/>
      <c r="BW328" s="62"/>
      <c r="BX328" s="336"/>
      <c r="BY328" s="336"/>
    </row>
    <row r="329" spans="1:77" ht="13.15" hidden="1" customHeight="1" outlineLevel="1" x14ac:dyDescent="0.2">
      <c r="A329" s="50">
        <f t="shared" si="83"/>
        <v>324</v>
      </c>
      <c r="B329" s="51">
        <v>48</v>
      </c>
      <c r="C329" s="51">
        <v>75</v>
      </c>
      <c r="D329" s="18" t="s">
        <v>542</v>
      </c>
      <c r="E329" s="18">
        <v>11</v>
      </c>
      <c r="F329" s="18">
        <v>2</v>
      </c>
      <c r="G329" s="52">
        <v>2</v>
      </c>
      <c r="H329" s="237">
        <v>2</v>
      </c>
      <c r="I329" s="65">
        <v>1955</v>
      </c>
      <c r="J329" s="349">
        <v>4</v>
      </c>
      <c r="K329" s="346">
        <f t="shared" si="84"/>
        <v>6</v>
      </c>
      <c r="L329" s="346">
        <v>2</v>
      </c>
      <c r="M329" s="349">
        <v>6</v>
      </c>
      <c r="N329" s="255">
        <f t="shared" si="82"/>
        <v>1</v>
      </c>
      <c r="O329" s="310">
        <v>99</v>
      </c>
      <c r="P329" s="66">
        <v>6</v>
      </c>
      <c r="Q329" s="66"/>
      <c r="R329" s="66">
        <v>8</v>
      </c>
      <c r="S329" s="66">
        <v>57</v>
      </c>
      <c r="T329" s="66">
        <v>34</v>
      </c>
      <c r="U329" s="66">
        <v>0</v>
      </c>
      <c r="V329" s="66">
        <v>0</v>
      </c>
      <c r="W329" s="54">
        <v>0</v>
      </c>
      <c r="X329" s="55">
        <f>SUMIFS(Таблица3[Кол-во квартир],Таблица3[Адрес МКД],$D329)</f>
        <v>92</v>
      </c>
      <c r="Y329" s="56">
        <f t="shared" si="73"/>
        <v>9050.09</v>
      </c>
      <c r="Z329" s="253">
        <f>SUMIFS(Таблица3[Площадь жилая],Таблица3[Адрес МКД],$D329)</f>
        <v>5745.4</v>
      </c>
      <c r="AA329" s="261">
        <f>SUMIFS(Таблица3[Площадь нежилых помещений],Таблица3[Адрес МКД],$D329)</f>
        <v>792.3</v>
      </c>
      <c r="AB329" s="252">
        <f>SUMIFS(Таблица1[1],Таблица1[2],$D329)</f>
        <v>897.2</v>
      </c>
      <c r="AC329" s="57">
        <f t="shared" si="78"/>
        <v>841.7</v>
      </c>
      <c r="AD329" s="57">
        <f t="shared" si="79"/>
        <v>55.5</v>
      </c>
      <c r="AE329" s="58">
        <f>SUMIFS(Таблица1[8],Таблица1[2],$D329)+SUMIFS(Таблица1[18],Таблица1[2],$D329)</f>
        <v>0</v>
      </c>
      <c r="AF329" s="58">
        <f>SUMIFS(Таблица1[9],Таблица1[2],$D329)+SUMIFS(Таблица1[19],Таблица1[2],$D329)</f>
        <v>0</v>
      </c>
      <c r="AG329" s="59">
        <f t="shared" si="80"/>
        <v>2407.4899999999998</v>
      </c>
      <c r="AH329" s="59">
        <f t="shared" si="81"/>
        <v>2462.9899999999998</v>
      </c>
      <c r="AI329" s="60">
        <f>372+639.4-AM329</f>
        <v>794.3</v>
      </c>
      <c r="AJ329" s="60">
        <f t="shared" si="74"/>
        <v>127.29999999999993</v>
      </c>
      <c r="AK329" s="60">
        <f>SUMIFS(Таблица1[10],Таблица1[2],$D329)</f>
        <v>624.6</v>
      </c>
      <c r="AL329" s="60">
        <f>SUMIFS(Таблица1[11],Таблица1[2],$D329)</f>
        <v>42.4</v>
      </c>
      <c r="AM329" s="251">
        <f>111.5+105.6</f>
        <v>217.1</v>
      </c>
      <c r="AN329" s="249">
        <f t="shared" si="75"/>
        <v>0</v>
      </c>
      <c r="AO329" s="249">
        <f>SUMIFS(Таблица1[12],Таблица1[2],$D329)</f>
        <v>217.1</v>
      </c>
      <c r="AP329" s="249">
        <f>SUMIFS(Таблица1[13],Таблица1[2],$D329)</f>
        <v>0</v>
      </c>
      <c r="AQ329" s="61">
        <f>709</f>
        <v>709</v>
      </c>
      <c r="AR329" s="61">
        <f t="shared" si="76"/>
        <v>695.9</v>
      </c>
      <c r="AS329" s="60">
        <f>SUMIFS(Таблица1[14],Таблица1[2],$D329)</f>
        <v>0</v>
      </c>
      <c r="AT329" s="60">
        <f>SUMIFS(Таблица1[15],Таблица1[2],$D329)</f>
        <v>13.1</v>
      </c>
      <c r="AU329" s="61">
        <v>1584.29</v>
      </c>
      <c r="AV329" s="61">
        <f t="shared" si="77"/>
        <v>1584.29</v>
      </c>
      <c r="AW329" s="60">
        <f>SUMIFS(Таблица1[16],Таблица1[2],$D329)</f>
        <v>0</v>
      </c>
      <c r="AX329" s="60">
        <f>SUMIFS(Таблица1[17],Таблица1[2],$D329)</f>
        <v>0</v>
      </c>
      <c r="AY329" s="263">
        <f>Нежилые!G1635</f>
        <v>49.4</v>
      </c>
      <c r="AZ329" s="264"/>
      <c r="BA329" s="296">
        <v>0</v>
      </c>
      <c r="BB329" s="296">
        <f t="shared" si="71"/>
        <v>0</v>
      </c>
      <c r="BC329" s="296">
        <v>0</v>
      </c>
      <c r="BD329" s="296">
        <v>0</v>
      </c>
      <c r="BE329" s="285"/>
      <c r="BF329" s="259">
        <v>1836</v>
      </c>
      <c r="BG329" s="260">
        <f>3211+976+1730+4654+11103+3519+8052+132</f>
        <v>33377</v>
      </c>
      <c r="BH329" s="62" t="s">
        <v>939</v>
      </c>
      <c r="BI329" s="62" t="s">
        <v>935</v>
      </c>
      <c r="BJ329" s="62"/>
      <c r="BK329" s="267"/>
      <c r="BL329" s="267"/>
      <c r="BM329" s="267" t="s">
        <v>1649</v>
      </c>
      <c r="BN329" s="268"/>
      <c r="BO329" s="62">
        <v>23</v>
      </c>
      <c r="BP329" s="63">
        <v>31285</v>
      </c>
      <c r="BQ329" s="64" t="s">
        <v>1131</v>
      </c>
      <c r="BR329" s="372" t="s">
        <v>2747</v>
      </c>
      <c r="BS329" s="62"/>
      <c r="BT329" s="323"/>
      <c r="BU329" s="62"/>
      <c r="BV329" s="323"/>
      <c r="BW329" s="62"/>
      <c r="BX329" s="336"/>
      <c r="BY329" s="336"/>
    </row>
    <row r="330" spans="1:77" ht="13.15" hidden="1" customHeight="1" outlineLevel="1" x14ac:dyDescent="0.2">
      <c r="A330" s="50">
        <f t="shared" si="83"/>
        <v>325</v>
      </c>
      <c r="B330" s="51">
        <v>49</v>
      </c>
      <c r="C330" s="51">
        <v>76</v>
      </c>
      <c r="D330" s="18" t="s">
        <v>543</v>
      </c>
      <c r="E330" s="18">
        <v>11</v>
      </c>
      <c r="F330" s="18">
        <v>2</v>
      </c>
      <c r="G330" s="52">
        <v>1</v>
      </c>
      <c r="H330" s="237">
        <v>1</v>
      </c>
      <c r="I330" s="65">
        <v>1954</v>
      </c>
      <c r="J330" s="349">
        <v>4</v>
      </c>
      <c r="K330" s="346">
        <f t="shared" si="84"/>
        <v>5</v>
      </c>
      <c r="L330" s="346">
        <v>1</v>
      </c>
      <c r="M330" s="349">
        <v>4</v>
      </c>
      <c r="N330" s="255">
        <f t="shared" si="82"/>
        <v>1</v>
      </c>
      <c r="O330" s="310">
        <v>60</v>
      </c>
      <c r="P330" s="66">
        <v>0</v>
      </c>
      <c r="Q330" s="66"/>
      <c r="R330" s="66">
        <v>1</v>
      </c>
      <c r="S330" s="66">
        <v>41</v>
      </c>
      <c r="T330" s="66">
        <v>14</v>
      </c>
      <c r="U330" s="66">
        <v>4</v>
      </c>
      <c r="V330" s="66">
        <v>0</v>
      </c>
      <c r="W330" s="54">
        <v>0</v>
      </c>
      <c r="X330" s="55">
        <f>SUMIFS(Таблица3[Кол-во квартир],Таблица3[Адрес МКД],$D330)</f>
        <v>59</v>
      </c>
      <c r="Y330" s="56">
        <f t="shared" si="73"/>
        <v>5735.3899999999994</v>
      </c>
      <c r="Z330" s="253">
        <f>SUMIFS(Таблица3[Площадь жилая],Таблица3[Адрес МКД],$D330)</f>
        <v>3654.7</v>
      </c>
      <c r="AA330" s="261">
        <f>SUMIFS(Таблица3[Площадь нежилых помещений],Таблица3[Адрес МКД],$D330)</f>
        <v>310.5</v>
      </c>
      <c r="AB330" s="252">
        <f>SUMIFS(Таблица1[1],Таблица1[2],$D330)</f>
        <v>310.5</v>
      </c>
      <c r="AC330" s="57">
        <f t="shared" si="78"/>
        <v>310.5</v>
      </c>
      <c r="AD330" s="57">
        <f t="shared" si="79"/>
        <v>0</v>
      </c>
      <c r="AE330" s="58">
        <f>SUMIFS(Таблица1[8],Таблица1[2],$D330)+SUMIFS(Таблица1[18],Таблица1[2],$D330)</f>
        <v>27.7</v>
      </c>
      <c r="AF330" s="58">
        <f>SUMIFS(Таблица1[9],Таблица1[2],$D330)+SUMIFS(Таблица1[19],Таблица1[2],$D330)</f>
        <v>0</v>
      </c>
      <c r="AG330" s="59">
        <f>AJ330+AR330+AV330+AZ330+BB330</f>
        <v>1770.1899999999998</v>
      </c>
      <c r="AH330" s="59">
        <f>AJ330+AL330+AR330+AT330+AV330+AX330+BB330+BD330</f>
        <v>1770.1899999999998</v>
      </c>
      <c r="AI330" s="60">
        <f>414-AM330</f>
        <v>279.3</v>
      </c>
      <c r="AJ330" s="60">
        <f t="shared" si="74"/>
        <v>131.20000000000002</v>
      </c>
      <c r="AK330" s="60">
        <f>SUMIFS(Таблица1[10],Таблица1[2],$D330)</f>
        <v>148.1</v>
      </c>
      <c r="AL330" s="60">
        <f>SUMIFS(Таблица1[11],Таблица1[2],$D330)</f>
        <v>0</v>
      </c>
      <c r="AM330" s="251">
        <v>134.69999999999999</v>
      </c>
      <c r="AN330" s="249">
        <f t="shared" si="75"/>
        <v>0</v>
      </c>
      <c r="AO330" s="249">
        <f>SUMIFS(Таблица1[12],Таблица1[2],$D330)</f>
        <v>134.69999999999999</v>
      </c>
      <c r="AP330" s="249">
        <f>SUMIFS(Таблица1[13],Таблица1[2],$D330)</f>
        <v>0</v>
      </c>
      <c r="AQ330" s="61">
        <v>454.3</v>
      </c>
      <c r="AR330" s="61">
        <f t="shared" si="76"/>
        <v>454.3</v>
      </c>
      <c r="AS330" s="60">
        <f>SUMIFS(Таблица1[14],Таблица1[2],$D330)</f>
        <v>0</v>
      </c>
      <c r="AT330" s="60">
        <f>SUMIFS(Таблица1[15],Таблица1[2],$D330)</f>
        <v>0</v>
      </c>
      <c r="AU330" s="61">
        <v>1164.0899999999999</v>
      </c>
      <c r="AV330" s="61">
        <f t="shared" si="77"/>
        <v>1164.0899999999999</v>
      </c>
      <c r="AW330" s="60">
        <f>SUMIFS(Таблица1[16],Таблица1[2],$D330)</f>
        <v>0</v>
      </c>
      <c r="AX330" s="60">
        <f>SUMIFS(Таблица1[17],Таблица1[2],$D330)</f>
        <v>0</v>
      </c>
      <c r="AY330" s="263"/>
      <c r="AZ330" s="264"/>
      <c r="BA330" s="296">
        <v>27.7</v>
      </c>
      <c r="BB330" s="296">
        <f t="shared" si="71"/>
        <v>20.6</v>
      </c>
      <c r="BC330" s="296">
        <f>Нежилые!I1650</f>
        <v>7.0999999999999979</v>
      </c>
      <c r="BD330" s="296">
        <v>0</v>
      </c>
      <c r="BE330" s="285"/>
      <c r="BF330" s="259">
        <v>2960</v>
      </c>
      <c r="BG330" s="260">
        <v>16734</v>
      </c>
      <c r="BH330" s="62" t="s">
        <v>936</v>
      </c>
      <c r="BI330" s="62" t="s">
        <v>935</v>
      </c>
      <c r="BJ330" s="62"/>
      <c r="BK330" s="267"/>
      <c r="BL330" s="267"/>
      <c r="BM330" s="267" t="s">
        <v>1649</v>
      </c>
      <c r="BN330" s="268"/>
      <c r="BO330" s="62">
        <v>36</v>
      </c>
      <c r="BP330" s="63">
        <v>29636</v>
      </c>
      <c r="BQ330" s="64" t="s">
        <v>1131</v>
      </c>
      <c r="BR330" s="372" t="s">
        <v>2747</v>
      </c>
      <c r="BS330" s="62"/>
      <c r="BT330" s="323"/>
      <c r="BU330" s="62"/>
      <c r="BV330" s="323"/>
      <c r="BW330" s="62"/>
      <c r="BX330" s="336"/>
      <c r="BY330" s="336"/>
    </row>
    <row r="331" spans="1:77" ht="13.15" hidden="1" customHeight="1" outlineLevel="1" x14ac:dyDescent="0.2">
      <c r="A331" s="50">
        <f t="shared" si="83"/>
        <v>326</v>
      </c>
      <c r="B331" s="51">
        <v>50</v>
      </c>
      <c r="C331" s="51">
        <v>77</v>
      </c>
      <c r="D331" s="18" t="s">
        <v>544</v>
      </c>
      <c r="E331" s="18">
        <v>11</v>
      </c>
      <c r="F331" s="18">
        <v>2</v>
      </c>
      <c r="G331" s="52">
        <v>1</v>
      </c>
      <c r="H331" s="237">
        <v>1</v>
      </c>
      <c r="I331" s="65">
        <v>1956</v>
      </c>
      <c r="J331" s="349">
        <v>5</v>
      </c>
      <c r="K331" s="346">
        <f t="shared" si="84"/>
        <v>6</v>
      </c>
      <c r="L331" s="346">
        <v>1</v>
      </c>
      <c r="M331" s="349">
        <v>5</v>
      </c>
      <c r="N331" s="255">
        <f t="shared" si="82"/>
        <v>1</v>
      </c>
      <c r="O331" s="310">
        <v>99</v>
      </c>
      <c r="P331" s="66">
        <v>10</v>
      </c>
      <c r="Q331" s="66"/>
      <c r="R331" s="66">
        <v>0</v>
      </c>
      <c r="S331" s="66">
        <v>55</v>
      </c>
      <c r="T331" s="66">
        <v>43</v>
      </c>
      <c r="U331" s="66">
        <v>1</v>
      </c>
      <c r="V331" s="66">
        <v>0</v>
      </c>
      <c r="W331" s="54">
        <v>0</v>
      </c>
      <c r="X331" s="55">
        <f>SUMIFS(Таблица3[Кол-во квартир],Таблица3[Адрес МКД],$D331)</f>
        <v>88</v>
      </c>
      <c r="Y331" s="56">
        <f t="shared" si="73"/>
        <v>10288.34</v>
      </c>
      <c r="Z331" s="253">
        <f>SUMIFS(Таблица3[Площадь жилая],Таблица3[Адрес МКД],$D331)</f>
        <v>5972.04</v>
      </c>
      <c r="AA331" s="261">
        <f>SUMIFS(Таблица3[Площадь нежилых помещений],Таблица3[Адрес МКД],$D331)</f>
        <v>1497.6</v>
      </c>
      <c r="AB331" s="252">
        <f>SUMIFS(Таблица1[1],Таблица1[2],$D331)</f>
        <v>1489.1999999999998</v>
      </c>
      <c r="AC331" s="57">
        <f t="shared" si="78"/>
        <v>1479.1999999999998</v>
      </c>
      <c r="AD331" s="57">
        <f t="shared" si="79"/>
        <v>10</v>
      </c>
      <c r="AE331" s="58">
        <f>SUMIFS(Таблица1[8],Таблица1[2],$D331)+SUMIFS(Таблица1[18],Таблица1[2],$D331)</f>
        <v>650</v>
      </c>
      <c r="AF331" s="58">
        <f>SUMIFS(Таблица1[9],Таблица1[2],$D331)+SUMIFS(Таблица1[19],Таблица1[2],$D331)</f>
        <v>0</v>
      </c>
      <c r="AG331" s="59">
        <f>AJ331+AR331+AV331+AZ331+BB331</f>
        <v>2825.5</v>
      </c>
      <c r="AH331" s="59">
        <f>AJ331+AL331+AR331+AT331+AV331+AX331+BB331+BD331</f>
        <v>2835.5</v>
      </c>
      <c r="AI331" s="60">
        <f>1188-AM331</f>
        <v>1027.8</v>
      </c>
      <c r="AJ331" s="60">
        <f t="shared" si="74"/>
        <v>357.19999999999993</v>
      </c>
      <c r="AK331" s="60">
        <f>SUMIFS(Таблица1[10],Таблица1[2],$D331)</f>
        <v>670.6</v>
      </c>
      <c r="AL331" s="60">
        <f>SUMIFS(Таблица1[11],Таблица1[2],$D331)</f>
        <v>0</v>
      </c>
      <c r="AM331" s="251">
        <f>259.9-4.3-9.5-79.3-6.6</f>
        <v>160.19999999999996</v>
      </c>
      <c r="AN331" s="249">
        <f t="shared" si="75"/>
        <v>1.5999999999999659</v>
      </c>
      <c r="AO331" s="249">
        <f>SUMIFS(Таблица1[12],Таблица1[2],$D331)</f>
        <v>158.6</v>
      </c>
      <c r="AP331" s="249">
        <f>SUMIFS(Таблица1[13],Таблица1[2],$D331)</f>
        <v>0</v>
      </c>
      <c r="AQ331" s="61">
        <f>108.5+592.6</f>
        <v>701.1</v>
      </c>
      <c r="AR331" s="61">
        <f t="shared" si="76"/>
        <v>691.1</v>
      </c>
      <c r="AS331" s="60">
        <f>SUMIFS(Таблица1[14],Таблица1[2],$D331)</f>
        <v>0</v>
      </c>
      <c r="AT331" s="60">
        <f>SUMIFS(Таблица1[15],Таблица1[2],$D331)</f>
        <v>10</v>
      </c>
      <c r="AU331" s="61">
        <v>1777.2</v>
      </c>
      <c r="AV331" s="61">
        <f t="shared" si="77"/>
        <v>1777.2</v>
      </c>
      <c r="AW331" s="60">
        <f>SUMIFS(Таблица1[16],Таблица1[2],$D331)</f>
        <v>0</v>
      </c>
      <c r="AX331" s="60">
        <f>SUMIFS(Таблица1[17],Таблица1[2],$D331)</f>
        <v>0</v>
      </c>
      <c r="AY331" s="263">
        <f>Нежилые!G1663</f>
        <v>82.9</v>
      </c>
      <c r="AZ331" s="264"/>
      <c r="BA331" s="296">
        <v>30.3</v>
      </c>
      <c r="BB331" s="296">
        <f t="shared" si="71"/>
        <v>0</v>
      </c>
      <c r="BC331" s="296">
        <f>Нежилые!I1664</f>
        <v>30.3</v>
      </c>
      <c r="BD331" s="296">
        <v>0</v>
      </c>
      <c r="BE331" s="285"/>
      <c r="BF331" s="259">
        <f>5625+31+77</f>
        <v>5733</v>
      </c>
      <c r="BG331" s="260">
        <f>51+29217</f>
        <v>29268</v>
      </c>
      <c r="BH331" s="62" t="s">
        <v>936</v>
      </c>
      <c r="BI331" s="62" t="s">
        <v>935</v>
      </c>
      <c r="BJ331" s="62" t="s">
        <v>1017</v>
      </c>
      <c r="BK331" s="267"/>
      <c r="BL331" s="267"/>
      <c r="BM331" s="267" t="s">
        <v>1649</v>
      </c>
      <c r="BN331" s="268"/>
      <c r="BO331" s="62">
        <v>47</v>
      </c>
      <c r="BP331" s="63">
        <v>44084</v>
      </c>
      <c r="BQ331" s="64" t="s">
        <v>1131</v>
      </c>
      <c r="BR331" s="372" t="s">
        <v>2747</v>
      </c>
      <c r="BS331" s="62"/>
      <c r="BT331" s="323"/>
      <c r="BU331" s="62"/>
      <c r="BV331" s="323"/>
      <c r="BW331" s="62"/>
      <c r="BX331" s="336">
        <v>46</v>
      </c>
      <c r="BY331" s="336" t="s">
        <v>1649</v>
      </c>
    </row>
    <row r="332" spans="1:77" s="370" customFormat="1" ht="13.15" hidden="1" customHeight="1" outlineLevel="1" x14ac:dyDescent="0.2">
      <c r="A332" s="363">
        <f t="shared" si="83"/>
        <v>327</v>
      </c>
      <c r="B332" s="364">
        <v>23</v>
      </c>
      <c r="C332" s="364">
        <v>71</v>
      </c>
      <c r="D332" s="329" t="s">
        <v>1013</v>
      </c>
      <c r="E332" s="329">
        <v>14</v>
      </c>
      <c r="F332" s="329">
        <v>3</v>
      </c>
      <c r="G332" s="365">
        <v>1</v>
      </c>
      <c r="H332" s="366">
        <v>1</v>
      </c>
      <c r="I332" s="362">
        <v>1956</v>
      </c>
      <c r="J332" s="354">
        <v>4</v>
      </c>
      <c r="K332" s="356">
        <f t="shared" si="84"/>
        <v>6</v>
      </c>
      <c r="L332" s="356">
        <v>2</v>
      </c>
      <c r="M332" s="354">
        <v>4</v>
      </c>
      <c r="N332" s="337">
        <f t="shared" si="82"/>
        <v>3</v>
      </c>
      <c r="O332" s="328">
        <v>66</v>
      </c>
      <c r="P332" s="327">
        <v>3</v>
      </c>
      <c r="Q332" s="327"/>
      <c r="R332" s="327">
        <v>0</v>
      </c>
      <c r="S332" s="327">
        <v>44</v>
      </c>
      <c r="T332" s="327">
        <v>22</v>
      </c>
      <c r="U332" s="327">
        <v>0</v>
      </c>
      <c r="V332" s="327">
        <v>0</v>
      </c>
      <c r="W332" s="330">
        <v>0</v>
      </c>
      <c r="X332" s="367">
        <f>SUMIFS(Таблица3[Кол-во квартир],Таблица3[Адрес МКД],$D332)</f>
        <v>60</v>
      </c>
      <c r="Y332" s="56">
        <f t="shared" si="73"/>
        <v>6564.5</v>
      </c>
      <c r="Z332" s="253">
        <f>SUMIFS(Таблица3[Площадь жилая],Таблица3[Адрес МКД],$D332)</f>
        <v>3750.1</v>
      </c>
      <c r="AA332" s="261">
        <f>SUMIFS(Таблица3[Площадь нежилых помещений],Таблица3[Адрес МКД],$D332)</f>
        <v>840.3</v>
      </c>
      <c r="AB332" s="252">
        <f>SUMIFS(Таблица1[1],Таблица1[2],$D332)</f>
        <v>962.2</v>
      </c>
      <c r="AC332" s="57">
        <f t="shared" si="78"/>
        <v>962.2</v>
      </c>
      <c r="AD332" s="57">
        <f t="shared" si="79"/>
        <v>0</v>
      </c>
      <c r="AE332" s="58">
        <f>SUMIFS(Таблица1[8],Таблица1[2],$D332)+SUMIFS(Таблица1[18],Таблица1[2],$D332)</f>
        <v>70</v>
      </c>
      <c r="AF332" s="58">
        <f>SUMIFS(Таблица1[9],Таблица1[2],$D332)+SUMIFS(Таблица1[19],Таблица1[2],$D332)</f>
        <v>0</v>
      </c>
      <c r="AG332" s="59">
        <f t="shared" si="80"/>
        <v>1852.1999999999998</v>
      </c>
      <c r="AH332" s="59">
        <f t="shared" si="81"/>
        <v>1852.1999999999998</v>
      </c>
      <c r="AI332" s="60">
        <f>129.8+117.7+216+48.1+127.6+68.1+32.3+9.3+121.9+463.5-AM332</f>
        <v>1138.5999999999999</v>
      </c>
      <c r="AJ332" s="60">
        <f>AI332-AK332-AL332</f>
        <v>442.09999999999991</v>
      </c>
      <c r="AK332" s="60">
        <f>SUMIFS(Таблица1[10],Таблица1[2],$D332)</f>
        <v>696.5</v>
      </c>
      <c r="AL332" s="60">
        <f>SUMIFS(Таблица1[11],Таблица1[2],$D332)</f>
        <v>0</v>
      </c>
      <c r="AM332" s="251">
        <f>127.6+68.1</f>
        <v>195.7</v>
      </c>
      <c r="AN332" s="249">
        <f t="shared" si="75"/>
        <v>0</v>
      </c>
      <c r="AO332" s="249">
        <f>SUMIFS(Таблица1[12],Таблица1[2],$D332)</f>
        <v>195.7</v>
      </c>
      <c r="AP332" s="249">
        <f>SUMIFS(Таблица1[13],Таблица1[2],$D332)</f>
        <v>0</v>
      </c>
      <c r="AQ332" s="61">
        <v>494.3</v>
      </c>
      <c r="AR332" s="61">
        <f t="shared" si="76"/>
        <v>494.3</v>
      </c>
      <c r="AS332" s="60">
        <f>SUMIFS(Таблица1[14],Таблица1[2],$D332)</f>
        <v>0</v>
      </c>
      <c r="AT332" s="60">
        <f>SUMIFS(Таблица1[15],Таблица1[2],$D332)</f>
        <v>0</v>
      </c>
      <c r="AU332" s="61">
        <v>915.8</v>
      </c>
      <c r="AV332" s="61">
        <f t="shared" si="77"/>
        <v>915.8</v>
      </c>
      <c r="AW332" s="60">
        <f>SUMIFS(Таблица1[16],Таблица1[2],$D332)</f>
        <v>0</v>
      </c>
      <c r="AX332" s="60">
        <f>SUMIFS(Таблица1[17],Таблица1[2],$D332)</f>
        <v>0</v>
      </c>
      <c r="AY332" s="263">
        <f>Нежилые!G1670</f>
        <v>121.9</v>
      </c>
      <c r="AZ332" s="264"/>
      <c r="BA332" s="296">
        <v>0</v>
      </c>
      <c r="BB332" s="296">
        <f t="shared" si="71"/>
        <v>0</v>
      </c>
      <c r="BC332" s="296">
        <v>0</v>
      </c>
      <c r="BD332" s="296">
        <v>0</v>
      </c>
      <c r="BE332" s="285"/>
      <c r="BF332" s="259">
        <v>2491.3000000000002</v>
      </c>
      <c r="BG332" s="260">
        <v>16197.8</v>
      </c>
      <c r="BH332" s="62" t="s">
        <v>939</v>
      </c>
      <c r="BI332" s="62" t="s">
        <v>935</v>
      </c>
      <c r="BJ332" s="62"/>
      <c r="BK332" s="267"/>
      <c r="BL332" s="267"/>
      <c r="BM332" s="267" t="s">
        <v>1649</v>
      </c>
      <c r="BN332" s="268"/>
      <c r="BO332" s="62">
        <v>29</v>
      </c>
      <c r="BP332" s="63">
        <v>32160</v>
      </c>
      <c r="BQ332" s="64" t="s">
        <v>1131</v>
      </c>
      <c r="BR332" s="372" t="s">
        <v>2747</v>
      </c>
      <c r="BS332" s="331"/>
      <c r="BT332" s="368"/>
      <c r="BU332" s="331"/>
      <c r="BV332" s="368"/>
      <c r="BW332" s="331"/>
      <c r="BX332" s="369">
        <v>34</v>
      </c>
      <c r="BY332" s="369"/>
    </row>
    <row r="333" spans="1:77" ht="13.15" customHeight="1" outlineLevel="1" x14ac:dyDescent="0.2">
      <c r="A333" s="50">
        <f t="shared" si="83"/>
        <v>328</v>
      </c>
      <c r="B333" s="51">
        <v>62</v>
      </c>
      <c r="C333" s="51">
        <v>82</v>
      </c>
      <c r="D333" s="18" t="s">
        <v>613</v>
      </c>
      <c r="E333" s="18">
        <v>12</v>
      </c>
      <c r="F333" s="18">
        <v>4</v>
      </c>
      <c r="G333" s="52">
        <v>1</v>
      </c>
      <c r="H333" s="237">
        <v>1</v>
      </c>
      <c r="I333" s="65">
        <v>1960</v>
      </c>
      <c r="J333" s="349">
        <v>5</v>
      </c>
      <c r="K333" s="346">
        <f t="shared" si="84"/>
        <v>6</v>
      </c>
      <c r="L333" s="346">
        <v>1</v>
      </c>
      <c r="M333" s="349">
        <v>4</v>
      </c>
      <c r="N333" s="337">
        <f t="shared" si="82"/>
        <v>-1</v>
      </c>
      <c r="O333" s="310">
        <v>77</v>
      </c>
      <c r="P333" s="66">
        <v>1</v>
      </c>
      <c r="Q333" s="66"/>
      <c r="R333" s="66">
        <v>38</v>
      </c>
      <c r="S333" s="66">
        <v>17</v>
      </c>
      <c r="T333" s="66">
        <v>22</v>
      </c>
      <c r="U333" s="66">
        <v>0</v>
      </c>
      <c r="V333" s="66">
        <v>0</v>
      </c>
      <c r="W333" s="54">
        <v>0</v>
      </c>
      <c r="X333" s="55">
        <f>SUMIFS(Таблица3[Кол-во квартир],Таблица3[Адрес МКД],$D333)</f>
        <v>77</v>
      </c>
      <c r="Y333" s="56">
        <f t="shared" si="73"/>
        <v>4831.3500000000004</v>
      </c>
      <c r="Z333" s="253">
        <f>SUMIFS(Таблица3[Площадь жилая],Таблица3[Адрес МКД],$D333)</f>
        <v>3089.67</v>
      </c>
      <c r="AA333" s="261">
        <f>SUMIFS(Таблица3[Площадь нежилых помещений],Таблица3[Адрес МКД],$D333)</f>
        <v>139.6</v>
      </c>
      <c r="AB333" s="252">
        <f>SUMIFS(Таблица1[1],Таблица1[2],$D333)</f>
        <v>139.6</v>
      </c>
      <c r="AC333" s="57">
        <f t="shared" si="78"/>
        <v>139.6</v>
      </c>
      <c r="AD333" s="57">
        <f t="shared" si="79"/>
        <v>0</v>
      </c>
      <c r="AE333" s="58">
        <f>SUMIFS(Таблица1[8],Таблица1[2],$D333)+SUMIFS(Таблица1[18],Таблица1[2],$D333)</f>
        <v>40</v>
      </c>
      <c r="AF333" s="58">
        <f>SUMIFS(Таблица1[9],Таблица1[2],$D333)+SUMIFS(Таблица1[19],Таблица1[2],$D333)</f>
        <v>0</v>
      </c>
      <c r="AG333" s="59">
        <f t="shared" si="80"/>
        <v>1602.08</v>
      </c>
      <c r="AH333" s="59">
        <f t="shared" si="81"/>
        <v>1602.08</v>
      </c>
      <c r="AI333" s="60">
        <f>639.7-AM333</f>
        <v>639.70000000000005</v>
      </c>
      <c r="AJ333" s="60">
        <f t="shared" si="74"/>
        <v>540.1</v>
      </c>
      <c r="AK333" s="60">
        <f>SUMIFS(Таблица1[10],Таблица1[2],$D333)</f>
        <v>99.6</v>
      </c>
      <c r="AL333" s="60">
        <f>SUMIFS(Таблица1[11],Таблица1[2],$D333)</f>
        <v>0</v>
      </c>
      <c r="AM333" s="251">
        <v>0</v>
      </c>
      <c r="AN333" s="249">
        <f t="shared" si="75"/>
        <v>0</v>
      </c>
      <c r="AO333" s="249">
        <f>SUMIFS(Таблица1[12],Таблица1[2],$D333)</f>
        <v>0</v>
      </c>
      <c r="AP333" s="249">
        <f>SUMIFS(Таблица1[13],Таблица1[2],$D333)</f>
        <v>0</v>
      </c>
      <c r="AQ333" s="61">
        <v>294.7</v>
      </c>
      <c r="AR333" s="61">
        <f t="shared" si="76"/>
        <v>294.7</v>
      </c>
      <c r="AS333" s="60">
        <f>SUMIFS(Таблица1[14],Таблица1[2],$D333)</f>
        <v>0</v>
      </c>
      <c r="AT333" s="60">
        <f>SUMIFS(Таблица1[15],Таблица1[2],$D333)</f>
        <v>0</v>
      </c>
      <c r="AU333" s="61">
        <v>767.28</v>
      </c>
      <c r="AV333" s="61">
        <f t="shared" si="77"/>
        <v>767.28</v>
      </c>
      <c r="AW333" s="60">
        <f>SUMIFS(Таблица1[16],Таблица1[2],$D333)</f>
        <v>0</v>
      </c>
      <c r="AX333" s="60">
        <f>SUMIFS(Таблица1[17],Таблица1[2],$D333)</f>
        <v>0</v>
      </c>
      <c r="AY333" s="263"/>
      <c r="AZ333" s="264"/>
      <c r="BA333" s="296">
        <v>0</v>
      </c>
      <c r="BB333" s="296">
        <f t="shared" si="71"/>
        <v>0</v>
      </c>
      <c r="BC333" s="296">
        <v>0</v>
      </c>
      <c r="BD333" s="296">
        <v>0</v>
      </c>
      <c r="BE333" s="285"/>
      <c r="BF333" s="259">
        <v>2176</v>
      </c>
      <c r="BG333" s="260">
        <v>11994</v>
      </c>
      <c r="BH333" s="62" t="s">
        <v>939</v>
      </c>
      <c r="BI333" s="62" t="s">
        <v>935</v>
      </c>
      <c r="BJ333" s="62"/>
      <c r="BK333" s="267"/>
      <c r="BL333" s="267" t="s">
        <v>1649</v>
      </c>
      <c r="BM333" s="267"/>
      <c r="BN333" s="268"/>
      <c r="BO333" s="62">
        <v>31</v>
      </c>
      <c r="BP333" s="63">
        <v>27961</v>
      </c>
      <c r="BQ333" s="64" t="s">
        <v>1131</v>
      </c>
      <c r="BR333" s="372" t="s">
        <v>2747</v>
      </c>
      <c r="BS333" s="62"/>
      <c r="BT333" s="323"/>
      <c r="BU333" s="62"/>
      <c r="BV333" s="323"/>
      <c r="BW333" s="62"/>
      <c r="BX333" s="336">
        <v>53</v>
      </c>
      <c r="BY333" s="336"/>
    </row>
    <row r="334" spans="1:77" ht="13.15" customHeight="1" outlineLevel="1" x14ac:dyDescent="0.2">
      <c r="A334" s="50">
        <f t="shared" si="83"/>
        <v>329</v>
      </c>
      <c r="B334" s="51">
        <v>63</v>
      </c>
      <c r="C334" s="51">
        <v>83</v>
      </c>
      <c r="D334" s="18" t="s">
        <v>614</v>
      </c>
      <c r="E334" s="18">
        <v>12</v>
      </c>
      <c r="F334" s="18">
        <v>4</v>
      </c>
      <c r="G334" s="52">
        <v>1</v>
      </c>
      <c r="H334" s="237">
        <v>1</v>
      </c>
      <c r="I334" s="65">
        <v>1960</v>
      </c>
      <c r="J334" s="349">
        <v>5</v>
      </c>
      <c r="K334" s="346">
        <f t="shared" si="84"/>
        <v>6</v>
      </c>
      <c r="L334" s="346">
        <v>1</v>
      </c>
      <c r="M334" s="349">
        <v>3</v>
      </c>
      <c r="N334" s="255">
        <f t="shared" si="82"/>
        <v>0</v>
      </c>
      <c r="O334" s="310">
        <v>60</v>
      </c>
      <c r="P334" s="66">
        <v>0</v>
      </c>
      <c r="Q334" s="66"/>
      <c r="R334" s="66">
        <v>6</v>
      </c>
      <c r="S334" s="66">
        <v>45</v>
      </c>
      <c r="T334" s="66">
        <v>9</v>
      </c>
      <c r="U334" s="66">
        <v>0</v>
      </c>
      <c r="V334" s="66">
        <v>0</v>
      </c>
      <c r="W334" s="54">
        <v>0</v>
      </c>
      <c r="X334" s="55">
        <f>SUMIFS(Таблица3[Кол-во квартир],Таблица3[Адрес МКД],$D334)</f>
        <v>60</v>
      </c>
      <c r="Y334" s="56">
        <f t="shared" si="73"/>
        <v>3947.2799999999997</v>
      </c>
      <c r="Z334" s="253">
        <f>SUMIFS(Таблица3[Площадь жилая],Таблица3[Адрес МКД],$D334)</f>
        <v>2607.6</v>
      </c>
      <c r="AA334" s="261">
        <f>SUMIFS(Таблица3[Площадь нежилых помещений],Таблица3[Адрес МКД],$D334)</f>
        <v>0</v>
      </c>
      <c r="AB334" s="252">
        <f>SUMIFS(Таблица1[1],Таблица1[2],$D334)</f>
        <v>0</v>
      </c>
      <c r="AC334" s="57">
        <f t="shared" si="78"/>
        <v>0</v>
      </c>
      <c r="AD334" s="57">
        <f t="shared" si="79"/>
        <v>0</v>
      </c>
      <c r="AE334" s="58">
        <f>SUMIFS(Таблица1[8],Таблица1[2],$D334)+SUMIFS(Таблица1[18],Таблица1[2],$D334)</f>
        <v>0</v>
      </c>
      <c r="AF334" s="58">
        <f>SUMIFS(Таблица1[9],Таблица1[2],$D334)+SUMIFS(Таблица1[19],Таблица1[2],$D334)</f>
        <v>0</v>
      </c>
      <c r="AG334" s="59">
        <f t="shared" si="80"/>
        <v>1339.68</v>
      </c>
      <c r="AH334" s="59">
        <f t="shared" si="81"/>
        <v>1339.68</v>
      </c>
      <c r="AI334" s="60">
        <f>522.7-AM334</f>
        <v>522.70000000000005</v>
      </c>
      <c r="AJ334" s="60">
        <f t="shared" si="74"/>
        <v>522.70000000000005</v>
      </c>
      <c r="AK334" s="60">
        <f>SUMIFS(Таблица1[10],Таблица1[2],$D334)</f>
        <v>0</v>
      </c>
      <c r="AL334" s="60">
        <f>SUMIFS(Таблица1[11],Таблица1[2],$D334)</f>
        <v>0</v>
      </c>
      <c r="AM334" s="251">
        <v>0</v>
      </c>
      <c r="AN334" s="249">
        <f t="shared" si="75"/>
        <v>0</v>
      </c>
      <c r="AO334" s="249">
        <f>SUMIFS(Таблица1[12],Таблица1[2],$D334)</f>
        <v>0</v>
      </c>
      <c r="AP334" s="249">
        <f>SUMIFS(Таблица1[13],Таблица1[2],$D334)</f>
        <v>0</v>
      </c>
      <c r="AQ334" s="61">
        <v>216.2</v>
      </c>
      <c r="AR334" s="61">
        <f t="shared" si="76"/>
        <v>216.2</v>
      </c>
      <c r="AS334" s="60">
        <f>SUMIFS(Таблица1[14],Таблица1[2],$D334)</f>
        <v>0</v>
      </c>
      <c r="AT334" s="60">
        <f>SUMIFS(Таблица1[15],Таблица1[2],$D334)</f>
        <v>0</v>
      </c>
      <c r="AU334" s="61">
        <v>600.78</v>
      </c>
      <c r="AV334" s="61">
        <f t="shared" si="77"/>
        <v>600.78</v>
      </c>
      <c r="AW334" s="60">
        <f>SUMIFS(Таблица1[16],Таблица1[2],$D334)</f>
        <v>0</v>
      </c>
      <c r="AX334" s="60">
        <f>SUMIFS(Таблица1[17],Таблица1[2],$D334)</f>
        <v>0</v>
      </c>
      <c r="AY334" s="263"/>
      <c r="AZ334" s="264"/>
      <c r="BA334" s="296">
        <v>0</v>
      </c>
      <c r="BB334" s="296">
        <f t="shared" si="71"/>
        <v>0</v>
      </c>
      <c r="BC334" s="296">
        <v>0</v>
      </c>
      <c r="BD334" s="296">
        <v>0</v>
      </c>
      <c r="BE334" s="285"/>
      <c r="BF334" s="259">
        <v>1709</v>
      </c>
      <c r="BG334" s="260">
        <f>9507+466</f>
        <v>9973</v>
      </c>
      <c r="BH334" s="62" t="s">
        <v>939</v>
      </c>
      <c r="BI334" s="62" t="s">
        <v>935</v>
      </c>
      <c r="BJ334" s="62"/>
      <c r="BK334" s="267"/>
      <c r="BL334" s="267" t="s">
        <v>1649</v>
      </c>
      <c r="BM334" s="267"/>
      <c r="BN334" s="268"/>
      <c r="BO334" s="62">
        <v>28</v>
      </c>
      <c r="BP334" s="63">
        <v>32112</v>
      </c>
      <c r="BQ334" s="64" t="s">
        <v>1133</v>
      </c>
      <c r="BR334" s="372" t="s">
        <v>2747</v>
      </c>
      <c r="BS334" s="62"/>
      <c r="BT334" s="323"/>
      <c r="BU334" s="62"/>
      <c r="BV334" s="323"/>
      <c r="BW334" s="62"/>
      <c r="BX334" s="336">
        <v>35</v>
      </c>
      <c r="BY334" s="336"/>
    </row>
    <row r="335" spans="1:77" ht="13.15" customHeight="1" outlineLevel="1" x14ac:dyDescent="0.2">
      <c r="A335" s="50">
        <f t="shared" si="83"/>
        <v>330</v>
      </c>
      <c r="B335" s="51">
        <v>64</v>
      </c>
      <c r="C335" s="51">
        <v>84</v>
      </c>
      <c r="D335" s="18" t="s">
        <v>615</v>
      </c>
      <c r="E335" s="18">
        <v>12</v>
      </c>
      <c r="F335" s="18">
        <v>4</v>
      </c>
      <c r="G335" s="52">
        <v>1</v>
      </c>
      <c r="H335" s="237">
        <v>1</v>
      </c>
      <c r="I335" s="65">
        <v>1960</v>
      </c>
      <c r="J335" s="349">
        <v>5</v>
      </c>
      <c r="K335" s="346">
        <f t="shared" si="84"/>
        <v>6</v>
      </c>
      <c r="L335" s="346">
        <v>1</v>
      </c>
      <c r="M335" s="349">
        <v>3</v>
      </c>
      <c r="N335" s="255">
        <f t="shared" si="82"/>
        <v>0</v>
      </c>
      <c r="O335" s="310">
        <v>60</v>
      </c>
      <c r="P335" s="66">
        <v>0</v>
      </c>
      <c r="Q335" s="66"/>
      <c r="R335" s="66">
        <v>10</v>
      </c>
      <c r="S335" s="66">
        <v>45</v>
      </c>
      <c r="T335" s="66">
        <v>5</v>
      </c>
      <c r="U335" s="66">
        <v>0</v>
      </c>
      <c r="V335" s="66">
        <v>0</v>
      </c>
      <c r="W335" s="54">
        <v>0</v>
      </c>
      <c r="X335" s="55">
        <f>SUMIFS(Таблица3[Кол-во квартир],Таблица3[Адрес МКД],$D335)</f>
        <v>60</v>
      </c>
      <c r="Y335" s="56">
        <f t="shared" si="73"/>
        <v>3855.86</v>
      </c>
      <c r="Z335" s="253">
        <f>SUMIFS(Таблица3[Площадь жилая],Таблица3[Адрес МКД],$D335)</f>
        <v>2515.4</v>
      </c>
      <c r="AA335" s="261">
        <f>SUMIFS(Таблица3[Площадь нежилых помещений],Таблица3[Адрес МКД],$D335)</f>
        <v>0</v>
      </c>
      <c r="AB335" s="252">
        <f>SUMIFS(Таблица1[1],Таблица1[2],$D335)</f>
        <v>0</v>
      </c>
      <c r="AC335" s="57">
        <f t="shared" si="78"/>
        <v>0</v>
      </c>
      <c r="AD335" s="57">
        <f t="shared" si="79"/>
        <v>0</v>
      </c>
      <c r="AE335" s="58">
        <f>SUMIFS(Таблица1[8],Таблица1[2],$D335)+SUMIFS(Таблица1[18],Таблица1[2],$D335)</f>
        <v>0</v>
      </c>
      <c r="AF335" s="58">
        <f>SUMIFS(Таблица1[9],Таблица1[2],$D335)+SUMIFS(Таблица1[19],Таблица1[2],$D335)</f>
        <v>0</v>
      </c>
      <c r="AG335" s="59">
        <f t="shared" si="80"/>
        <v>1340.46</v>
      </c>
      <c r="AH335" s="59">
        <f t="shared" si="81"/>
        <v>1340.46</v>
      </c>
      <c r="AI335" s="60">
        <f>525.6-AM335</f>
        <v>525.6</v>
      </c>
      <c r="AJ335" s="60">
        <f t="shared" si="74"/>
        <v>525.6</v>
      </c>
      <c r="AK335" s="60">
        <f>SUMIFS(Таблица1[10],Таблица1[2],$D335)</f>
        <v>0</v>
      </c>
      <c r="AL335" s="60">
        <f>SUMIFS(Таблица1[11],Таблица1[2],$D335)</f>
        <v>0</v>
      </c>
      <c r="AM335" s="251">
        <v>0</v>
      </c>
      <c r="AN335" s="249">
        <f t="shared" si="75"/>
        <v>0</v>
      </c>
      <c r="AO335" s="249">
        <f>SUMIFS(Таблица1[12],Таблица1[2],$D335)</f>
        <v>0</v>
      </c>
      <c r="AP335" s="249">
        <f>SUMIFS(Таблица1[13],Таблица1[2],$D335)</f>
        <v>0</v>
      </c>
      <c r="AQ335" s="61">
        <v>211.7</v>
      </c>
      <c r="AR335" s="61">
        <f t="shared" si="76"/>
        <v>211.7</v>
      </c>
      <c r="AS335" s="60">
        <f>SUMIFS(Таблица1[14],Таблица1[2],$D335)</f>
        <v>0</v>
      </c>
      <c r="AT335" s="60">
        <f>SUMIFS(Таблица1[15],Таблица1[2],$D335)</f>
        <v>0</v>
      </c>
      <c r="AU335" s="61">
        <v>603.16</v>
      </c>
      <c r="AV335" s="61">
        <f t="shared" si="77"/>
        <v>603.16</v>
      </c>
      <c r="AW335" s="60">
        <f>SUMIFS(Таблица1[16],Таблица1[2],$D335)</f>
        <v>0</v>
      </c>
      <c r="AX335" s="60">
        <f>SUMIFS(Таблица1[17],Таблица1[2],$D335)</f>
        <v>0</v>
      </c>
      <c r="AY335" s="263"/>
      <c r="AZ335" s="264"/>
      <c r="BA335" s="296">
        <v>0</v>
      </c>
      <c r="BB335" s="296">
        <f t="shared" si="71"/>
        <v>0</v>
      </c>
      <c r="BC335" s="296">
        <v>0</v>
      </c>
      <c r="BD335" s="296">
        <v>0</v>
      </c>
      <c r="BE335" s="285"/>
      <c r="BF335" s="259">
        <v>1643</v>
      </c>
      <c r="BG335" s="260">
        <v>9679</v>
      </c>
      <c r="BH335" s="62" t="s">
        <v>939</v>
      </c>
      <c r="BI335" s="62" t="s">
        <v>935</v>
      </c>
      <c r="BJ335" s="62"/>
      <c r="BK335" s="267"/>
      <c r="BL335" s="267" t="s">
        <v>1649</v>
      </c>
      <c r="BM335" s="267"/>
      <c r="BN335" s="268"/>
      <c r="BO335" s="62">
        <v>30</v>
      </c>
      <c r="BP335" s="63">
        <v>31905</v>
      </c>
      <c r="BQ335" s="64" t="s">
        <v>1133</v>
      </c>
      <c r="BR335" s="372" t="s">
        <v>2747</v>
      </c>
      <c r="BS335" s="62"/>
      <c r="BT335" s="323"/>
      <c r="BU335" s="62"/>
      <c r="BV335" s="323"/>
      <c r="BW335" s="62"/>
      <c r="BX335" s="336">
        <v>36</v>
      </c>
      <c r="BY335" s="336"/>
    </row>
    <row r="336" spans="1:77" ht="13.15" customHeight="1" outlineLevel="1" x14ac:dyDescent="0.2">
      <c r="A336" s="50">
        <f t="shared" si="83"/>
        <v>331</v>
      </c>
      <c r="B336" s="51">
        <v>65</v>
      </c>
      <c r="C336" s="51">
        <v>85</v>
      </c>
      <c r="D336" s="18" t="s">
        <v>616</v>
      </c>
      <c r="E336" s="18">
        <v>12</v>
      </c>
      <c r="F336" s="18">
        <v>4</v>
      </c>
      <c r="G336" s="52">
        <v>1</v>
      </c>
      <c r="H336" s="237">
        <v>1</v>
      </c>
      <c r="I336" s="65">
        <v>1960</v>
      </c>
      <c r="J336" s="349">
        <v>5</v>
      </c>
      <c r="K336" s="346">
        <f t="shared" si="84"/>
        <v>6</v>
      </c>
      <c r="L336" s="346">
        <v>1</v>
      </c>
      <c r="M336" s="349">
        <v>3</v>
      </c>
      <c r="N336" s="255">
        <f t="shared" si="82"/>
        <v>0</v>
      </c>
      <c r="O336" s="310">
        <v>60</v>
      </c>
      <c r="P336" s="66">
        <v>2</v>
      </c>
      <c r="Q336" s="66"/>
      <c r="R336" s="66">
        <v>6</v>
      </c>
      <c r="S336" s="66">
        <v>45</v>
      </c>
      <c r="T336" s="66">
        <v>9</v>
      </c>
      <c r="U336" s="66">
        <v>0</v>
      </c>
      <c r="V336" s="66">
        <v>0</v>
      </c>
      <c r="W336" s="54">
        <v>0</v>
      </c>
      <c r="X336" s="55">
        <f>SUMIFS(Таблица3[Кол-во квартир],Таблица3[Адрес МКД],$D336)</f>
        <v>58</v>
      </c>
      <c r="Y336" s="56">
        <f t="shared" si="73"/>
        <v>3916.3799999999997</v>
      </c>
      <c r="Z336" s="253">
        <f>SUMIFS(Таблица3[Площадь жилая],Таблица3[Адрес МКД],$D336)</f>
        <v>2514.1999999999998</v>
      </c>
      <c r="AA336" s="261">
        <f>SUMIFS(Таблица3[Площадь нежилых помещений],Таблица3[Адрес МКД],$D336)</f>
        <v>71.7</v>
      </c>
      <c r="AB336" s="252">
        <f>SUMIFS(Таблица1[1],Таблица1[2],$D336)</f>
        <v>71.7</v>
      </c>
      <c r="AC336" s="57">
        <f t="shared" si="78"/>
        <v>71.7</v>
      </c>
      <c r="AD336" s="57">
        <f t="shared" si="79"/>
        <v>0</v>
      </c>
      <c r="AE336" s="58">
        <f>SUMIFS(Таблица1[8],Таблица1[2],$D336)+SUMIFS(Таблица1[18],Таблица1[2],$D336)</f>
        <v>71.7</v>
      </c>
      <c r="AF336" s="58">
        <f>SUMIFS(Таблица1[9],Таблица1[2],$D336)+SUMIFS(Таблица1[19],Таблица1[2],$D336)</f>
        <v>0</v>
      </c>
      <c r="AG336" s="59">
        <f t="shared" si="80"/>
        <v>1330.48</v>
      </c>
      <c r="AH336" s="59">
        <f t="shared" si="81"/>
        <v>1330.48</v>
      </c>
      <c r="AI336" s="60">
        <f>514.3-AM336</f>
        <v>514.29999999999995</v>
      </c>
      <c r="AJ336" s="60">
        <f t="shared" si="74"/>
        <v>514.29999999999995</v>
      </c>
      <c r="AK336" s="60">
        <f>SUMIFS(Таблица1[10],Таблица1[2],$D336)</f>
        <v>0</v>
      </c>
      <c r="AL336" s="60">
        <f>SUMIFS(Таблица1[11],Таблица1[2],$D336)</f>
        <v>0</v>
      </c>
      <c r="AM336" s="251">
        <v>0</v>
      </c>
      <c r="AN336" s="249">
        <f t="shared" si="75"/>
        <v>0</v>
      </c>
      <c r="AO336" s="249">
        <f>SUMIFS(Таблица1[12],Таблица1[2],$D336)</f>
        <v>0</v>
      </c>
      <c r="AP336" s="249">
        <f>SUMIFS(Таблица1[13],Таблица1[2],$D336)</f>
        <v>0</v>
      </c>
      <c r="AQ336" s="61">
        <v>212.7</v>
      </c>
      <c r="AR336" s="61">
        <f t="shared" si="76"/>
        <v>212.7</v>
      </c>
      <c r="AS336" s="60">
        <f>SUMIFS(Таблица1[14],Таблица1[2],$D336)</f>
        <v>0</v>
      </c>
      <c r="AT336" s="60">
        <f>SUMIFS(Таблица1[15],Таблица1[2],$D336)</f>
        <v>0</v>
      </c>
      <c r="AU336" s="61">
        <v>603.48</v>
      </c>
      <c r="AV336" s="61">
        <f t="shared" si="77"/>
        <v>603.48</v>
      </c>
      <c r="AW336" s="60">
        <f>SUMIFS(Таблица1[16],Таблица1[2],$D336)</f>
        <v>0</v>
      </c>
      <c r="AX336" s="60">
        <f>SUMIFS(Таблица1[17],Таблица1[2],$D336)</f>
        <v>0</v>
      </c>
      <c r="AY336" s="263"/>
      <c r="AZ336" s="264"/>
      <c r="BA336" s="296">
        <v>0</v>
      </c>
      <c r="BB336" s="296">
        <f t="shared" si="71"/>
        <v>0</v>
      </c>
      <c r="BC336" s="296">
        <v>0</v>
      </c>
      <c r="BD336" s="296">
        <v>0</v>
      </c>
      <c r="BE336" s="285"/>
      <c r="BF336" s="259">
        <v>1673</v>
      </c>
      <c r="BG336" s="260">
        <v>11517</v>
      </c>
      <c r="BH336" s="62" t="s">
        <v>939</v>
      </c>
      <c r="BI336" s="62" t="s">
        <v>935</v>
      </c>
      <c r="BJ336" s="62"/>
      <c r="BK336" s="267"/>
      <c r="BL336" s="267" t="s">
        <v>1649</v>
      </c>
      <c r="BM336" s="267"/>
      <c r="BN336" s="268"/>
      <c r="BO336" s="62">
        <v>17</v>
      </c>
      <c r="BP336" s="63">
        <v>31926</v>
      </c>
      <c r="BQ336" s="64" t="s">
        <v>1133</v>
      </c>
      <c r="BR336" s="372" t="s">
        <v>2747</v>
      </c>
      <c r="BS336" s="62"/>
      <c r="BT336" s="323"/>
      <c r="BU336" s="62"/>
      <c r="BV336" s="323"/>
      <c r="BW336" s="62"/>
      <c r="BX336" s="336">
        <v>37</v>
      </c>
      <c r="BY336" s="336"/>
    </row>
    <row r="337" spans="1:77" ht="13.15" customHeight="1" outlineLevel="1" x14ac:dyDescent="0.2">
      <c r="A337" s="50">
        <f t="shared" si="83"/>
        <v>332</v>
      </c>
      <c r="B337" s="51">
        <v>66</v>
      </c>
      <c r="C337" s="51">
        <v>86</v>
      </c>
      <c r="D337" s="18" t="s">
        <v>617</v>
      </c>
      <c r="E337" s="18">
        <v>12</v>
      </c>
      <c r="F337" s="18">
        <v>4</v>
      </c>
      <c r="G337" s="52">
        <v>1</v>
      </c>
      <c r="H337" s="237">
        <v>1</v>
      </c>
      <c r="I337" s="65">
        <v>1960</v>
      </c>
      <c r="J337" s="349">
        <v>5</v>
      </c>
      <c r="K337" s="346">
        <f t="shared" si="84"/>
        <v>6</v>
      </c>
      <c r="L337" s="346">
        <v>1</v>
      </c>
      <c r="M337" s="349">
        <v>3</v>
      </c>
      <c r="N337" s="255">
        <f t="shared" si="82"/>
        <v>0</v>
      </c>
      <c r="O337" s="310">
        <v>60</v>
      </c>
      <c r="P337" s="66">
        <v>0</v>
      </c>
      <c r="Q337" s="66"/>
      <c r="R337" s="66">
        <v>10</v>
      </c>
      <c r="S337" s="66">
        <v>45</v>
      </c>
      <c r="T337" s="66">
        <v>5</v>
      </c>
      <c r="U337" s="66">
        <v>0</v>
      </c>
      <c r="V337" s="66">
        <v>0</v>
      </c>
      <c r="W337" s="54">
        <v>0</v>
      </c>
      <c r="X337" s="55">
        <f>SUMIFS(Таблица3[Кол-во квартир],Таблица3[Адрес МКД],$D337)</f>
        <v>60</v>
      </c>
      <c r="Y337" s="56">
        <f>Z337+AB337+AG337+AM337</f>
        <v>3859.14</v>
      </c>
      <c r="Z337" s="253">
        <f>SUMIFS(Таблица3[Площадь жилая],Таблица3[Адрес МКД],$D337)</f>
        <v>2519.35</v>
      </c>
      <c r="AA337" s="261">
        <f>SUMIFS(Таблица3[Площадь нежилых помещений],Таблица3[Адрес МКД],$D337)</f>
        <v>0</v>
      </c>
      <c r="AB337" s="252">
        <f>SUMIFS(Таблица1[1],Таблица1[2],$D337)</f>
        <v>44.9</v>
      </c>
      <c r="AC337" s="57">
        <f t="shared" si="78"/>
        <v>44.9</v>
      </c>
      <c r="AD337" s="57">
        <f t="shared" si="79"/>
        <v>0</v>
      </c>
      <c r="AE337" s="58">
        <f>SUMIFS(Таблица1[8],Таблица1[2],$D337)+SUMIFS(Таблица1[18],Таблица1[2],$D337)</f>
        <v>0</v>
      </c>
      <c r="AF337" s="58">
        <f>SUMIFS(Таблица1[9],Таблица1[2],$D337)+SUMIFS(Таблица1[19],Таблица1[2],$D337)</f>
        <v>0</v>
      </c>
      <c r="AG337" s="59">
        <f t="shared" si="80"/>
        <v>1294.8899999999999</v>
      </c>
      <c r="AH337" s="59">
        <f t="shared" si="81"/>
        <v>1294.8899999999999</v>
      </c>
      <c r="AI337" s="60">
        <f>518.9-AM337</f>
        <v>518.9</v>
      </c>
      <c r="AJ337" s="60">
        <f t="shared" si="74"/>
        <v>474</v>
      </c>
      <c r="AK337" s="60">
        <f>SUMIFS(Таблица1[10],Таблица1[2],$D337)</f>
        <v>44.9</v>
      </c>
      <c r="AL337" s="60">
        <f>SUMIFS(Таблица1[11],Таблица1[2],$D337)</f>
        <v>0</v>
      </c>
      <c r="AM337" s="251">
        <v>0</v>
      </c>
      <c r="AN337" s="249">
        <f t="shared" si="75"/>
        <v>0</v>
      </c>
      <c r="AO337" s="249">
        <f>SUMIFS(Таблица1[12],Таблица1[2],$D337)</f>
        <v>0</v>
      </c>
      <c r="AP337" s="249">
        <f>SUMIFS(Таблица1[13],Таблица1[2],$D337)</f>
        <v>0</v>
      </c>
      <c r="AQ337" s="61">
        <v>218.8</v>
      </c>
      <c r="AR337" s="61">
        <f t="shared" si="76"/>
        <v>218.8</v>
      </c>
      <c r="AS337" s="60">
        <f>SUMIFS(Таблица1[14],Таблица1[2],$D337)</f>
        <v>0</v>
      </c>
      <c r="AT337" s="60">
        <f>SUMIFS(Таблица1[15],Таблица1[2],$D337)</f>
        <v>0</v>
      </c>
      <c r="AU337" s="61">
        <v>602.09</v>
      </c>
      <c r="AV337" s="61">
        <f t="shared" si="77"/>
        <v>602.09</v>
      </c>
      <c r="AW337" s="60">
        <f>SUMIFS(Таблица1[16],Таблица1[2],$D337)</f>
        <v>0</v>
      </c>
      <c r="AX337" s="60">
        <f>SUMIFS(Таблица1[17],Таблица1[2],$D337)</f>
        <v>0</v>
      </c>
      <c r="AY337" s="263">
        <f>Нежилые!G1897</f>
        <v>44.9</v>
      </c>
      <c r="AZ337" s="264"/>
      <c r="BA337" s="296">
        <v>0</v>
      </c>
      <c r="BB337" s="296">
        <f t="shared" si="71"/>
        <v>0</v>
      </c>
      <c r="BC337" s="296">
        <v>0</v>
      </c>
      <c r="BD337" s="296">
        <v>0</v>
      </c>
      <c r="BE337" s="285"/>
      <c r="BF337" s="259">
        <v>1640</v>
      </c>
      <c r="BG337" s="260">
        <v>9458</v>
      </c>
      <c r="BH337" s="62" t="s">
        <v>939</v>
      </c>
      <c r="BI337" s="62" t="s">
        <v>935</v>
      </c>
      <c r="BJ337" s="62"/>
      <c r="BK337" s="267"/>
      <c r="BL337" s="267" t="s">
        <v>1649</v>
      </c>
      <c r="BM337" s="267"/>
      <c r="BN337" s="268"/>
      <c r="BO337" s="62">
        <v>32</v>
      </c>
      <c r="BP337" s="63">
        <v>32062</v>
      </c>
      <c r="BQ337" s="64" t="s">
        <v>1133</v>
      </c>
      <c r="BR337" s="372" t="s">
        <v>2747</v>
      </c>
      <c r="BS337" s="62"/>
      <c r="BT337" s="323"/>
      <c r="BU337" s="62"/>
      <c r="BV337" s="323"/>
      <c r="BW337" s="62"/>
      <c r="BX337" s="336">
        <v>34</v>
      </c>
      <c r="BY337" s="336"/>
    </row>
    <row r="338" spans="1:77" ht="13.15" customHeight="1" outlineLevel="1" x14ac:dyDescent="0.2">
      <c r="A338" s="50">
        <f t="shared" si="83"/>
        <v>333</v>
      </c>
      <c r="B338" s="51">
        <v>60</v>
      </c>
      <c r="C338" s="51">
        <v>87</v>
      </c>
      <c r="D338" s="18" t="s">
        <v>611</v>
      </c>
      <c r="E338" s="18">
        <v>12</v>
      </c>
      <c r="F338" s="18">
        <v>4</v>
      </c>
      <c r="G338" s="52">
        <v>1</v>
      </c>
      <c r="H338" s="237">
        <v>1</v>
      </c>
      <c r="I338" s="65">
        <v>1960</v>
      </c>
      <c r="J338" s="349">
        <v>5</v>
      </c>
      <c r="K338" s="346">
        <f t="shared" si="84"/>
        <v>6</v>
      </c>
      <c r="L338" s="346">
        <v>1</v>
      </c>
      <c r="M338" s="349">
        <v>4</v>
      </c>
      <c r="N338" s="255">
        <f t="shared" si="82"/>
        <v>0</v>
      </c>
      <c r="O338" s="310">
        <v>80</v>
      </c>
      <c r="P338" s="66">
        <v>0</v>
      </c>
      <c r="Q338" s="66"/>
      <c r="R338" s="66">
        <v>20</v>
      </c>
      <c r="S338" s="66">
        <v>60</v>
      </c>
      <c r="T338" s="66">
        <v>0</v>
      </c>
      <c r="U338" s="66">
        <v>0</v>
      </c>
      <c r="V338" s="66">
        <v>0</v>
      </c>
      <c r="W338" s="54">
        <v>0</v>
      </c>
      <c r="X338" s="55">
        <f>SUMIFS(Таблица3[Кол-во квартир],Таблица3[Адрес МКД],$D338)</f>
        <v>80</v>
      </c>
      <c r="Y338" s="56">
        <f>Z338+AB338+AG338+AN338</f>
        <v>4874.07</v>
      </c>
      <c r="Z338" s="253">
        <f>SUMIFS(Таблица3[Площадь жилая],Таблица3[Адрес МКД],$D338)</f>
        <v>3167</v>
      </c>
      <c r="AA338" s="261">
        <f>SUMIFS(Таблица3[Площадь нежилых помещений],Таблица3[Адрес МКД],$D338)</f>
        <v>0</v>
      </c>
      <c r="AB338" s="252">
        <f>SUMIFS(Таблица1[1],Таблица1[2],$D338)</f>
        <v>0</v>
      </c>
      <c r="AC338" s="57">
        <f t="shared" si="78"/>
        <v>0</v>
      </c>
      <c r="AD338" s="57">
        <f t="shared" si="79"/>
        <v>0</v>
      </c>
      <c r="AE338" s="58">
        <f>SUMIFS(Таблица1[8],Таблица1[2],$D338)+SUMIFS(Таблица1[18],Таблица1[2],$D338)</f>
        <v>0</v>
      </c>
      <c r="AF338" s="58">
        <f>SUMIFS(Таблица1[9],Таблица1[2],$D338)+SUMIFS(Таблица1[19],Таблица1[2],$D338)</f>
        <v>0</v>
      </c>
      <c r="AG338" s="59">
        <f t="shared" si="80"/>
        <v>1707.0700000000002</v>
      </c>
      <c r="AH338" s="59">
        <f t="shared" si="81"/>
        <v>1707.0700000000002</v>
      </c>
      <c r="AI338" s="60">
        <f>649.7-AM338</f>
        <v>649.70000000000005</v>
      </c>
      <c r="AJ338" s="60">
        <f t="shared" si="74"/>
        <v>649.70000000000005</v>
      </c>
      <c r="AK338" s="60">
        <f>SUMIFS(Таблица1[10],Таблица1[2],$D338)</f>
        <v>0</v>
      </c>
      <c r="AL338" s="60">
        <f>SUMIFS(Таблица1[11],Таблица1[2],$D338)</f>
        <v>0</v>
      </c>
      <c r="AM338" s="251">
        <v>0</v>
      </c>
      <c r="AN338" s="249">
        <f t="shared" si="75"/>
        <v>0</v>
      </c>
      <c r="AO338" s="249">
        <f>SUMIFS(Таблица1[12],Таблица1[2],$D338)</f>
        <v>0</v>
      </c>
      <c r="AP338" s="249">
        <f>SUMIFS(Таблица1[13],Таблица1[2],$D338)</f>
        <v>0</v>
      </c>
      <c r="AQ338" s="61">
        <v>284.8</v>
      </c>
      <c r="AR338" s="61">
        <f t="shared" si="76"/>
        <v>284.8</v>
      </c>
      <c r="AS338" s="60">
        <f>SUMIFS(Таблица1[14],Таблица1[2],$D338)</f>
        <v>0</v>
      </c>
      <c r="AT338" s="60">
        <f>SUMIFS(Таблица1[15],Таблица1[2],$D338)</f>
        <v>0</v>
      </c>
      <c r="AU338" s="61">
        <v>772.57</v>
      </c>
      <c r="AV338" s="61">
        <f t="shared" si="77"/>
        <v>772.57</v>
      </c>
      <c r="AW338" s="60">
        <f>SUMIFS(Таблица1[16],Таблица1[2],$D338)</f>
        <v>0</v>
      </c>
      <c r="AX338" s="60">
        <f>SUMIFS(Таблица1[17],Таблица1[2],$D338)</f>
        <v>0</v>
      </c>
      <c r="AY338" s="263"/>
      <c r="AZ338" s="264"/>
      <c r="BA338" s="296">
        <v>0</v>
      </c>
      <c r="BB338" s="296">
        <f t="shared" si="71"/>
        <v>0</v>
      </c>
      <c r="BC338" s="296">
        <v>0</v>
      </c>
      <c r="BD338" s="296">
        <v>0</v>
      </c>
      <c r="BE338" s="285"/>
      <c r="BF338" s="259">
        <v>1971</v>
      </c>
      <c r="BG338" s="260">
        <v>12010</v>
      </c>
      <c r="BH338" s="62" t="s">
        <v>943</v>
      </c>
      <c r="BI338" s="62" t="s">
        <v>935</v>
      </c>
      <c r="BJ338" s="62"/>
      <c r="BK338" s="267"/>
      <c r="BL338" s="267" t="s">
        <v>1649</v>
      </c>
      <c r="BM338" s="267"/>
      <c r="BN338" s="268"/>
      <c r="BO338" s="62">
        <v>28</v>
      </c>
      <c r="BP338" s="63">
        <v>32346</v>
      </c>
      <c r="BQ338" s="64" t="s">
        <v>1147</v>
      </c>
      <c r="BR338" s="372" t="s">
        <v>2747</v>
      </c>
      <c r="BS338" s="62"/>
      <c r="BT338" s="323"/>
      <c r="BU338" s="62"/>
      <c r="BV338" s="323"/>
      <c r="BW338" s="62"/>
      <c r="BX338" s="336">
        <v>46</v>
      </c>
      <c r="BY338" s="336"/>
    </row>
    <row r="339" spans="1:77" ht="13.15" customHeight="1" outlineLevel="1" x14ac:dyDescent="0.2">
      <c r="A339" s="50">
        <f t="shared" si="83"/>
        <v>334</v>
      </c>
      <c r="B339" s="51">
        <v>61</v>
      </c>
      <c r="C339" s="51">
        <v>88</v>
      </c>
      <c r="D339" s="18" t="s">
        <v>612</v>
      </c>
      <c r="E339" s="18">
        <v>12</v>
      </c>
      <c r="F339" s="18">
        <v>4</v>
      </c>
      <c r="G339" s="52">
        <v>1</v>
      </c>
      <c r="H339" s="237">
        <v>1</v>
      </c>
      <c r="I339" s="65">
        <v>1960</v>
      </c>
      <c r="J339" s="349">
        <v>5</v>
      </c>
      <c r="K339" s="346">
        <f t="shared" si="84"/>
        <v>6</v>
      </c>
      <c r="L339" s="346">
        <v>1</v>
      </c>
      <c r="M339" s="349">
        <v>4</v>
      </c>
      <c r="N339" s="255">
        <f t="shared" si="82"/>
        <v>0</v>
      </c>
      <c r="O339" s="310">
        <v>80</v>
      </c>
      <c r="P339" s="66">
        <v>0</v>
      </c>
      <c r="Q339" s="66"/>
      <c r="R339" s="66">
        <v>20</v>
      </c>
      <c r="S339" s="66">
        <v>60</v>
      </c>
      <c r="T339" s="66">
        <v>0</v>
      </c>
      <c r="U339" s="66">
        <v>0</v>
      </c>
      <c r="V339" s="66">
        <v>0</v>
      </c>
      <c r="W339" s="54">
        <v>0</v>
      </c>
      <c r="X339" s="55">
        <f>SUMIFS(Таблица3[Кол-во квартир],Таблица3[Адрес МКД],$D339)</f>
        <v>80</v>
      </c>
      <c r="Y339" s="56">
        <f>Z339+AB339+AG339+AM339</f>
        <v>4887.9500000000007</v>
      </c>
      <c r="Z339" s="253">
        <f>SUMIFS(Таблица3[Площадь жилая],Таблица3[Адрес МКД],$D339)</f>
        <v>3167</v>
      </c>
      <c r="AA339" s="261">
        <f>SUMIFS(Таблица3[Площадь нежилых помещений],Таблица3[Адрес МКД],$D339)</f>
        <v>0</v>
      </c>
      <c r="AB339" s="252">
        <f>SUMIFS(Таблица1[1],Таблица1[2],$D339)</f>
        <v>77.400000000000006</v>
      </c>
      <c r="AC339" s="57">
        <f t="shared" si="78"/>
        <v>45.3</v>
      </c>
      <c r="AD339" s="57">
        <f t="shared" si="79"/>
        <v>32.1</v>
      </c>
      <c r="AE339" s="58">
        <f>SUMIFS(Таблица1[8],Таблица1[2],$D339)+SUMIFS(Таблица1[18],Таблица1[2],$D339)</f>
        <v>0</v>
      </c>
      <c r="AF339" s="58">
        <f>SUMIFS(Таблица1[9],Таблица1[2],$D339)+SUMIFS(Таблица1[19],Таблица1[2],$D339)</f>
        <v>0</v>
      </c>
      <c r="AG339" s="59">
        <f t="shared" si="80"/>
        <v>1643.5500000000002</v>
      </c>
      <c r="AH339" s="59">
        <f t="shared" si="81"/>
        <v>1675.65</v>
      </c>
      <c r="AI339" s="60">
        <f>660.2-AM339</f>
        <v>660.2</v>
      </c>
      <c r="AJ339" s="60">
        <f t="shared" si="74"/>
        <v>582.80000000000007</v>
      </c>
      <c r="AK339" s="60">
        <f>SUMIFS(Таблица1[10],Таблица1[2],$D339)</f>
        <v>45.3</v>
      </c>
      <c r="AL339" s="60">
        <f>SUMIFS(Таблица1[11],Таблица1[2],$D339)</f>
        <v>32.1</v>
      </c>
      <c r="AM339" s="251">
        <v>0</v>
      </c>
      <c r="AN339" s="249">
        <f t="shared" si="75"/>
        <v>0</v>
      </c>
      <c r="AO339" s="249">
        <f>SUMIFS(Таблица1[12],Таблица1[2],$D339)</f>
        <v>0</v>
      </c>
      <c r="AP339" s="249">
        <f>SUMIFS(Таблица1[13],Таблица1[2],$D339)</f>
        <v>0</v>
      </c>
      <c r="AQ339" s="61">
        <v>284.5</v>
      </c>
      <c r="AR339" s="61">
        <f t="shared" si="76"/>
        <v>284.5</v>
      </c>
      <c r="AS339" s="60">
        <f>SUMIFS(Таблица1[14],Таблица1[2],$D339)</f>
        <v>0</v>
      </c>
      <c r="AT339" s="60">
        <f>SUMIFS(Таблица1[15],Таблица1[2],$D339)</f>
        <v>0</v>
      </c>
      <c r="AU339" s="61">
        <v>776.25</v>
      </c>
      <c r="AV339" s="61">
        <f t="shared" si="77"/>
        <v>776.25</v>
      </c>
      <c r="AW339" s="60">
        <f>SUMIFS(Таблица1[16],Таблица1[2],$D339)</f>
        <v>0</v>
      </c>
      <c r="AX339" s="60">
        <f>SUMIFS(Таблица1[17],Таблица1[2],$D339)</f>
        <v>0</v>
      </c>
      <c r="AY339" s="263">
        <f>Нежилые!G1885</f>
        <v>45.3</v>
      </c>
      <c r="AZ339" s="264"/>
      <c r="BA339" s="296">
        <v>0</v>
      </c>
      <c r="BB339" s="296">
        <f t="shared" si="71"/>
        <v>0</v>
      </c>
      <c r="BC339" s="296">
        <v>0</v>
      </c>
      <c r="BD339" s="296">
        <v>0</v>
      </c>
      <c r="BE339" s="285"/>
      <c r="BF339" s="259">
        <v>2056</v>
      </c>
      <c r="BG339" s="260">
        <v>12083</v>
      </c>
      <c r="BH339" s="62" t="s">
        <v>936</v>
      </c>
      <c r="BI339" s="62" t="s">
        <v>935</v>
      </c>
      <c r="BJ339" s="62"/>
      <c r="BK339" s="267"/>
      <c r="BL339" s="267" t="s">
        <v>1649</v>
      </c>
      <c r="BM339" s="267"/>
      <c r="BN339" s="268"/>
      <c r="BO339" s="62">
        <v>31</v>
      </c>
      <c r="BP339" s="63">
        <v>32080</v>
      </c>
      <c r="BQ339" s="64" t="s">
        <v>1147</v>
      </c>
      <c r="BR339" s="372" t="s">
        <v>2747</v>
      </c>
      <c r="BS339" s="62"/>
      <c r="BT339" s="323"/>
      <c r="BU339" s="62"/>
      <c r="BV339" s="323"/>
      <c r="BW339" s="62"/>
      <c r="BX339" s="336">
        <v>46</v>
      </c>
      <c r="BY339" s="336"/>
    </row>
    <row r="340" spans="1:77" ht="13.15" hidden="1" customHeight="1" outlineLevel="1" x14ac:dyDescent="0.2">
      <c r="A340" s="50">
        <f t="shared" si="83"/>
        <v>335</v>
      </c>
      <c r="B340" s="51">
        <v>11</v>
      </c>
      <c r="C340" s="51">
        <v>11</v>
      </c>
      <c r="D340" s="18" t="s">
        <v>720</v>
      </c>
      <c r="E340" s="299" t="s">
        <v>888</v>
      </c>
      <c r="F340" s="299">
        <v>5</v>
      </c>
      <c r="G340" s="52">
        <v>1</v>
      </c>
      <c r="H340" s="333"/>
      <c r="I340" s="65">
        <v>1946</v>
      </c>
      <c r="J340" s="349">
        <v>2</v>
      </c>
      <c r="K340" s="346">
        <f t="shared" si="84"/>
        <v>3</v>
      </c>
      <c r="L340" s="346">
        <v>1</v>
      </c>
      <c r="M340" s="349">
        <v>2</v>
      </c>
      <c r="N340" s="255">
        <f t="shared" si="82"/>
        <v>0</v>
      </c>
      <c r="O340" s="310">
        <v>4</v>
      </c>
      <c r="P340" s="66">
        <v>1</v>
      </c>
      <c r="Q340" s="66"/>
      <c r="R340" s="66">
        <v>0</v>
      </c>
      <c r="S340" s="66">
        <v>0</v>
      </c>
      <c r="T340" s="66">
        <v>0</v>
      </c>
      <c r="U340" s="66">
        <v>0</v>
      </c>
      <c r="V340" s="66">
        <v>4</v>
      </c>
      <c r="W340" s="54">
        <v>0</v>
      </c>
      <c r="X340" s="55">
        <f>SUMIFS(Таблица3[Кол-во квартир],Таблица3[Адрес МКД],$D340)</f>
        <v>3</v>
      </c>
      <c r="Y340" s="56">
        <f t="shared" ref="Y340:Y369" si="85">Z340+AB340+AG340+AN340</f>
        <v>1060.8899999999999</v>
      </c>
      <c r="Z340" s="253">
        <f>SUMIFS(Таблица3[Площадь жилая],Таблица3[Адрес МКД],$D340)</f>
        <v>426.4</v>
      </c>
      <c r="AA340" s="261">
        <f>SUMIFS(Таблица3[Площадь нежилых помещений],Таблица3[Адрес МКД],$D340)</f>
        <v>211.9</v>
      </c>
      <c r="AB340" s="252">
        <f>SUMIFS(Таблица1[1],Таблица1[2],$D340)</f>
        <v>211.89999999999998</v>
      </c>
      <c r="AC340" s="57">
        <f t="shared" si="78"/>
        <v>211.89999999999998</v>
      </c>
      <c r="AD340" s="57">
        <f t="shared" si="79"/>
        <v>0</v>
      </c>
      <c r="AE340" s="58">
        <f>SUMIFS(Таблица1[8],Таблица1[2],$D340)+SUMIFS(Таблица1[18],Таблица1[2],$D340)</f>
        <v>150.1</v>
      </c>
      <c r="AF340" s="58">
        <f>SUMIFS(Таблица1[9],Таблица1[2],$D340)+SUMIFS(Таблица1[19],Таблица1[2],$D340)</f>
        <v>0</v>
      </c>
      <c r="AG340" s="59">
        <f t="shared" si="80"/>
        <v>422.59</v>
      </c>
      <c r="AH340" s="59">
        <f t="shared" si="81"/>
        <v>422.59</v>
      </c>
      <c r="AI340" s="60">
        <f>160.7-AM340</f>
        <v>160.69999999999999</v>
      </c>
      <c r="AJ340" s="60">
        <f t="shared" si="74"/>
        <v>98.899999999999991</v>
      </c>
      <c r="AK340" s="60">
        <f>SUMIFS(Таблица1[10],Таблица1[2],$D340)</f>
        <v>61.8</v>
      </c>
      <c r="AL340" s="60">
        <f>SUMIFS(Таблица1[11],Таблица1[2],$D340)</f>
        <v>0</v>
      </c>
      <c r="AM340" s="251">
        <v>0</v>
      </c>
      <c r="AN340" s="249">
        <f t="shared" si="75"/>
        <v>0</v>
      </c>
      <c r="AO340" s="249">
        <f>SUMIFS(Таблица1[12],Таблица1[2],$D340)</f>
        <v>0</v>
      </c>
      <c r="AP340" s="249">
        <f>SUMIFS(Таблица1[13],Таблица1[2],$D340)</f>
        <v>0</v>
      </c>
      <c r="AQ340" s="61">
        <v>0</v>
      </c>
      <c r="AR340" s="61">
        <f t="shared" si="76"/>
        <v>0</v>
      </c>
      <c r="AS340" s="60">
        <f>SUMIFS(Таблица1[14],Таблица1[2],$D340)</f>
        <v>0</v>
      </c>
      <c r="AT340" s="60">
        <f>SUMIFS(Таблица1[15],Таблица1[2],$D340)</f>
        <v>0</v>
      </c>
      <c r="AU340" s="61">
        <v>323.69</v>
      </c>
      <c r="AV340" s="61">
        <f t="shared" si="77"/>
        <v>323.69</v>
      </c>
      <c r="AW340" s="60">
        <f>SUMIFS(Таблица1[16],Таблица1[2],$D340)</f>
        <v>0</v>
      </c>
      <c r="AX340" s="60">
        <f>SUMIFS(Таблица1[17],Таблица1[2],$D340)</f>
        <v>0</v>
      </c>
      <c r="AY340" s="263"/>
      <c r="AZ340" s="264"/>
      <c r="BA340" s="296">
        <v>0</v>
      </c>
      <c r="BB340" s="296">
        <f t="shared" ref="BB340:BB388" si="86">BA340-BC340-BD340</f>
        <v>0</v>
      </c>
      <c r="BC340" s="296">
        <v>0</v>
      </c>
      <c r="BD340" s="296">
        <v>0</v>
      </c>
      <c r="BE340" s="285"/>
      <c r="BF340" s="259">
        <v>826</v>
      </c>
      <c r="BG340" s="260">
        <v>2397</v>
      </c>
      <c r="BH340" s="67" t="s">
        <v>942</v>
      </c>
      <c r="BI340" s="62" t="s">
        <v>935</v>
      </c>
      <c r="BJ340" s="62" t="s">
        <v>935</v>
      </c>
      <c r="BK340" s="267"/>
      <c r="BL340" s="267" t="s">
        <v>1649</v>
      </c>
      <c r="BM340" s="267"/>
      <c r="BN340" s="268"/>
      <c r="BO340" s="62">
        <v>29</v>
      </c>
      <c r="BP340" s="63">
        <v>28809</v>
      </c>
      <c r="BQ340" s="64" t="s">
        <v>1131</v>
      </c>
      <c r="BR340" s="372" t="s">
        <v>2747</v>
      </c>
      <c r="BS340" s="62"/>
      <c r="BT340" s="323"/>
      <c r="BU340" s="62"/>
      <c r="BV340" s="323"/>
      <c r="BW340" s="62"/>
      <c r="BX340" s="336">
        <v>16</v>
      </c>
      <c r="BY340" s="336" t="s">
        <v>1649</v>
      </c>
    </row>
    <row r="341" spans="1:77" ht="13.15" hidden="1" customHeight="1" outlineLevel="1" x14ac:dyDescent="0.2">
      <c r="A341" s="50">
        <f t="shared" si="83"/>
        <v>336</v>
      </c>
      <c r="B341" s="51">
        <v>55</v>
      </c>
      <c r="C341" s="51">
        <v>95</v>
      </c>
      <c r="D341" s="18" t="s">
        <v>402</v>
      </c>
      <c r="E341" s="18">
        <v>9</v>
      </c>
      <c r="F341" s="18">
        <v>1</v>
      </c>
      <c r="G341" s="52">
        <v>1</v>
      </c>
      <c r="H341" s="237">
        <v>1</v>
      </c>
      <c r="I341" s="65">
        <v>1953</v>
      </c>
      <c r="J341" s="349">
        <v>4</v>
      </c>
      <c r="K341" s="346">
        <f t="shared" si="84"/>
        <v>5</v>
      </c>
      <c r="L341" s="346">
        <v>1</v>
      </c>
      <c r="M341" s="349">
        <v>6</v>
      </c>
      <c r="N341" s="255">
        <f t="shared" si="82"/>
        <v>0</v>
      </c>
      <c r="O341" s="310">
        <v>74</v>
      </c>
      <c r="P341" s="327">
        <v>1</v>
      </c>
      <c r="Q341" s="66"/>
      <c r="R341" s="66">
        <v>0</v>
      </c>
      <c r="S341" s="66">
        <v>43</v>
      </c>
      <c r="T341" s="66">
        <v>31</v>
      </c>
      <c r="U341" s="66">
        <v>0</v>
      </c>
      <c r="V341" s="66">
        <v>0</v>
      </c>
      <c r="W341" s="54">
        <v>0</v>
      </c>
      <c r="X341" s="55">
        <f>SUMIFS(Таблица3[Кол-во квартир],Таблица3[Адрес МКД],$D341)</f>
        <v>73</v>
      </c>
      <c r="Y341" s="56">
        <f t="shared" si="85"/>
        <v>8002.5</v>
      </c>
      <c r="Z341" s="253">
        <f>SUMIFS(Таблица3[Площадь жилая],Таблица3[Адрес МКД],$D341)</f>
        <v>4656.1000000000004</v>
      </c>
      <c r="AA341" s="261">
        <f>SUMIFS(Таблица3[Площадь нежилых помещений],Таблица3[Адрес МКД],$D341)</f>
        <v>616.9</v>
      </c>
      <c r="AB341" s="252">
        <f>SUMIFS(Таблица1[1],Таблица1[2],$D341)</f>
        <v>689</v>
      </c>
      <c r="AC341" s="57">
        <f t="shared" si="78"/>
        <v>689</v>
      </c>
      <c r="AD341" s="57">
        <f t="shared" si="79"/>
        <v>0</v>
      </c>
      <c r="AE341" s="58">
        <f>SUMIFS(Таблица1[8],Таблица1[2],$D341)+SUMIFS(Таблица1[18],Таблица1[2],$D341)</f>
        <v>72.099999999999994</v>
      </c>
      <c r="AF341" s="58">
        <f>SUMIFS(Таблица1[9],Таблица1[2],$D341)+SUMIFS(Таблица1[19],Таблица1[2],$D341)</f>
        <v>0</v>
      </c>
      <c r="AG341" s="59">
        <f t="shared" si="80"/>
        <v>2657.4</v>
      </c>
      <c r="AH341" s="59">
        <f t="shared" si="81"/>
        <v>2657.4</v>
      </c>
      <c r="AI341" s="60">
        <f>1179.8-AM341</f>
        <v>1070.7</v>
      </c>
      <c r="AJ341" s="60">
        <f t="shared" si="74"/>
        <v>562.90000000000009</v>
      </c>
      <c r="AK341" s="60">
        <f>SUMIFS(Таблица1[10],Таблица1[2],$D341)</f>
        <v>507.79999999999995</v>
      </c>
      <c r="AL341" s="60">
        <f>SUMIFS(Таблица1[11],Таблица1[2],$D341)</f>
        <v>0</v>
      </c>
      <c r="AM341" s="251">
        <v>109.1</v>
      </c>
      <c r="AN341" s="249">
        <f t="shared" si="75"/>
        <v>0</v>
      </c>
      <c r="AO341" s="249">
        <f>SUMIFS(Таблица1[12],Таблица1[2],$D341)</f>
        <v>109.1</v>
      </c>
      <c r="AP341" s="249">
        <f>SUMIFS(Таблица1[13],Таблица1[2],$D341)</f>
        <v>0</v>
      </c>
      <c r="AQ341" s="61">
        <v>627.5</v>
      </c>
      <c r="AR341" s="61">
        <f t="shared" si="76"/>
        <v>627.5</v>
      </c>
      <c r="AS341" s="60">
        <f>SUMIFS(Таблица1[14],Таблица1[2],$D341)</f>
        <v>0</v>
      </c>
      <c r="AT341" s="60">
        <f>SUMIFS(Таблица1[15],Таблица1[2],$D341)</f>
        <v>0</v>
      </c>
      <c r="AU341" s="61">
        <v>1467</v>
      </c>
      <c r="AV341" s="61">
        <f t="shared" si="77"/>
        <v>1467</v>
      </c>
      <c r="AW341" s="60">
        <f>SUMIFS(Таблица1[16],Таблица1[2],$D341)</f>
        <v>0</v>
      </c>
      <c r="AX341" s="60">
        <f>SUMIFS(Таблица1[17],Таблица1[2],$D341)</f>
        <v>0</v>
      </c>
      <c r="AY341" s="263">
        <f>Нежилые!G1904</f>
        <v>72.099999999999994</v>
      </c>
      <c r="AZ341" s="264"/>
      <c r="BA341" s="296">
        <v>0</v>
      </c>
      <c r="BB341" s="296">
        <f t="shared" si="86"/>
        <v>0</v>
      </c>
      <c r="BC341" s="296">
        <v>0</v>
      </c>
      <c r="BD341" s="296">
        <v>0</v>
      </c>
      <c r="BE341" s="285"/>
      <c r="BF341" s="259">
        <v>2546</v>
      </c>
      <c r="BG341" s="260">
        <f>2356+21793</f>
        <v>24149</v>
      </c>
      <c r="BH341" s="62" t="s">
        <v>939</v>
      </c>
      <c r="BI341" s="62" t="s">
        <v>935</v>
      </c>
      <c r="BJ341" s="62" t="s">
        <v>944</v>
      </c>
      <c r="BK341" s="267"/>
      <c r="BL341" s="267"/>
      <c r="BM341" s="267" t="s">
        <v>1649</v>
      </c>
      <c r="BN341" s="268"/>
      <c r="BO341" s="62">
        <v>24</v>
      </c>
      <c r="BP341" s="63">
        <v>30641</v>
      </c>
      <c r="BQ341" s="64" t="s">
        <v>1131</v>
      </c>
      <c r="BR341" s="372" t="s">
        <v>2747</v>
      </c>
      <c r="BS341" s="62"/>
      <c r="BT341" s="323"/>
      <c r="BU341" s="62"/>
      <c r="BV341" s="323"/>
      <c r="BW341" s="62"/>
      <c r="BX341" s="336"/>
      <c r="BY341" s="336"/>
    </row>
    <row r="342" spans="1:77" ht="13.15" hidden="1" customHeight="1" outlineLevel="1" x14ac:dyDescent="0.2">
      <c r="A342" s="50">
        <f t="shared" si="83"/>
        <v>337</v>
      </c>
      <c r="B342" s="51">
        <v>56</v>
      </c>
      <c r="C342" s="51">
        <v>96</v>
      </c>
      <c r="D342" s="18" t="s">
        <v>403</v>
      </c>
      <c r="E342" s="18">
        <v>9</v>
      </c>
      <c r="F342" s="18">
        <v>1</v>
      </c>
      <c r="G342" s="52">
        <v>1</v>
      </c>
      <c r="H342" s="237">
        <v>1</v>
      </c>
      <c r="I342" s="65">
        <v>1953</v>
      </c>
      <c r="J342" s="349">
        <v>4</v>
      </c>
      <c r="K342" s="346">
        <f t="shared" si="84"/>
        <v>5</v>
      </c>
      <c r="L342" s="346">
        <v>1</v>
      </c>
      <c r="M342" s="349">
        <v>3</v>
      </c>
      <c r="N342" s="255">
        <f t="shared" si="82"/>
        <v>0</v>
      </c>
      <c r="O342" s="310">
        <v>27</v>
      </c>
      <c r="P342" s="66">
        <v>0</v>
      </c>
      <c r="Q342" s="66"/>
      <c r="R342" s="66">
        <v>0</v>
      </c>
      <c r="S342" s="66">
        <v>27</v>
      </c>
      <c r="T342" s="66">
        <v>0</v>
      </c>
      <c r="U342" s="66">
        <v>0</v>
      </c>
      <c r="V342" s="66">
        <v>0</v>
      </c>
      <c r="W342" s="54">
        <v>0</v>
      </c>
      <c r="X342" s="55">
        <f>SUMIFS(Таблица3[Кол-во квартир],Таблица3[Адрес МКД],$D342)</f>
        <v>27</v>
      </c>
      <c r="Y342" s="56">
        <f t="shared" si="85"/>
        <v>3056.74</v>
      </c>
      <c r="Z342" s="253">
        <f>SUMIFS(Таблица3[Площадь жилая],Таблица3[Адрес МКД],$D342)</f>
        <v>1324.24</v>
      </c>
      <c r="AA342" s="261">
        <f>SUMIFS(Таблица3[Площадь нежилых помещений],Таблица3[Адрес МКД],$D342)</f>
        <v>644.4</v>
      </c>
      <c r="AB342" s="252">
        <f>SUMIFS(Таблица1[1],Таблица1[2],$D342)</f>
        <v>644.4</v>
      </c>
      <c r="AC342" s="57">
        <f t="shared" si="78"/>
        <v>644.4</v>
      </c>
      <c r="AD342" s="57">
        <f t="shared" si="79"/>
        <v>0</v>
      </c>
      <c r="AE342" s="58">
        <f>SUMIFS(Таблица1[8],Таблица1[2],$D342)+SUMIFS(Таблица1[18],Таблица1[2],$D342)</f>
        <v>453.9</v>
      </c>
      <c r="AF342" s="58">
        <f>SUMIFS(Таблица1[9],Таблица1[2],$D342)+SUMIFS(Таблица1[19],Таблица1[2],$D342)</f>
        <v>0</v>
      </c>
      <c r="AG342" s="59">
        <f t="shared" si="80"/>
        <v>1088.0999999999999</v>
      </c>
      <c r="AH342" s="59">
        <f t="shared" si="81"/>
        <v>1088.0999999999999</v>
      </c>
      <c r="AI342" s="60">
        <f>436.7-AM342</f>
        <v>246.2</v>
      </c>
      <c r="AJ342" s="60">
        <f t="shared" si="74"/>
        <v>246.2</v>
      </c>
      <c r="AK342" s="60">
        <f>SUMIFS(Таблица1[10],Таблица1[2],$D342)</f>
        <v>0</v>
      </c>
      <c r="AL342" s="60">
        <f>SUMIFS(Таблица1[11],Таблица1[2],$D342)</f>
        <v>0</v>
      </c>
      <c r="AM342" s="251">
        <v>190.5</v>
      </c>
      <c r="AN342" s="249">
        <f t="shared" si="75"/>
        <v>0</v>
      </c>
      <c r="AO342" s="249">
        <f>SUMIFS(Таблица1[12],Таблица1[2],$D342)</f>
        <v>190.5</v>
      </c>
      <c r="AP342" s="249">
        <f>SUMIFS(Таблица1[13],Таблица1[2],$D342)</f>
        <v>0</v>
      </c>
      <c r="AQ342" s="61">
        <v>281.5</v>
      </c>
      <c r="AR342" s="61">
        <f t="shared" si="76"/>
        <v>281.5</v>
      </c>
      <c r="AS342" s="60">
        <f>SUMIFS(Таблица1[14],Таблица1[2],$D342)</f>
        <v>0</v>
      </c>
      <c r="AT342" s="60">
        <f>SUMIFS(Таблица1[15],Таблица1[2],$D342)</f>
        <v>0</v>
      </c>
      <c r="AU342" s="61">
        <v>560.4</v>
      </c>
      <c r="AV342" s="61">
        <f t="shared" si="77"/>
        <v>560.4</v>
      </c>
      <c r="AW342" s="60">
        <f>SUMIFS(Таблица1[16],Таблица1[2],$D342)</f>
        <v>0</v>
      </c>
      <c r="AX342" s="60">
        <f>SUMIFS(Таблица1[17],Таблица1[2],$D342)</f>
        <v>0</v>
      </c>
      <c r="AY342" s="263"/>
      <c r="AZ342" s="264"/>
      <c r="BA342" s="296">
        <v>0</v>
      </c>
      <c r="BB342" s="296">
        <f t="shared" si="86"/>
        <v>0</v>
      </c>
      <c r="BC342" s="296">
        <v>0</v>
      </c>
      <c r="BD342" s="296">
        <v>0</v>
      </c>
      <c r="BE342" s="285"/>
      <c r="BF342" s="259">
        <v>1485</v>
      </c>
      <c r="BG342" s="260">
        <f>2271+6209</f>
        <v>8480</v>
      </c>
      <c r="BH342" s="62" t="s">
        <v>939</v>
      </c>
      <c r="BI342" s="62" t="s">
        <v>935</v>
      </c>
      <c r="BJ342" s="62"/>
      <c r="BK342" s="267"/>
      <c r="BL342" s="267"/>
      <c r="BM342" s="267" t="s">
        <v>1649</v>
      </c>
      <c r="BN342" s="268"/>
      <c r="BO342" s="62">
        <v>26</v>
      </c>
      <c r="BP342" s="63">
        <v>29818</v>
      </c>
      <c r="BQ342" s="64" t="s">
        <v>1131</v>
      </c>
      <c r="BR342" s="372" t="s">
        <v>2747</v>
      </c>
      <c r="BS342" s="62"/>
      <c r="BT342" s="323"/>
      <c r="BU342" s="62"/>
      <c r="BV342" s="323"/>
      <c r="BW342" s="62"/>
      <c r="BX342" s="336"/>
      <c r="BY342" s="336"/>
    </row>
    <row r="343" spans="1:77" ht="13.15" hidden="1" customHeight="1" outlineLevel="1" x14ac:dyDescent="0.2">
      <c r="A343" s="50">
        <f t="shared" si="83"/>
        <v>338</v>
      </c>
      <c r="B343" s="51">
        <v>57</v>
      </c>
      <c r="C343" s="51">
        <v>97</v>
      </c>
      <c r="D343" s="18" t="s">
        <v>404</v>
      </c>
      <c r="E343" s="18">
        <v>9</v>
      </c>
      <c r="F343" s="18">
        <v>1</v>
      </c>
      <c r="G343" s="52">
        <v>1</v>
      </c>
      <c r="H343" s="237">
        <v>1</v>
      </c>
      <c r="I343" s="65">
        <v>1953</v>
      </c>
      <c r="J343" s="349">
        <v>4</v>
      </c>
      <c r="K343" s="346">
        <f t="shared" si="84"/>
        <v>5</v>
      </c>
      <c r="L343" s="346">
        <v>1</v>
      </c>
      <c r="M343" s="349">
        <v>2</v>
      </c>
      <c r="N343" s="255">
        <f t="shared" si="82"/>
        <v>0</v>
      </c>
      <c r="O343" s="310">
        <v>8</v>
      </c>
      <c r="P343" s="66">
        <v>0</v>
      </c>
      <c r="Q343" s="66"/>
      <c r="R343" s="66">
        <v>2</v>
      </c>
      <c r="S343" s="66">
        <v>6</v>
      </c>
      <c r="T343" s="66">
        <v>0</v>
      </c>
      <c r="U343" s="66">
        <v>0</v>
      </c>
      <c r="V343" s="66">
        <v>0</v>
      </c>
      <c r="W343" s="54">
        <v>0</v>
      </c>
      <c r="X343" s="55">
        <f>SUMIFS(Таблица3[Кол-во квартир],Таблица3[Адрес МКД],$D343)</f>
        <v>8</v>
      </c>
      <c r="Y343" s="56">
        <f t="shared" si="85"/>
        <v>951.3</v>
      </c>
      <c r="Z343" s="253">
        <f>SUMIFS(Таблица3[Площадь жилая],Таблица3[Адрес МКД],$D343)</f>
        <v>616.79999999999995</v>
      </c>
      <c r="AA343" s="261">
        <f>SUMIFS(Таблица3[Площадь нежилых помещений],Таблица3[Адрес МКД],$D343)</f>
        <v>0</v>
      </c>
      <c r="AB343" s="252">
        <f>SUMIFS(Таблица1[1],Таблица1[2],$D343)</f>
        <v>0</v>
      </c>
      <c r="AC343" s="57">
        <f t="shared" si="78"/>
        <v>0</v>
      </c>
      <c r="AD343" s="57">
        <f t="shared" si="79"/>
        <v>0</v>
      </c>
      <c r="AE343" s="58">
        <f>SUMIFS(Таблица1[8],Таблица1[2],$D343)+SUMIFS(Таблица1[18],Таблица1[2],$D343)</f>
        <v>0</v>
      </c>
      <c r="AF343" s="58">
        <f>SUMIFS(Таблица1[9],Таблица1[2],$D343)+SUMIFS(Таблица1[19],Таблица1[2],$D343)</f>
        <v>0</v>
      </c>
      <c r="AG343" s="59">
        <f t="shared" si="80"/>
        <v>334.5</v>
      </c>
      <c r="AH343" s="59">
        <f t="shared" si="81"/>
        <v>334.5</v>
      </c>
      <c r="AI343" s="60">
        <f>47.3-AM343</f>
        <v>47.3</v>
      </c>
      <c r="AJ343" s="60">
        <f t="shared" si="74"/>
        <v>47.3</v>
      </c>
      <c r="AK343" s="60">
        <f>SUMIFS(Таблица1[10],Таблица1[2],$D343)</f>
        <v>0</v>
      </c>
      <c r="AL343" s="60">
        <f>SUMIFS(Таблица1[11],Таблица1[2],$D343)</f>
        <v>0</v>
      </c>
      <c r="AM343" s="251">
        <v>0</v>
      </c>
      <c r="AN343" s="249">
        <f t="shared" si="75"/>
        <v>0</v>
      </c>
      <c r="AO343" s="249">
        <f>SUMIFS(Таблица1[12],Таблица1[2],$D343)</f>
        <v>0</v>
      </c>
      <c r="AP343" s="249">
        <f>SUMIFS(Таблица1[13],Таблица1[2],$D343)</f>
        <v>0</v>
      </c>
      <c r="AQ343" s="61">
        <v>88.9</v>
      </c>
      <c r="AR343" s="61">
        <f t="shared" si="76"/>
        <v>88.9</v>
      </c>
      <c r="AS343" s="60">
        <f>SUMIFS(Таблица1[14],Таблица1[2],$D343)</f>
        <v>0</v>
      </c>
      <c r="AT343" s="60">
        <f>SUMIFS(Таблица1[15],Таблица1[2],$D343)</f>
        <v>0</v>
      </c>
      <c r="AU343" s="61">
        <v>198.3</v>
      </c>
      <c r="AV343" s="61">
        <f t="shared" si="77"/>
        <v>198.3</v>
      </c>
      <c r="AW343" s="60">
        <f>SUMIFS(Таблица1[16],Таблица1[2],$D343)</f>
        <v>0</v>
      </c>
      <c r="AX343" s="60">
        <f>SUMIFS(Таблица1[17],Таблица1[2],$D343)</f>
        <v>0</v>
      </c>
      <c r="AY343" s="263"/>
      <c r="AZ343" s="264"/>
      <c r="BA343" s="296">
        <v>0</v>
      </c>
      <c r="BB343" s="296">
        <f t="shared" si="86"/>
        <v>0</v>
      </c>
      <c r="BC343" s="296">
        <v>0</v>
      </c>
      <c r="BD343" s="296">
        <v>0</v>
      </c>
      <c r="BE343" s="285"/>
      <c r="BF343" s="259">
        <v>344</v>
      </c>
      <c r="BG343" s="260">
        <v>3102</v>
      </c>
      <c r="BH343" s="62" t="s">
        <v>939</v>
      </c>
      <c r="BI343" s="62" t="s">
        <v>935</v>
      </c>
      <c r="BJ343" s="62"/>
      <c r="BK343" s="267"/>
      <c r="BL343" s="267"/>
      <c r="BM343" s="267" t="s">
        <v>1649</v>
      </c>
      <c r="BN343" s="268"/>
      <c r="BO343" s="62">
        <v>24</v>
      </c>
      <c r="BP343" s="63">
        <v>30641</v>
      </c>
      <c r="BQ343" s="64" t="s">
        <v>1131</v>
      </c>
      <c r="BR343" s="372" t="s">
        <v>2747</v>
      </c>
      <c r="BS343" s="62"/>
      <c r="BT343" s="323"/>
      <c r="BU343" s="62"/>
      <c r="BV343" s="323"/>
      <c r="BW343" s="62"/>
      <c r="BX343" s="336"/>
      <c r="BY343" s="336"/>
    </row>
    <row r="344" spans="1:77" ht="13.15" hidden="1" customHeight="1" outlineLevel="1" x14ac:dyDescent="0.2">
      <c r="A344" s="50">
        <f t="shared" si="83"/>
        <v>339</v>
      </c>
      <c r="B344" s="51">
        <v>58</v>
      </c>
      <c r="C344" s="51">
        <v>98</v>
      </c>
      <c r="D344" s="18" t="s">
        <v>405</v>
      </c>
      <c r="E344" s="18">
        <v>9</v>
      </c>
      <c r="F344" s="18">
        <v>1</v>
      </c>
      <c r="G344" s="52"/>
      <c r="H344" s="237">
        <v>1</v>
      </c>
      <c r="I344" s="65">
        <v>1953</v>
      </c>
      <c r="J344" s="349">
        <v>4</v>
      </c>
      <c r="K344" s="346">
        <f t="shared" si="84"/>
        <v>5</v>
      </c>
      <c r="L344" s="346">
        <v>1</v>
      </c>
      <c r="M344" s="349">
        <v>2</v>
      </c>
      <c r="N344" s="255">
        <f t="shared" si="82"/>
        <v>0</v>
      </c>
      <c r="O344" s="310">
        <v>28</v>
      </c>
      <c r="P344" s="66">
        <v>2</v>
      </c>
      <c r="Q344" s="66"/>
      <c r="R344" s="66">
        <v>0</v>
      </c>
      <c r="S344" s="66">
        <v>20</v>
      </c>
      <c r="T344" s="66">
        <v>8</v>
      </c>
      <c r="U344" s="66">
        <v>0</v>
      </c>
      <c r="V344" s="66">
        <v>0</v>
      </c>
      <c r="W344" s="54">
        <v>0</v>
      </c>
      <c r="X344" s="55">
        <f>SUMIFS(Таблица3[Кол-во квартир],Таблица3[Адрес МКД],$D344)</f>
        <v>26</v>
      </c>
      <c r="Y344" s="56">
        <f t="shared" si="85"/>
        <v>3337.9</v>
      </c>
      <c r="Z344" s="253">
        <f>SUMIFS(Таблица3[Площадь жилая],Таблица3[Адрес МКД],$D344)</f>
        <v>1650</v>
      </c>
      <c r="AA344" s="261">
        <f>SUMIFS(Таблица3[Площадь нежилых помещений],Таблица3[Адрес МКД],$D344)</f>
        <v>462.5</v>
      </c>
      <c r="AB344" s="252">
        <f>SUMIFS(Таблица1[1],Таблица1[2],$D344)</f>
        <v>462.5</v>
      </c>
      <c r="AC344" s="57">
        <f t="shared" si="78"/>
        <v>462.5</v>
      </c>
      <c r="AD344" s="57">
        <f t="shared" si="79"/>
        <v>0</v>
      </c>
      <c r="AE344" s="58">
        <f>SUMIFS(Таблица1[8],Таблица1[2],$D344)+SUMIFS(Таблица1[18],Таблица1[2],$D344)</f>
        <v>383.5</v>
      </c>
      <c r="AF344" s="58">
        <f>SUMIFS(Таблица1[9],Таблица1[2],$D344)+SUMIFS(Таблица1[19],Таблица1[2],$D344)</f>
        <v>0</v>
      </c>
      <c r="AG344" s="59">
        <f t="shared" si="80"/>
        <v>1225.4000000000001</v>
      </c>
      <c r="AH344" s="59">
        <f t="shared" si="81"/>
        <v>1225.4000000000001</v>
      </c>
      <c r="AI344" s="60">
        <f>486.3-AM344</f>
        <v>486.3</v>
      </c>
      <c r="AJ344" s="60">
        <f t="shared" si="74"/>
        <v>407.3</v>
      </c>
      <c r="AK344" s="60">
        <f>SUMIFS(Таблица1[10],Таблица1[2],$D344)</f>
        <v>79</v>
      </c>
      <c r="AL344" s="60">
        <f>SUMIFS(Таблица1[11],Таблица1[2],$D344)</f>
        <v>0</v>
      </c>
      <c r="AM344" s="251">
        <v>0</v>
      </c>
      <c r="AN344" s="249">
        <f t="shared" si="75"/>
        <v>0</v>
      </c>
      <c r="AO344" s="249">
        <f>SUMIFS(Таблица1[12],Таблица1[2],$D344)</f>
        <v>0</v>
      </c>
      <c r="AP344" s="249">
        <f>SUMIFS(Таблица1[13],Таблица1[2],$D344)</f>
        <v>0</v>
      </c>
      <c r="AQ344" s="61">
        <v>216.3</v>
      </c>
      <c r="AR344" s="61">
        <f t="shared" si="76"/>
        <v>216.3</v>
      </c>
      <c r="AS344" s="60">
        <f>SUMIFS(Таблица1[14],Таблица1[2],$D344)</f>
        <v>0</v>
      </c>
      <c r="AT344" s="60">
        <f>SUMIFS(Таблица1[15],Таблица1[2],$D344)</f>
        <v>0</v>
      </c>
      <c r="AU344" s="61">
        <v>601.79999999999995</v>
      </c>
      <c r="AV344" s="61">
        <f t="shared" si="77"/>
        <v>601.79999999999995</v>
      </c>
      <c r="AW344" s="60">
        <f>SUMIFS(Таблица1[16],Таблица1[2],$D344)</f>
        <v>0</v>
      </c>
      <c r="AX344" s="60">
        <f>SUMIFS(Таблица1[17],Таблица1[2],$D344)</f>
        <v>0</v>
      </c>
      <c r="AY344" s="263"/>
      <c r="AZ344" s="264"/>
      <c r="BA344" s="296">
        <v>0</v>
      </c>
      <c r="BB344" s="296">
        <f t="shared" si="86"/>
        <v>0</v>
      </c>
      <c r="BC344" s="296">
        <v>0</v>
      </c>
      <c r="BD344" s="296">
        <v>0</v>
      </c>
      <c r="BE344" s="285"/>
      <c r="BF344" s="259">
        <v>1470</v>
      </c>
      <c r="BG344" s="260">
        <v>9034</v>
      </c>
      <c r="BH344" s="62" t="s">
        <v>939</v>
      </c>
      <c r="BI344" s="62" t="s">
        <v>935</v>
      </c>
      <c r="BJ344" s="62"/>
      <c r="BK344" s="267"/>
      <c r="BL344" s="267"/>
      <c r="BM344" s="267" t="s">
        <v>1649</v>
      </c>
      <c r="BN344" s="268"/>
      <c r="BO344" s="62">
        <v>24</v>
      </c>
      <c r="BP344" s="63">
        <v>30641</v>
      </c>
      <c r="BQ344" s="64" t="s">
        <v>1131</v>
      </c>
      <c r="BR344" s="372" t="s">
        <v>2747</v>
      </c>
      <c r="BS344" s="62"/>
      <c r="BT344" s="323"/>
      <c r="BU344" s="62"/>
      <c r="BV344" s="323"/>
      <c r="BW344" s="62"/>
      <c r="BX344" s="340"/>
      <c r="BY344" s="336"/>
    </row>
    <row r="345" spans="1:77" ht="13.15" hidden="1" customHeight="1" outlineLevel="1" x14ac:dyDescent="0.2">
      <c r="A345" s="50">
        <f t="shared" si="83"/>
        <v>340</v>
      </c>
      <c r="B345" s="51">
        <v>59</v>
      </c>
      <c r="C345" s="51">
        <v>99</v>
      </c>
      <c r="D345" s="18" t="s">
        <v>406</v>
      </c>
      <c r="E345" s="18">
        <v>9</v>
      </c>
      <c r="F345" s="18">
        <v>1</v>
      </c>
      <c r="G345" s="52">
        <v>1</v>
      </c>
      <c r="H345" s="237">
        <v>1</v>
      </c>
      <c r="I345" s="65">
        <v>1950</v>
      </c>
      <c r="J345" s="349">
        <v>3</v>
      </c>
      <c r="K345" s="346">
        <f t="shared" si="84"/>
        <v>4</v>
      </c>
      <c r="L345" s="346">
        <v>1</v>
      </c>
      <c r="M345" s="349">
        <v>5</v>
      </c>
      <c r="N345" s="255">
        <f t="shared" si="82"/>
        <v>0</v>
      </c>
      <c r="O345" s="310">
        <v>50</v>
      </c>
      <c r="P345" s="327">
        <f>9-2</f>
        <v>7</v>
      </c>
      <c r="Q345" s="66"/>
      <c r="R345" s="66">
        <v>12</v>
      </c>
      <c r="S345" s="66">
        <v>27</v>
      </c>
      <c r="T345" s="66">
        <v>11</v>
      </c>
      <c r="U345" s="66">
        <v>0</v>
      </c>
      <c r="V345" s="66">
        <v>0</v>
      </c>
      <c r="W345" s="54">
        <v>0</v>
      </c>
      <c r="X345" s="55">
        <f>SUMIFS(Таблица3[Кол-во квартир],Таблица3[Адрес МКД],$D345)</f>
        <v>43</v>
      </c>
      <c r="Y345" s="56">
        <f t="shared" si="85"/>
        <v>5128.1499999999996</v>
      </c>
      <c r="Z345" s="253">
        <f>SUMIFS(Таблица3[Площадь жилая],Таблица3[Адрес МКД],$D345)</f>
        <v>2329.25</v>
      </c>
      <c r="AA345" s="261">
        <f>SUMIFS(Таблица3[Площадь нежилых помещений],Таблица3[Адрес МКД],$D345)</f>
        <v>661.7</v>
      </c>
      <c r="AB345" s="252">
        <f>SUMIFS(Таблица1[1],Таблица1[2],$D345)</f>
        <v>683.59999999999991</v>
      </c>
      <c r="AC345" s="57">
        <f t="shared" si="78"/>
        <v>661.7</v>
      </c>
      <c r="AD345" s="57">
        <f t="shared" si="79"/>
        <v>21.9</v>
      </c>
      <c r="AE345" s="58">
        <f>SUMIFS(Таблица1[8],Таблица1[2],$D345)+SUMIFS(Таблица1[18],Таблица1[2],$D345)</f>
        <v>407.6</v>
      </c>
      <c r="AF345" s="58">
        <f>SUMIFS(Таблица1[9],Таблица1[2],$D345)+SUMIFS(Таблица1[19],Таблица1[2],$D345)</f>
        <v>0</v>
      </c>
      <c r="AG345" s="59">
        <f t="shared" si="80"/>
        <v>2115.3000000000002</v>
      </c>
      <c r="AH345" s="59">
        <f t="shared" si="81"/>
        <v>2137.1999999999998</v>
      </c>
      <c r="AI345" s="60">
        <f>436.4+244.8-AM345</f>
        <v>681.2</v>
      </c>
      <c r="AJ345" s="60">
        <f t="shared" si="74"/>
        <v>427.1</v>
      </c>
      <c r="AK345" s="60">
        <f>SUMIFS(Таблица1[10],Таблица1[2],$D345)</f>
        <v>254.10000000000002</v>
      </c>
      <c r="AL345" s="60">
        <f>SUMIFS(Таблица1[11],Таблица1[2],$D345)</f>
        <v>0</v>
      </c>
      <c r="AM345" s="251">
        <v>0</v>
      </c>
      <c r="AN345" s="249">
        <f t="shared" si="75"/>
        <v>0</v>
      </c>
      <c r="AO345" s="249">
        <f>SUMIFS(Таблица1[12],Таблица1[2],$D345)</f>
        <v>0</v>
      </c>
      <c r="AP345" s="249">
        <f>SUMIFS(Таблица1[13],Таблица1[2],$D345)</f>
        <v>0</v>
      </c>
      <c r="AQ345" s="61">
        <f>380.8</f>
        <v>380.8</v>
      </c>
      <c r="AR345" s="61">
        <f t="shared" si="76"/>
        <v>358.90000000000003</v>
      </c>
      <c r="AS345" s="60">
        <f>SUMIFS(Таблица1[14],Таблица1[2],$D345)</f>
        <v>0</v>
      </c>
      <c r="AT345" s="60">
        <f>SUMIFS(Таблица1[15],Таблица1[2],$D345)</f>
        <v>21.9</v>
      </c>
      <c r="AU345" s="61">
        <v>1329.3</v>
      </c>
      <c r="AV345" s="61">
        <f t="shared" si="77"/>
        <v>1329.3</v>
      </c>
      <c r="AW345" s="60">
        <f>SUMIFS(Таблица1[16],Таблица1[2],$D345)</f>
        <v>0</v>
      </c>
      <c r="AX345" s="60">
        <f>SUMIFS(Таблица1[17],Таблица1[2],$D345)</f>
        <v>0</v>
      </c>
      <c r="AY345" s="263"/>
      <c r="AZ345" s="264"/>
      <c r="BA345" s="296">
        <v>0</v>
      </c>
      <c r="BB345" s="296">
        <f t="shared" si="86"/>
        <v>0</v>
      </c>
      <c r="BC345" s="296">
        <v>0</v>
      </c>
      <c r="BD345" s="296">
        <v>0</v>
      </c>
      <c r="BE345" s="285"/>
      <c r="BF345" s="259">
        <v>1168</v>
      </c>
      <c r="BG345" s="260">
        <f>2449+12451</f>
        <v>14900</v>
      </c>
      <c r="BH345" s="62" t="s">
        <v>936</v>
      </c>
      <c r="BI345" s="62" t="s">
        <v>935</v>
      </c>
      <c r="BJ345" s="62" t="s">
        <v>944</v>
      </c>
      <c r="BK345" s="267"/>
      <c r="BL345" s="267"/>
      <c r="BM345" s="267" t="s">
        <v>1649</v>
      </c>
      <c r="BN345" s="268"/>
      <c r="BO345" s="62">
        <v>19</v>
      </c>
      <c r="BP345" s="63">
        <v>29665</v>
      </c>
      <c r="BQ345" s="64" t="s">
        <v>1131</v>
      </c>
      <c r="BR345" s="372" t="s">
        <v>2747</v>
      </c>
      <c r="BS345" s="62"/>
      <c r="BT345" s="323"/>
      <c r="BU345" s="62"/>
      <c r="BV345" s="323"/>
      <c r="BW345" s="62"/>
      <c r="BX345" s="336"/>
      <c r="BY345" s="336"/>
    </row>
    <row r="346" spans="1:77" ht="13.15" hidden="1" customHeight="1" outlineLevel="1" x14ac:dyDescent="0.2">
      <c r="A346" s="50">
        <f t="shared" si="83"/>
        <v>341</v>
      </c>
      <c r="B346" s="51">
        <v>60</v>
      </c>
      <c r="C346" s="51">
        <v>100</v>
      </c>
      <c r="D346" s="18" t="s">
        <v>407</v>
      </c>
      <c r="E346" s="18">
        <v>9</v>
      </c>
      <c r="F346" s="18">
        <v>1</v>
      </c>
      <c r="G346" s="52">
        <v>2</v>
      </c>
      <c r="H346" s="237">
        <v>1</v>
      </c>
      <c r="I346" s="65">
        <v>1957</v>
      </c>
      <c r="J346" s="351">
        <v>4.5</v>
      </c>
      <c r="K346" s="355">
        <v>4.5999999999999996</v>
      </c>
      <c r="L346" s="346">
        <v>1</v>
      </c>
      <c r="M346" s="349">
        <v>8</v>
      </c>
      <c r="N346" s="255">
        <f t="shared" si="82"/>
        <v>2</v>
      </c>
      <c r="O346" s="310">
        <v>111</v>
      </c>
      <c r="P346" s="66">
        <v>5</v>
      </c>
      <c r="Q346" s="66"/>
      <c r="R346" s="66">
        <v>0</v>
      </c>
      <c r="S346" s="66">
        <v>70</v>
      </c>
      <c r="T346" s="66">
        <v>37</v>
      </c>
      <c r="U346" s="66">
        <v>4</v>
      </c>
      <c r="V346" s="66">
        <v>0</v>
      </c>
      <c r="W346" s="54">
        <v>0</v>
      </c>
      <c r="X346" s="55">
        <f>SUMIFS(Таблица3[Кол-во квартир],Таблица3[Адрес МКД],$D346)</f>
        <v>104</v>
      </c>
      <c r="Y346" s="56">
        <f t="shared" si="85"/>
        <v>11630.6</v>
      </c>
      <c r="Z346" s="253">
        <f>SUMIFS(Таблица3[Площадь жилая],Таблица3[Адрес МКД],$D346)</f>
        <v>6697.6</v>
      </c>
      <c r="AA346" s="261">
        <f>SUMIFS(Таблица3[Площадь нежилых помещений],Таблица3[Адрес МКД],$D346)</f>
        <v>1586.6</v>
      </c>
      <c r="AB346" s="252">
        <f>SUMIFS(Таблица1[1],Таблица1[2],$D346)</f>
        <v>1707.9999999999998</v>
      </c>
      <c r="AC346" s="57">
        <f t="shared" si="78"/>
        <v>1682.1999999999998</v>
      </c>
      <c r="AD346" s="57">
        <f t="shared" si="79"/>
        <v>25.8</v>
      </c>
      <c r="AE346" s="58">
        <f>SUMIFS(Таблица1[8],Таблица1[2],$D346)+SUMIFS(Таблица1[18],Таблица1[2],$D346)</f>
        <v>867.09999999999991</v>
      </c>
      <c r="AF346" s="58">
        <f>SUMIFS(Таблица1[9],Таблица1[2],$D346)+SUMIFS(Таблица1[19],Таблица1[2],$D346)</f>
        <v>0</v>
      </c>
      <c r="AG346" s="59">
        <f>AJ346+AR346+AV346+AZ346+BB346</f>
        <v>3225</v>
      </c>
      <c r="AH346" s="59">
        <f>AJ346+AL346+AR346+AT346+AV346+AX346+BB346+BD346</f>
        <v>3250.8</v>
      </c>
      <c r="AI346" s="60">
        <f>1252.9-AM346</f>
        <v>924.50000000000011</v>
      </c>
      <c r="AJ346" s="60">
        <f t="shared" si="74"/>
        <v>412.00000000000006</v>
      </c>
      <c r="AK346" s="60">
        <f>SUMIFS(Таблица1[10],Таблица1[2],$D346)</f>
        <v>486.70000000000005</v>
      </c>
      <c r="AL346" s="60">
        <f>SUMIFS(Таблица1[11],Таблица1[2],$D346)</f>
        <v>25.8</v>
      </c>
      <c r="AM346" s="251">
        <f>12.7+185.9+129.8</f>
        <v>328.4</v>
      </c>
      <c r="AN346" s="249">
        <f t="shared" si="75"/>
        <v>0</v>
      </c>
      <c r="AO346" s="249">
        <f>SUMIFS(Таблица1[12],Таблица1[2],$D346)</f>
        <v>328.4</v>
      </c>
      <c r="AP346" s="249">
        <f>SUMIFS(Таблица1[13],Таблица1[2],$D346)</f>
        <v>0</v>
      </c>
      <c r="AQ346" s="61">
        <v>899.7</v>
      </c>
      <c r="AR346" s="61">
        <f t="shared" si="76"/>
        <v>899.7</v>
      </c>
      <c r="AS346" s="60">
        <f>SUMIFS(Таблица1[14],Таблица1[2],$D346)</f>
        <v>0</v>
      </c>
      <c r="AT346" s="60">
        <f>SUMIFS(Таблица1[15],Таблица1[2],$D346)</f>
        <v>0</v>
      </c>
      <c r="AU346" s="61">
        <v>1913.3</v>
      </c>
      <c r="AV346" s="61">
        <f t="shared" si="77"/>
        <v>1913.3</v>
      </c>
      <c r="AW346" s="60">
        <f>SUMIFS(Таблица1[16],Таблица1[2],$D346)</f>
        <v>0</v>
      </c>
      <c r="AX346" s="60">
        <f>SUMIFS(Таблица1[17],Таблица1[2],$D346)</f>
        <v>0</v>
      </c>
      <c r="AY346" s="263">
        <f>Нежилые!G1939</f>
        <v>95.6</v>
      </c>
      <c r="AZ346" s="264"/>
      <c r="BA346" s="296">
        <v>39.9</v>
      </c>
      <c r="BB346" s="296">
        <f>BA346-BC346-BD346</f>
        <v>0</v>
      </c>
      <c r="BC346" s="296">
        <f>Нежилые!I1940</f>
        <v>39.9</v>
      </c>
      <c r="BD346" s="296">
        <v>0</v>
      </c>
      <c r="BE346" s="285"/>
      <c r="BF346" s="259">
        <v>6060</v>
      </c>
      <c r="BG346" s="260">
        <f>7079+24903+2157</f>
        <v>34139</v>
      </c>
      <c r="BH346" s="62" t="s">
        <v>936</v>
      </c>
      <c r="BI346" s="62" t="s">
        <v>935</v>
      </c>
      <c r="BJ346" s="62"/>
      <c r="BK346" s="267"/>
      <c r="BL346" s="267"/>
      <c r="BM346" s="267" t="s">
        <v>1649</v>
      </c>
      <c r="BN346" s="268"/>
      <c r="BO346" s="62">
        <v>25</v>
      </c>
      <c r="BP346" s="63">
        <v>29849</v>
      </c>
      <c r="BQ346" s="64" t="s">
        <v>1131</v>
      </c>
      <c r="BR346" s="372" t="s">
        <v>2747</v>
      </c>
      <c r="BS346" s="62"/>
      <c r="BT346" s="323"/>
      <c r="BU346" s="62"/>
      <c r="BV346" s="323"/>
      <c r="BW346" s="62"/>
      <c r="BX346" s="336"/>
      <c r="BY346" s="336"/>
    </row>
    <row r="347" spans="1:77" ht="13.15" hidden="1" customHeight="1" outlineLevel="1" x14ac:dyDescent="0.2">
      <c r="A347" s="50">
        <f t="shared" si="83"/>
        <v>342</v>
      </c>
      <c r="B347" s="51">
        <v>61</v>
      </c>
      <c r="C347" s="51">
        <v>101</v>
      </c>
      <c r="D347" s="18" t="s">
        <v>408</v>
      </c>
      <c r="E347" s="18">
        <v>9</v>
      </c>
      <c r="F347" s="18">
        <v>1</v>
      </c>
      <c r="G347" s="52">
        <v>1</v>
      </c>
      <c r="H347" s="237">
        <v>1</v>
      </c>
      <c r="I347" s="65">
        <v>1950</v>
      </c>
      <c r="J347" s="349">
        <v>3</v>
      </c>
      <c r="K347" s="346">
        <f t="shared" si="84"/>
        <v>4</v>
      </c>
      <c r="L347" s="346">
        <v>1</v>
      </c>
      <c r="M347" s="349">
        <v>4</v>
      </c>
      <c r="N347" s="255">
        <f t="shared" si="82"/>
        <v>0</v>
      </c>
      <c r="O347" s="310">
        <v>45</v>
      </c>
      <c r="P347" s="66">
        <v>2</v>
      </c>
      <c r="Q347" s="66"/>
      <c r="R347" s="66">
        <v>11</v>
      </c>
      <c r="S347" s="66">
        <v>28</v>
      </c>
      <c r="T347" s="66">
        <v>6</v>
      </c>
      <c r="U347" s="66">
        <v>0</v>
      </c>
      <c r="V347" s="66">
        <v>0</v>
      </c>
      <c r="W347" s="54">
        <v>0</v>
      </c>
      <c r="X347" s="55">
        <f>SUMIFS(Таблица3[Кол-во квартир],Таблица3[Адрес МКД],$D347)</f>
        <v>43</v>
      </c>
      <c r="Y347" s="56">
        <f t="shared" si="85"/>
        <v>4309.8</v>
      </c>
      <c r="Z347" s="253">
        <f>SUMIFS(Таблица3[Площадь жилая],Таблица3[Адрес МКД],$D347)</f>
        <v>2332.9</v>
      </c>
      <c r="AA347" s="261">
        <f>SUMIFS(Таблица3[Площадь нежилых помещений],Таблица3[Адрес МКД],$D347)</f>
        <v>330</v>
      </c>
      <c r="AB347" s="252">
        <f>SUMIFS(Таблица1[1],Таблица1[2],$D347)</f>
        <v>340</v>
      </c>
      <c r="AC347" s="57">
        <f t="shared" si="78"/>
        <v>327.2</v>
      </c>
      <c r="AD347" s="57">
        <f t="shared" si="79"/>
        <v>12.8</v>
      </c>
      <c r="AE347" s="58">
        <f>SUMIFS(Таблица1[8],Таблица1[2],$D347)+SUMIFS(Таблица1[18],Таблица1[2],$D347)</f>
        <v>49</v>
      </c>
      <c r="AF347" s="58">
        <f>SUMIFS(Таблица1[9],Таблица1[2],$D347)+SUMIFS(Таблица1[19],Таблица1[2],$D347)</f>
        <v>0</v>
      </c>
      <c r="AG347" s="59">
        <f t="shared" si="80"/>
        <v>1634.1000000000001</v>
      </c>
      <c r="AH347" s="59">
        <f t="shared" si="81"/>
        <v>1646.9</v>
      </c>
      <c r="AI347" s="60">
        <f>517.7+158.8-AM347</f>
        <v>555.70000000000005</v>
      </c>
      <c r="AJ347" s="60">
        <f t="shared" si="74"/>
        <v>395.50000000000006</v>
      </c>
      <c r="AK347" s="60">
        <f>SUMIFS(Таблица1[10],Таблица1[2],$D347)</f>
        <v>160.19999999999999</v>
      </c>
      <c r="AL347" s="60">
        <f>SUMIFS(Таблица1[11],Таблица1[2],$D347)</f>
        <v>0</v>
      </c>
      <c r="AM347" s="251">
        <v>120.8</v>
      </c>
      <c r="AN347" s="249">
        <f t="shared" si="75"/>
        <v>2.7999999999999972</v>
      </c>
      <c r="AO347" s="249">
        <f>SUMIFS(Таблица1[12],Таблица1[2],$D347)</f>
        <v>118</v>
      </c>
      <c r="AP347" s="249">
        <f>SUMIFS(Таблица1[13],Таблица1[2],$D347)</f>
        <v>0</v>
      </c>
      <c r="AQ347" s="61">
        <f>305.2</f>
        <v>305.2</v>
      </c>
      <c r="AR347" s="61">
        <f t="shared" si="76"/>
        <v>292.39999999999998</v>
      </c>
      <c r="AS347" s="60">
        <f>SUMIFS(Таблица1[14],Таблица1[2],$D347)</f>
        <v>0</v>
      </c>
      <c r="AT347" s="60">
        <f>SUMIFS(Таблица1[15],Таблица1[2],$D347)</f>
        <v>12.8</v>
      </c>
      <c r="AU347" s="61">
        <v>946.2</v>
      </c>
      <c r="AV347" s="61">
        <f t="shared" si="77"/>
        <v>946.2</v>
      </c>
      <c r="AW347" s="60">
        <f>SUMIFS(Таблица1[16],Таблица1[2],$D347)</f>
        <v>0</v>
      </c>
      <c r="AX347" s="60">
        <f>SUMIFS(Таблица1[17],Таблица1[2],$D347)</f>
        <v>0</v>
      </c>
      <c r="AY347" s="263"/>
      <c r="AZ347" s="264"/>
      <c r="BA347" s="296">
        <v>0</v>
      </c>
      <c r="BB347" s="296">
        <f t="shared" si="86"/>
        <v>0</v>
      </c>
      <c r="BC347" s="296">
        <v>0</v>
      </c>
      <c r="BD347" s="296">
        <v>0</v>
      </c>
      <c r="BE347" s="285"/>
      <c r="BF347" s="259">
        <v>3161</v>
      </c>
      <c r="BG347" s="260">
        <v>10125</v>
      </c>
      <c r="BH347" s="62" t="s">
        <v>936</v>
      </c>
      <c r="BI347" s="62" t="s">
        <v>935</v>
      </c>
      <c r="BJ347" s="62" t="s">
        <v>944</v>
      </c>
      <c r="BK347" s="267"/>
      <c r="BL347" s="267"/>
      <c r="BM347" s="267" t="s">
        <v>1649</v>
      </c>
      <c r="BN347" s="268"/>
      <c r="BO347" s="62">
        <v>19</v>
      </c>
      <c r="BP347" s="63">
        <v>29665</v>
      </c>
      <c r="BQ347" s="64" t="s">
        <v>1131</v>
      </c>
      <c r="BR347" s="372" t="s">
        <v>2747</v>
      </c>
      <c r="BS347" s="62"/>
      <c r="BT347" s="323"/>
      <c r="BU347" s="62"/>
      <c r="BV347" s="323"/>
      <c r="BW347" s="62"/>
      <c r="BX347" s="336"/>
      <c r="BY347" s="336"/>
    </row>
    <row r="348" spans="1:77" ht="13.15" hidden="1" customHeight="1" outlineLevel="1" x14ac:dyDescent="0.2">
      <c r="A348" s="50">
        <f t="shared" si="83"/>
        <v>343</v>
      </c>
      <c r="B348" s="51">
        <v>62</v>
      </c>
      <c r="C348" s="51">
        <v>102</v>
      </c>
      <c r="D348" s="18" t="s">
        <v>409</v>
      </c>
      <c r="E348" s="18">
        <v>9</v>
      </c>
      <c r="F348" s="18">
        <v>1</v>
      </c>
      <c r="G348" s="52">
        <v>1</v>
      </c>
      <c r="H348" s="237">
        <v>1</v>
      </c>
      <c r="I348" s="65">
        <v>1950</v>
      </c>
      <c r="J348" s="349">
        <v>3</v>
      </c>
      <c r="K348" s="346">
        <f t="shared" si="84"/>
        <v>4</v>
      </c>
      <c r="L348" s="346">
        <v>1</v>
      </c>
      <c r="M348" s="349">
        <v>4</v>
      </c>
      <c r="N348" s="255">
        <f t="shared" si="82"/>
        <v>0</v>
      </c>
      <c r="O348" s="310">
        <v>52</v>
      </c>
      <c r="P348" s="66">
        <v>0</v>
      </c>
      <c r="Q348" s="66"/>
      <c r="R348" s="66">
        <v>19</v>
      </c>
      <c r="S348" s="66">
        <v>23</v>
      </c>
      <c r="T348" s="66">
        <v>10</v>
      </c>
      <c r="U348" s="66">
        <v>0</v>
      </c>
      <c r="V348" s="66">
        <v>0</v>
      </c>
      <c r="W348" s="54">
        <v>0</v>
      </c>
      <c r="X348" s="55">
        <f>SUMIFS(Таблица3[Кол-во квартир],Таблица3[Адрес МКД],$D348)</f>
        <v>52</v>
      </c>
      <c r="Y348" s="56">
        <f t="shared" si="85"/>
        <v>4133.32</v>
      </c>
      <c r="Z348" s="253">
        <f>SUMIFS(Таблица3[Площадь жилая],Таблица3[Адрес МКД],$D348)</f>
        <v>2320.52</v>
      </c>
      <c r="AA348" s="261">
        <f>SUMIFS(Таблица3[Площадь нежилых помещений],Таблица3[Адрес МКД],$D348)</f>
        <v>257.60000000000002</v>
      </c>
      <c r="AB348" s="252">
        <f>SUMIFS(Таблица1[1],Таблица1[2],$D348)</f>
        <v>328.20000000000005</v>
      </c>
      <c r="AC348" s="57">
        <f t="shared" si="78"/>
        <v>257.60000000000002</v>
      </c>
      <c r="AD348" s="57">
        <f t="shared" si="79"/>
        <v>70.600000000000009</v>
      </c>
      <c r="AE348" s="58">
        <f>SUMIFS(Таблица1[8],Таблица1[2],$D348)+SUMIFS(Таблица1[18],Таблица1[2],$D348)</f>
        <v>0</v>
      </c>
      <c r="AF348" s="58">
        <f>SUMIFS(Таблица1[9],Таблица1[2],$D348)+SUMIFS(Таблица1[19],Таблица1[2],$D348)</f>
        <v>0</v>
      </c>
      <c r="AG348" s="59">
        <f t="shared" si="80"/>
        <v>1484.6</v>
      </c>
      <c r="AH348" s="59">
        <f t="shared" si="81"/>
        <v>1555.1999999999998</v>
      </c>
      <c r="AI348" s="60">
        <f>483.6-AM348</f>
        <v>226</v>
      </c>
      <c r="AJ348" s="60">
        <f t="shared" si="74"/>
        <v>165.3</v>
      </c>
      <c r="AK348" s="60">
        <f>SUMIFS(Таблица1[10],Таблица1[2],$D348)</f>
        <v>0</v>
      </c>
      <c r="AL348" s="60">
        <f>SUMIFS(Таблица1[11],Таблица1[2],$D348)</f>
        <v>60.7</v>
      </c>
      <c r="AM348" s="251">
        <v>257.60000000000002</v>
      </c>
      <c r="AN348" s="249">
        <f t="shared" si="75"/>
        <v>0</v>
      </c>
      <c r="AO348" s="249">
        <f>SUMIFS(Таблица1[12],Таблица1[2],$D348)</f>
        <v>257.60000000000002</v>
      </c>
      <c r="AP348" s="249">
        <f>SUMIFS(Таблица1[13],Таблица1[2],$D348)</f>
        <v>0</v>
      </c>
      <c r="AQ348" s="61">
        <f>414.7</f>
        <v>414.7</v>
      </c>
      <c r="AR348" s="61">
        <f t="shared" si="76"/>
        <v>404.8</v>
      </c>
      <c r="AS348" s="60">
        <f>SUMIFS(Таблица1[14],Таблица1[2],$D348)</f>
        <v>0</v>
      </c>
      <c r="AT348" s="60">
        <f>SUMIFS(Таблица1[15],Таблица1[2],$D348)</f>
        <v>9.9</v>
      </c>
      <c r="AU348" s="61">
        <v>914.5</v>
      </c>
      <c r="AV348" s="61">
        <f t="shared" si="77"/>
        <v>914.5</v>
      </c>
      <c r="AW348" s="60">
        <f>SUMIFS(Таблица1[16],Таблица1[2],$D348)</f>
        <v>0</v>
      </c>
      <c r="AX348" s="60">
        <f>SUMIFS(Таблица1[17],Таблица1[2],$D348)</f>
        <v>0</v>
      </c>
      <c r="AY348" s="263"/>
      <c r="AZ348" s="264"/>
      <c r="BA348" s="296">
        <v>0</v>
      </c>
      <c r="BB348" s="296">
        <f t="shared" si="86"/>
        <v>0</v>
      </c>
      <c r="BC348" s="296">
        <v>0</v>
      </c>
      <c r="BD348" s="296">
        <v>0</v>
      </c>
      <c r="BE348" s="285"/>
      <c r="BF348" s="259">
        <v>2382</v>
      </c>
      <c r="BG348" s="260">
        <v>10920</v>
      </c>
      <c r="BH348" s="62" t="s">
        <v>936</v>
      </c>
      <c r="BI348" s="62" t="s">
        <v>935</v>
      </c>
      <c r="BJ348" s="62" t="s">
        <v>944</v>
      </c>
      <c r="BK348" s="267"/>
      <c r="BL348" s="267"/>
      <c r="BM348" s="267" t="s">
        <v>1649</v>
      </c>
      <c r="BN348" s="268"/>
      <c r="BO348" s="62">
        <v>28</v>
      </c>
      <c r="BP348" s="63">
        <v>29739</v>
      </c>
      <c r="BQ348" s="64" t="s">
        <v>1131</v>
      </c>
      <c r="BR348" s="372" t="s">
        <v>2747</v>
      </c>
      <c r="BS348" s="62"/>
      <c r="BT348" s="323"/>
      <c r="BU348" s="62"/>
      <c r="BV348" s="323"/>
      <c r="BW348" s="62"/>
      <c r="BX348" s="336"/>
      <c r="BY348" s="336"/>
    </row>
    <row r="349" spans="1:77" ht="13.15" hidden="1" customHeight="1" outlineLevel="1" x14ac:dyDescent="0.2">
      <c r="A349" s="50">
        <f t="shared" si="83"/>
        <v>344</v>
      </c>
      <c r="B349" s="51">
        <v>63</v>
      </c>
      <c r="C349" s="51">
        <v>103</v>
      </c>
      <c r="D349" s="18" t="s">
        <v>410</v>
      </c>
      <c r="E349" s="18">
        <v>9</v>
      </c>
      <c r="F349" s="18">
        <v>1</v>
      </c>
      <c r="G349" s="52">
        <v>1</v>
      </c>
      <c r="H349" s="237">
        <v>1</v>
      </c>
      <c r="I349" s="65">
        <v>1950</v>
      </c>
      <c r="J349" s="349">
        <v>3</v>
      </c>
      <c r="K349" s="346">
        <f t="shared" si="84"/>
        <v>4</v>
      </c>
      <c r="L349" s="346">
        <v>1</v>
      </c>
      <c r="M349" s="349">
        <v>3</v>
      </c>
      <c r="N349" s="255">
        <f t="shared" si="82"/>
        <v>0</v>
      </c>
      <c r="O349" s="310">
        <v>23</v>
      </c>
      <c r="P349" s="66">
        <v>0</v>
      </c>
      <c r="Q349" s="66"/>
      <c r="R349" s="66">
        <v>2</v>
      </c>
      <c r="S349" s="66">
        <v>19</v>
      </c>
      <c r="T349" s="66">
        <v>2</v>
      </c>
      <c r="U349" s="66">
        <v>0</v>
      </c>
      <c r="V349" s="66">
        <v>0</v>
      </c>
      <c r="W349" s="54">
        <v>0</v>
      </c>
      <c r="X349" s="55">
        <f>SUMIFS(Таблица3[Кол-во квартир],Таблица3[Адрес МКД],$D349)</f>
        <v>23</v>
      </c>
      <c r="Y349" s="56">
        <f t="shared" si="85"/>
        <v>3017.2</v>
      </c>
      <c r="Z349" s="253">
        <f>SUMIFS(Таблица3[Площадь жилая],Таблица3[Адрес МКД],$D349)</f>
        <v>1329.4</v>
      </c>
      <c r="AA349" s="261">
        <f>SUMIFS(Таблица3[Площадь нежилых помещений],Таблица3[Адрес МКД],$D349)</f>
        <v>605.70000000000005</v>
      </c>
      <c r="AB349" s="252">
        <f>SUMIFS(Таблица1[1],Таблица1[2],$D349)</f>
        <v>605.70000000000005</v>
      </c>
      <c r="AC349" s="57">
        <f t="shared" si="78"/>
        <v>605.70000000000005</v>
      </c>
      <c r="AD349" s="57">
        <f t="shared" si="79"/>
        <v>0</v>
      </c>
      <c r="AE349" s="58">
        <f>SUMIFS(Таблица1[8],Таблица1[2],$D349)+SUMIFS(Таблица1[18],Таблица1[2],$D349)</f>
        <v>0</v>
      </c>
      <c r="AF349" s="58">
        <f>SUMIFS(Таблица1[9],Таблица1[2],$D349)+SUMIFS(Таблица1[19],Таблица1[2],$D349)</f>
        <v>0</v>
      </c>
      <c r="AG349" s="59">
        <f t="shared" si="80"/>
        <v>1082.0999999999999</v>
      </c>
      <c r="AH349" s="59">
        <f t="shared" si="81"/>
        <v>1082.0999999999999</v>
      </c>
      <c r="AI349" s="60">
        <f>216.2+591.8-AM349</f>
        <v>668</v>
      </c>
      <c r="AJ349" s="60">
        <f t="shared" si="74"/>
        <v>202.3</v>
      </c>
      <c r="AK349" s="60">
        <f>SUMIFS(Таблица1[10],Таблица1[2],$D349)</f>
        <v>465.7</v>
      </c>
      <c r="AL349" s="60">
        <f>SUMIFS(Таблица1[11],Таблица1[2],$D349)</f>
        <v>0</v>
      </c>
      <c r="AM349" s="251">
        <v>140</v>
      </c>
      <c r="AN349" s="249">
        <f t="shared" si="75"/>
        <v>0</v>
      </c>
      <c r="AO349" s="249">
        <f>SUMIFS(Таблица1[12],Таблица1[2],$D349)</f>
        <v>140</v>
      </c>
      <c r="AP349" s="249">
        <f>SUMIFS(Таблица1[13],Таблица1[2],$D349)</f>
        <v>0</v>
      </c>
      <c r="AQ349" s="61">
        <v>182.7</v>
      </c>
      <c r="AR349" s="61">
        <f t="shared" si="76"/>
        <v>182.7</v>
      </c>
      <c r="AS349" s="60">
        <f>SUMIFS(Таблица1[14],Таблица1[2],$D349)</f>
        <v>0</v>
      </c>
      <c r="AT349" s="60">
        <f>SUMIFS(Таблица1[15],Таблица1[2],$D349)</f>
        <v>0</v>
      </c>
      <c r="AU349" s="61">
        <v>697.1</v>
      </c>
      <c r="AV349" s="61">
        <f t="shared" si="77"/>
        <v>697.1</v>
      </c>
      <c r="AW349" s="60">
        <f>SUMIFS(Таблица1[16],Таблица1[2],$D349)</f>
        <v>0</v>
      </c>
      <c r="AX349" s="60">
        <f>SUMIFS(Таблица1[17],Таблица1[2],$D349)</f>
        <v>0</v>
      </c>
      <c r="AY349" s="263"/>
      <c r="AZ349" s="264"/>
      <c r="BA349" s="296">
        <v>0</v>
      </c>
      <c r="BB349" s="296">
        <f t="shared" si="86"/>
        <v>0</v>
      </c>
      <c r="BC349" s="296">
        <v>0</v>
      </c>
      <c r="BD349" s="296">
        <v>0</v>
      </c>
      <c r="BE349" s="285"/>
      <c r="BF349" s="259">
        <v>1090</v>
      </c>
      <c r="BG349" s="260">
        <v>7964</v>
      </c>
      <c r="BH349" s="62" t="s">
        <v>936</v>
      </c>
      <c r="BI349" s="62" t="s">
        <v>935</v>
      </c>
      <c r="BJ349" s="62" t="s">
        <v>944</v>
      </c>
      <c r="BK349" s="267"/>
      <c r="BL349" s="267"/>
      <c r="BM349" s="267" t="s">
        <v>1649</v>
      </c>
      <c r="BN349" s="268"/>
      <c r="BO349" s="62">
        <v>27</v>
      </c>
      <c r="BP349" s="63">
        <v>29739</v>
      </c>
      <c r="BQ349" s="64" t="s">
        <v>1131</v>
      </c>
      <c r="BR349" s="372" t="s">
        <v>2747</v>
      </c>
      <c r="BS349" s="62"/>
      <c r="BT349" s="323"/>
      <c r="BU349" s="62"/>
      <c r="BV349" s="323"/>
      <c r="BW349" s="62"/>
      <c r="BX349" s="336"/>
      <c r="BY349" s="336"/>
    </row>
    <row r="350" spans="1:77" ht="13.15" hidden="1" customHeight="1" outlineLevel="1" x14ac:dyDescent="0.2">
      <c r="A350" s="50">
        <f t="shared" si="83"/>
        <v>345</v>
      </c>
      <c r="B350" s="51">
        <v>64</v>
      </c>
      <c r="C350" s="51">
        <v>104</v>
      </c>
      <c r="D350" s="18" t="s">
        <v>411</v>
      </c>
      <c r="E350" s="18">
        <v>9</v>
      </c>
      <c r="F350" s="18">
        <v>1</v>
      </c>
      <c r="G350" s="52">
        <v>1</v>
      </c>
      <c r="H350" s="237">
        <v>1</v>
      </c>
      <c r="I350" s="65">
        <v>1950</v>
      </c>
      <c r="J350" s="349">
        <v>3</v>
      </c>
      <c r="K350" s="346">
        <f t="shared" si="84"/>
        <v>4</v>
      </c>
      <c r="L350" s="346">
        <v>1</v>
      </c>
      <c r="M350" s="349">
        <v>2</v>
      </c>
      <c r="N350" s="255">
        <f t="shared" si="82"/>
        <v>0</v>
      </c>
      <c r="O350" s="310">
        <v>18</v>
      </c>
      <c r="P350" s="66">
        <v>0</v>
      </c>
      <c r="Q350" s="66"/>
      <c r="R350" s="66">
        <v>0</v>
      </c>
      <c r="S350" s="66">
        <v>18</v>
      </c>
      <c r="T350" s="66">
        <v>0</v>
      </c>
      <c r="U350" s="66">
        <v>0</v>
      </c>
      <c r="V350" s="66">
        <v>0</v>
      </c>
      <c r="W350" s="54">
        <v>0</v>
      </c>
      <c r="X350" s="55">
        <f>SUMIFS(Таблица3[Кол-во квартир],Таблица3[Адрес МКД],$D350)</f>
        <v>18</v>
      </c>
      <c r="Y350" s="56">
        <f t="shared" si="85"/>
        <v>2063.12</v>
      </c>
      <c r="Z350" s="253">
        <f>SUMIFS(Таблица3[Площадь жилая],Таблица3[Адрес МКД],$D350)</f>
        <v>1125.1199999999999</v>
      </c>
      <c r="AA350" s="261">
        <f>SUMIFS(Таблица3[Площадь нежилых помещений],Таблица3[Адрес МКД],$D350)</f>
        <v>190.4</v>
      </c>
      <c r="AB350" s="252">
        <f>SUMIFS(Таблица1[1],Таблица1[2],$D350)</f>
        <v>190.4</v>
      </c>
      <c r="AC350" s="57">
        <f t="shared" si="78"/>
        <v>190.4</v>
      </c>
      <c r="AD350" s="57">
        <f t="shared" si="79"/>
        <v>0</v>
      </c>
      <c r="AE350" s="58">
        <f>SUMIFS(Таблица1[8],Таблица1[2],$D350)+SUMIFS(Таблица1[18],Таблица1[2],$D350)</f>
        <v>0</v>
      </c>
      <c r="AF350" s="58">
        <f>SUMIFS(Таблица1[9],Таблица1[2],$D350)+SUMIFS(Таблица1[19],Таблица1[2],$D350)</f>
        <v>0</v>
      </c>
      <c r="AG350" s="59">
        <f t="shared" si="80"/>
        <v>747.6</v>
      </c>
      <c r="AH350" s="59">
        <f t="shared" si="81"/>
        <v>747.6</v>
      </c>
      <c r="AI350" s="60">
        <f>357.6-AM350</f>
        <v>167.20000000000002</v>
      </c>
      <c r="AJ350" s="60">
        <f t="shared" si="74"/>
        <v>167.20000000000002</v>
      </c>
      <c r="AK350" s="60">
        <f>SUMIFS(Таблица1[10],Таблица1[2],$D350)</f>
        <v>0</v>
      </c>
      <c r="AL350" s="60">
        <f>SUMIFS(Таблица1[11],Таблица1[2],$D350)</f>
        <v>0</v>
      </c>
      <c r="AM350" s="251">
        <v>190.4</v>
      </c>
      <c r="AN350" s="249">
        <f t="shared" si="75"/>
        <v>0</v>
      </c>
      <c r="AO350" s="249">
        <f>SUMIFS(Таблица1[12],Таблица1[2],$D350)</f>
        <v>190.4</v>
      </c>
      <c r="AP350" s="249">
        <f>SUMIFS(Таблица1[13],Таблица1[2],$D350)</f>
        <v>0</v>
      </c>
      <c r="AQ350" s="61">
        <v>131.9</v>
      </c>
      <c r="AR350" s="61">
        <f t="shared" si="76"/>
        <v>131.9</v>
      </c>
      <c r="AS350" s="60">
        <f>SUMIFS(Таблица1[14],Таблица1[2],$D350)</f>
        <v>0</v>
      </c>
      <c r="AT350" s="60">
        <f>SUMIFS(Таблица1[15],Таблица1[2],$D350)</f>
        <v>0</v>
      </c>
      <c r="AU350" s="61">
        <v>448.5</v>
      </c>
      <c r="AV350" s="61">
        <f t="shared" si="77"/>
        <v>448.5</v>
      </c>
      <c r="AW350" s="60">
        <f>SUMIFS(Таблица1[16],Таблица1[2],$D350)</f>
        <v>0</v>
      </c>
      <c r="AX350" s="60">
        <f>SUMIFS(Таблица1[17],Таблица1[2],$D350)</f>
        <v>0</v>
      </c>
      <c r="AY350" s="263"/>
      <c r="AZ350" s="264"/>
      <c r="BA350" s="296">
        <v>0</v>
      </c>
      <c r="BB350" s="296">
        <f t="shared" si="86"/>
        <v>0</v>
      </c>
      <c r="BC350" s="296">
        <v>0</v>
      </c>
      <c r="BD350" s="296">
        <v>0</v>
      </c>
      <c r="BE350" s="285"/>
      <c r="BF350" s="259">
        <v>1390</v>
      </c>
      <c r="BG350" s="260">
        <f>5646</f>
        <v>5646</v>
      </c>
      <c r="BH350" s="62" t="s">
        <v>936</v>
      </c>
      <c r="BI350" s="62" t="s">
        <v>935</v>
      </c>
      <c r="BJ350" s="62" t="s">
        <v>944</v>
      </c>
      <c r="BK350" s="267"/>
      <c r="BL350" s="267"/>
      <c r="BM350" s="267" t="s">
        <v>1649</v>
      </c>
      <c r="BN350" s="268"/>
      <c r="BO350" s="62">
        <v>28</v>
      </c>
      <c r="BP350" s="63">
        <v>29921</v>
      </c>
      <c r="BQ350" s="64" t="s">
        <v>1131</v>
      </c>
      <c r="BR350" s="372" t="s">
        <v>2747</v>
      </c>
      <c r="BS350" s="62"/>
      <c r="BT350" s="323"/>
      <c r="BU350" s="62"/>
      <c r="BV350" s="323"/>
      <c r="BW350" s="62"/>
      <c r="BX350" s="336"/>
      <c r="BY350" s="336"/>
    </row>
    <row r="351" spans="1:77" ht="13.15" hidden="1" customHeight="1" outlineLevel="1" x14ac:dyDescent="0.2">
      <c r="A351" s="50">
        <f t="shared" si="83"/>
        <v>346</v>
      </c>
      <c r="B351" s="51">
        <v>65</v>
      </c>
      <c r="C351" s="51">
        <v>105</v>
      </c>
      <c r="D351" s="18" t="s">
        <v>412</v>
      </c>
      <c r="E351" s="18">
        <v>9</v>
      </c>
      <c r="F351" s="18">
        <v>1</v>
      </c>
      <c r="G351" s="52">
        <v>1</v>
      </c>
      <c r="H351" s="237">
        <v>1</v>
      </c>
      <c r="I351" s="65">
        <v>1951</v>
      </c>
      <c r="J351" s="349">
        <v>3</v>
      </c>
      <c r="K351" s="346">
        <f t="shared" si="84"/>
        <v>4</v>
      </c>
      <c r="L351" s="346">
        <v>1</v>
      </c>
      <c r="M351" s="349">
        <v>3</v>
      </c>
      <c r="N351" s="255">
        <f t="shared" si="82"/>
        <v>0</v>
      </c>
      <c r="O351" s="310">
        <v>27</v>
      </c>
      <c r="P351" s="66">
        <v>0</v>
      </c>
      <c r="Q351" s="66"/>
      <c r="R351" s="66">
        <v>2</v>
      </c>
      <c r="S351" s="66">
        <v>22</v>
      </c>
      <c r="T351" s="66">
        <v>3</v>
      </c>
      <c r="U351" s="66">
        <v>0</v>
      </c>
      <c r="V351" s="66">
        <v>0</v>
      </c>
      <c r="W351" s="54">
        <v>0</v>
      </c>
      <c r="X351" s="55">
        <f>SUMIFS(Таблица3[Кол-во квартир],Таблица3[Адрес МКД],$D351)</f>
        <v>27</v>
      </c>
      <c r="Y351" s="56">
        <f t="shared" si="85"/>
        <v>2933.1000000000004</v>
      </c>
      <c r="Z351" s="253">
        <f>SUMIFS(Таблица3[Площадь жилая],Таблица3[Адрес МКД],$D351)</f>
        <v>1712.9</v>
      </c>
      <c r="AA351" s="261">
        <f>SUMIFS(Таблица3[Площадь нежилых помещений],Таблица3[Адрес МКД],$D351)</f>
        <v>0</v>
      </c>
      <c r="AB351" s="252">
        <f>SUMIFS(Таблица1[1],Таблица1[2],$D351)</f>
        <v>82</v>
      </c>
      <c r="AC351" s="57">
        <f t="shared" si="78"/>
        <v>82</v>
      </c>
      <c r="AD351" s="57">
        <f t="shared" si="79"/>
        <v>0</v>
      </c>
      <c r="AE351" s="58">
        <f>SUMIFS(Таблица1[8],Таблица1[2],$D351)+SUMIFS(Таблица1[18],Таблица1[2],$D351)</f>
        <v>0</v>
      </c>
      <c r="AF351" s="58">
        <f>SUMIFS(Таблица1[9],Таблица1[2],$D351)+SUMIFS(Таблица1[19],Таблица1[2],$D351)</f>
        <v>0</v>
      </c>
      <c r="AG351" s="59">
        <f t="shared" si="80"/>
        <v>1138.2</v>
      </c>
      <c r="AH351" s="59">
        <f t="shared" si="81"/>
        <v>1138.2</v>
      </c>
      <c r="AI351" s="60">
        <f>325.2-AM351</f>
        <v>325.2</v>
      </c>
      <c r="AJ351" s="60">
        <f t="shared" si="74"/>
        <v>243.2</v>
      </c>
      <c r="AK351" s="60">
        <f>SUMIFS(Таблица1[10],Таблица1[2],$D351)</f>
        <v>82</v>
      </c>
      <c r="AL351" s="60">
        <f>SUMIFS(Таблица1[11],Таблица1[2],$D351)</f>
        <v>0</v>
      </c>
      <c r="AM351" s="251">
        <v>0</v>
      </c>
      <c r="AN351" s="249">
        <f t="shared" si="75"/>
        <v>0</v>
      </c>
      <c r="AO351" s="249">
        <f>SUMIFS(Таблица1[12],Таблица1[2],$D351)</f>
        <v>0</v>
      </c>
      <c r="AP351" s="249">
        <f>SUMIFS(Таблица1[13],Таблица1[2],$D351)</f>
        <v>0</v>
      </c>
      <c r="AQ351" s="61">
        <v>184</v>
      </c>
      <c r="AR351" s="61">
        <f t="shared" si="76"/>
        <v>184</v>
      </c>
      <c r="AS351" s="60">
        <f>SUMIFS(Таблица1[14],Таблица1[2],$D351)</f>
        <v>0</v>
      </c>
      <c r="AT351" s="60">
        <f>SUMIFS(Таблица1[15],Таблица1[2],$D351)</f>
        <v>0</v>
      </c>
      <c r="AU351" s="61">
        <v>711</v>
      </c>
      <c r="AV351" s="61">
        <f t="shared" si="77"/>
        <v>711</v>
      </c>
      <c r="AW351" s="60">
        <f>SUMIFS(Таблица1[16],Таблица1[2],$D351)</f>
        <v>0</v>
      </c>
      <c r="AX351" s="60">
        <f>SUMIFS(Таблица1[17],Таблица1[2],$D351)</f>
        <v>0</v>
      </c>
      <c r="AY351" s="263">
        <f>Нежилые!G1964</f>
        <v>82</v>
      </c>
      <c r="AZ351" s="264"/>
      <c r="BA351" s="296">
        <v>0</v>
      </c>
      <c r="BB351" s="296">
        <f t="shared" si="86"/>
        <v>0</v>
      </c>
      <c r="BC351" s="296">
        <v>0</v>
      </c>
      <c r="BD351" s="296">
        <v>0</v>
      </c>
      <c r="BE351" s="285"/>
      <c r="BF351" s="259">
        <v>1322</v>
      </c>
      <c r="BG351" s="260">
        <v>7863</v>
      </c>
      <c r="BH351" s="62" t="s">
        <v>936</v>
      </c>
      <c r="BI351" s="62" t="s">
        <v>935</v>
      </c>
      <c r="BJ351" s="62" t="s">
        <v>944</v>
      </c>
      <c r="BK351" s="267"/>
      <c r="BL351" s="267"/>
      <c r="BM351" s="267" t="s">
        <v>1649</v>
      </c>
      <c r="BN351" s="268"/>
      <c r="BO351" s="62">
        <v>26</v>
      </c>
      <c r="BP351" s="63">
        <v>29830</v>
      </c>
      <c r="BQ351" s="64" t="s">
        <v>1131</v>
      </c>
      <c r="BR351" s="372" t="s">
        <v>2747</v>
      </c>
      <c r="BS351" s="62"/>
      <c r="BT351" s="323"/>
      <c r="BU351" s="62"/>
      <c r="BV351" s="323"/>
      <c r="BW351" s="62"/>
      <c r="BX351" s="336"/>
      <c r="BY351" s="336"/>
    </row>
    <row r="352" spans="1:77" ht="13.15" hidden="1" customHeight="1" outlineLevel="1" x14ac:dyDescent="0.2">
      <c r="A352" s="50">
        <f t="shared" si="83"/>
        <v>347</v>
      </c>
      <c r="B352" s="51">
        <v>66</v>
      </c>
      <c r="C352" s="51">
        <v>106</v>
      </c>
      <c r="D352" s="18" t="s">
        <v>413</v>
      </c>
      <c r="E352" s="18">
        <v>9</v>
      </c>
      <c r="F352" s="18">
        <v>1</v>
      </c>
      <c r="G352" s="52">
        <v>1</v>
      </c>
      <c r="H352" s="237">
        <v>1</v>
      </c>
      <c r="I352" s="65">
        <v>1953</v>
      </c>
      <c r="J352" s="349">
        <v>5</v>
      </c>
      <c r="K352" s="346">
        <f t="shared" si="84"/>
        <v>6</v>
      </c>
      <c r="L352" s="346">
        <v>1</v>
      </c>
      <c r="M352" s="349">
        <v>4</v>
      </c>
      <c r="N352" s="255">
        <f t="shared" si="82"/>
        <v>-3</v>
      </c>
      <c r="O352" s="310">
        <v>67</v>
      </c>
      <c r="P352" s="66">
        <v>0</v>
      </c>
      <c r="Q352" s="66"/>
      <c r="R352" s="66">
        <v>12</v>
      </c>
      <c r="S352" s="66">
        <v>38</v>
      </c>
      <c r="T352" s="66">
        <v>13</v>
      </c>
      <c r="U352" s="66">
        <v>4</v>
      </c>
      <c r="V352" s="66">
        <v>0</v>
      </c>
      <c r="W352" s="54">
        <v>0</v>
      </c>
      <c r="X352" s="55">
        <f>SUMIFS(Таблица3[Кол-во квартир],Таблица3[Адрес МКД],$D352)</f>
        <v>70</v>
      </c>
      <c r="Y352" s="56">
        <f t="shared" si="85"/>
        <v>5478.8000000000011</v>
      </c>
      <c r="Z352" s="253">
        <f>SUMIFS(Таблица3[Площадь жилая],Таблица3[Адрес МКД],$D352)</f>
        <v>4152.4000000000005</v>
      </c>
      <c r="AA352" s="261">
        <f>SUMIFS(Таблица3[Площадь нежилых помещений],Таблица3[Адрес МКД],$D352)</f>
        <v>136.5</v>
      </c>
      <c r="AB352" s="252">
        <f>SUMIFS(Таблица1[1],Таблица1[2],$D352)</f>
        <v>224.6</v>
      </c>
      <c r="AC352" s="57">
        <f t="shared" si="78"/>
        <v>224.6</v>
      </c>
      <c r="AD352" s="57">
        <f t="shared" si="79"/>
        <v>0</v>
      </c>
      <c r="AE352" s="58">
        <f>SUMIFS(Таблица1[8],Таблица1[2],$D352)+SUMIFS(Таблица1[18],Таблица1[2],$D352)</f>
        <v>0</v>
      </c>
      <c r="AF352" s="58">
        <f>SUMIFS(Таблица1[9],Таблица1[2],$D352)+SUMIFS(Таблица1[19],Таблица1[2],$D352)</f>
        <v>0</v>
      </c>
      <c r="AG352" s="59">
        <f t="shared" si="80"/>
        <v>1101.8</v>
      </c>
      <c r="AH352" s="59">
        <f t="shared" si="81"/>
        <v>1101.8</v>
      </c>
      <c r="AI352" s="60">
        <f>646.5-AM352</f>
        <v>510</v>
      </c>
      <c r="AJ352" s="60">
        <f t="shared" si="74"/>
        <v>421.9</v>
      </c>
      <c r="AK352" s="60">
        <f>SUMIFS(Таблица1[10],Таблица1[2],$D352)</f>
        <v>88.1</v>
      </c>
      <c r="AL352" s="60">
        <f>SUMIFS(Таблица1[11],Таблица1[2],$D352)</f>
        <v>0</v>
      </c>
      <c r="AM352" s="251">
        <f>69.6+66.9</f>
        <v>136.5</v>
      </c>
      <c r="AN352" s="249">
        <f t="shared" si="75"/>
        <v>0</v>
      </c>
      <c r="AO352" s="249">
        <f>SUMIFS(Таблица1[12],Таблица1[2],$D352)</f>
        <v>136.5</v>
      </c>
      <c r="AP352" s="249">
        <f>SUMIFS(Таблица1[13],Таблица1[2],$D352)</f>
        <v>0</v>
      </c>
      <c r="AQ352" s="61">
        <v>483.6</v>
      </c>
      <c r="AR352" s="61">
        <f t="shared" si="76"/>
        <v>483.6</v>
      </c>
      <c r="AS352" s="60">
        <f>SUMIFS(Таблица1[14],Таблица1[2],$D352)</f>
        <v>0</v>
      </c>
      <c r="AT352" s="60">
        <f>SUMIFS(Таблица1[15],Таблица1[2],$D352)</f>
        <v>0</v>
      </c>
      <c r="AU352" s="61">
        <v>196.3</v>
      </c>
      <c r="AV352" s="61">
        <f t="shared" si="77"/>
        <v>196.3</v>
      </c>
      <c r="AW352" s="60">
        <f>SUMIFS(Таблица1[16],Таблица1[2],$D352)</f>
        <v>0</v>
      </c>
      <c r="AX352" s="60">
        <f>SUMIFS(Таблица1[17],Таблица1[2],$D352)</f>
        <v>0</v>
      </c>
      <c r="AY352" s="263">
        <f>Нежилые!G1967</f>
        <v>88.1</v>
      </c>
      <c r="AZ352" s="264"/>
      <c r="BA352" s="296">
        <v>0</v>
      </c>
      <c r="BB352" s="296">
        <f t="shared" si="86"/>
        <v>0</v>
      </c>
      <c r="BC352" s="296">
        <v>0</v>
      </c>
      <c r="BD352" s="296">
        <v>0</v>
      </c>
      <c r="BE352" s="285"/>
      <c r="BF352" s="259">
        <v>2744</v>
      </c>
      <c r="BG352" s="260">
        <f>15317+3474+128</f>
        <v>18919</v>
      </c>
      <c r="BH352" s="62" t="s">
        <v>936</v>
      </c>
      <c r="BI352" s="62" t="s">
        <v>935</v>
      </c>
      <c r="BJ352" s="62"/>
      <c r="BK352" s="267"/>
      <c r="BL352" s="267"/>
      <c r="BM352" s="267" t="s">
        <v>1649</v>
      </c>
      <c r="BN352" s="268"/>
      <c r="BO352" s="62">
        <v>26</v>
      </c>
      <c r="BP352" s="63">
        <v>30952</v>
      </c>
      <c r="BQ352" s="64" t="s">
        <v>1131</v>
      </c>
      <c r="BR352" s="372" t="s">
        <v>2747</v>
      </c>
      <c r="BS352" s="62"/>
      <c r="BT352" s="323"/>
      <c r="BU352" s="62"/>
      <c r="BV352" s="323"/>
      <c r="BW352" s="62"/>
      <c r="BX352" s="336"/>
      <c r="BY352" s="336"/>
    </row>
    <row r="353" spans="1:77" ht="13.15" hidden="1" customHeight="1" outlineLevel="1" x14ac:dyDescent="0.2">
      <c r="A353" s="50">
        <f t="shared" si="83"/>
        <v>348</v>
      </c>
      <c r="B353" s="51">
        <v>67</v>
      </c>
      <c r="C353" s="51">
        <v>107</v>
      </c>
      <c r="D353" s="18" t="s">
        <v>414</v>
      </c>
      <c r="E353" s="18">
        <v>9</v>
      </c>
      <c r="F353" s="18">
        <v>1</v>
      </c>
      <c r="G353" s="52"/>
      <c r="H353" s="237">
        <v>1</v>
      </c>
      <c r="I353" s="65">
        <v>1954</v>
      </c>
      <c r="J353" s="349">
        <v>6</v>
      </c>
      <c r="K353" s="346">
        <f t="shared" si="84"/>
        <v>6</v>
      </c>
      <c r="L353" s="346">
        <v>0</v>
      </c>
      <c r="M353" s="349">
        <v>2</v>
      </c>
      <c r="N353" s="255">
        <f t="shared" si="82"/>
        <v>0</v>
      </c>
      <c r="O353" s="310">
        <v>12</v>
      </c>
      <c r="P353" s="66">
        <v>0</v>
      </c>
      <c r="Q353" s="66"/>
      <c r="R353" s="66">
        <v>1</v>
      </c>
      <c r="S353" s="66">
        <v>1</v>
      </c>
      <c r="T353" s="66">
        <v>10</v>
      </c>
      <c r="U353" s="66">
        <v>0</v>
      </c>
      <c r="V353" s="66">
        <v>0</v>
      </c>
      <c r="W353" s="54">
        <v>0</v>
      </c>
      <c r="X353" s="55">
        <f>SUMIFS(Таблица3[Кол-во квартир],Таблица3[Адрес МКД],$D353)</f>
        <v>12</v>
      </c>
      <c r="Y353" s="56">
        <f t="shared" si="85"/>
        <v>1826.6</v>
      </c>
      <c r="Z353" s="253">
        <f>SUMIFS(Таблица3[Площадь жилая],Таблица3[Адрес МКД],$D353)</f>
        <v>912.3</v>
      </c>
      <c r="AA353" s="261">
        <f>SUMIFS(Таблица3[Площадь нежилых помещений],Таблица3[Адрес МКД],$D353)</f>
        <v>0</v>
      </c>
      <c r="AB353" s="252">
        <f>SUMIFS(Таблица1[1],Таблица1[2],$D353)</f>
        <v>0</v>
      </c>
      <c r="AC353" s="57">
        <f t="shared" si="78"/>
        <v>0</v>
      </c>
      <c r="AD353" s="57">
        <f t="shared" si="79"/>
        <v>0</v>
      </c>
      <c r="AE353" s="58">
        <f>SUMIFS(Таблица1[8],Таблица1[2],$D353)+SUMIFS(Таблица1[18],Таблица1[2],$D353)</f>
        <v>0</v>
      </c>
      <c r="AF353" s="58">
        <f>SUMIFS(Таблица1[9],Таблица1[2],$D353)+SUMIFS(Таблица1[19],Таблица1[2],$D353)</f>
        <v>0</v>
      </c>
      <c r="AG353" s="59">
        <f t="shared" si="80"/>
        <v>914.3</v>
      </c>
      <c r="AH353" s="59">
        <f t="shared" si="81"/>
        <v>914.3</v>
      </c>
      <c r="AI353" s="60">
        <f>0-AM353</f>
        <v>0</v>
      </c>
      <c r="AJ353" s="60">
        <f t="shared" si="74"/>
        <v>0</v>
      </c>
      <c r="AK353" s="60">
        <f>SUMIFS(Таблица1[10],Таблица1[2],$D353)</f>
        <v>0</v>
      </c>
      <c r="AL353" s="60">
        <f>SUMIFS(Таблица1[11],Таблица1[2],$D353)</f>
        <v>0</v>
      </c>
      <c r="AM353" s="251">
        <v>0</v>
      </c>
      <c r="AN353" s="249">
        <f t="shared" si="75"/>
        <v>0</v>
      </c>
      <c r="AO353" s="249">
        <f>SUMIFS(Таблица1[12],Таблица1[2],$D353)</f>
        <v>0</v>
      </c>
      <c r="AP353" s="249">
        <f>SUMIFS(Таблица1[13],Таблица1[2],$D353)</f>
        <v>0</v>
      </c>
      <c r="AQ353" s="61">
        <v>90.8</v>
      </c>
      <c r="AR353" s="61">
        <f t="shared" si="76"/>
        <v>90.8</v>
      </c>
      <c r="AS353" s="60">
        <f>SUMIFS(Таблица1[14],Таблица1[2],$D353)</f>
        <v>0</v>
      </c>
      <c r="AT353" s="60">
        <f>SUMIFS(Таблица1[15],Таблица1[2],$D353)</f>
        <v>0</v>
      </c>
      <c r="AU353" s="61">
        <v>823.5</v>
      </c>
      <c r="AV353" s="61">
        <f t="shared" si="77"/>
        <v>823.5</v>
      </c>
      <c r="AW353" s="60">
        <f>SUMIFS(Таблица1[16],Таблица1[2],$D353)</f>
        <v>0</v>
      </c>
      <c r="AX353" s="60">
        <f>SUMIFS(Таблица1[17],Таблица1[2],$D353)</f>
        <v>0</v>
      </c>
      <c r="AY353" s="263"/>
      <c r="AZ353" s="264"/>
      <c r="BA353" s="296">
        <v>0</v>
      </c>
      <c r="BB353" s="296">
        <f t="shared" si="86"/>
        <v>0</v>
      </c>
      <c r="BC353" s="296">
        <v>0</v>
      </c>
      <c r="BD353" s="296">
        <v>0</v>
      </c>
      <c r="BE353" s="285"/>
      <c r="BF353" s="259">
        <v>0</v>
      </c>
      <c r="BG353" s="260">
        <v>4724</v>
      </c>
      <c r="BH353" s="62" t="s">
        <v>936</v>
      </c>
      <c r="BI353" s="62" t="s">
        <v>935</v>
      </c>
      <c r="BJ353" s="62"/>
      <c r="BK353" s="267"/>
      <c r="BL353" s="267"/>
      <c r="BM353" s="267" t="s">
        <v>1649</v>
      </c>
      <c r="BN353" s="268"/>
      <c r="BO353" s="62">
        <v>26</v>
      </c>
      <c r="BP353" s="63">
        <v>30999</v>
      </c>
      <c r="BQ353" s="64" t="s">
        <v>1131</v>
      </c>
      <c r="BR353" s="372" t="s">
        <v>2747</v>
      </c>
      <c r="BS353" s="62"/>
      <c r="BT353" s="323"/>
      <c r="BU353" s="62"/>
      <c r="BV353" s="323"/>
      <c r="BW353" s="62"/>
      <c r="BX353" s="336"/>
      <c r="BY353" s="336"/>
    </row>
    <row r="354" spans="1:77" ht="13.15" hidden="1" customHeight="1" outlineLevel="1" x14ac:dyDescent="0.2">
      <c r="A354" s="50">
        <f t="shared" si="83"/>
        <v>349</v>
      </c>
      <c r="B354" s="51">
        <v>68</v>
      </c>
      <c r="C354" s="51">
        <v>108</v>
      </c>
      <c r="D354" s="18" t="s">
        <v>415</v>
      </c>
      <c r="E354" s="18">
        <v>9</v>
      </c>
      <c r="F354" s="18">
        <v>1</v>
      </c>
      <c r="G354" s="52">
        <v>2</v>
      </c>
      <c r="H354" s="237">
        <v>2</v>
      </c>
      <c r="I354" s="65">
        <v>1956</v>
      </c>
      <c r="J354" s="353">
        <v>5.6</v>
      </c>
      <c r="K354" s="345">
        <v>6.7</v>
      </c>
      <c r="L354" s="346">
        <v>1</v>
      </c>
      <c r="M354" s="349">
        <v>5</v>
      </c>
      <c r="N354" s="255">
        <f t="shared" si="82"/>
        <v>1</v>
      </c>
      <c r="O354" s="310">
        <v>83</v>
      </c>
      <c r="P354" s="66">
        <v>3</v>
      </c>
      <c r="Q354" s="66"/>
      <c r="R354" s="66">
        <v>0</v>
      </c>
      <c r="S354" s="66">
        <v>45</v>
      </c>
      <c r="T354" s="66">
        <v>30</v>
      </c>
      <c r="U354" s="66">
        <v>8</v>
      </c>
      <c r="V354" s="66">
        <v>0</v>
      </c>
      <c r="W354" s="54">
        <v>0</v>
      </c>
      <c r="X354" s="55">
        <f>SUMIFS(Таблица3[Кол-во квартир],Таблица3[Адрес МКД],$D354)</f>
        <v>79</v>
      </c>
      <c r="Y354" s="56">
        <f t="shared" si="85"/>
        <v>9397.07</v>
      </c>
      <c r="Z354" s="253">
        <f>SUMIFS(Таблица3[Площадь жилая],Таблица3[Адрес МКД],$D354)</f>
        <v>5608.27</v>
      </c>
      <c r="AA354" s="261">
        <f>SUMIFS(Таблица3[Площадь нежилых помещений],Таблица3[Адрес МКД],$D354)</f>
        <v>977.9</v>
      </c>
      <c r="AB354" s="252">
        <f>SUMIFS(Таблица1[1],Таблица1[2],$D354)</f>
        <v>989.3</v>
      </c>
      <c r="AC354" s="57">
        <f t="shared" si="78"/>
        <v>977.9</v>
      </c>
      <c r="AD354" s="57">
        <f t="shared" si="79"/>
        <v>11.4</v>
      </c>
      <c r="AE354" s="58">
        <f>SUMIFS(Таблица1[8],Таблица1[2],$D354)+SUMIFS(Таблица1[18],Таблица1[2],$D354)</f>
        <v>540.69999999999993</v>
      </c>
      <c r="AF354" s="58">
        <f>SUMIFS(Таблица1[9],Таблица1[2],$D354)+SUMIFS(Таблица1[19],Таблица1[2],$D354)</f>
        <v>0</v>
      </c>
      <c r="AG354" s="59">
        <f t="shared" si="80"/>
        <v>2799.5</v>
      </c>
      <c r="AH354" s="59">
        <f t="shared" si="81"/>
        <v>2810.9</v>
      </c>
      <c r="AI354" s="60">
        <f>1037.8-AM354</f>
        <v>670.19999999999993</v>
      </c>
      <c r="AJ354" s="60">
        <f t="shared" si="74"/>
        <v>600.59999999999991</v>
      </c>
      <c r="AK354" s="60">
        <f>SUMIFS(Таблица1[10],Таблица1[2],$D354)</f>
        <v>69.599999999999994</v>
      </c>
      <c r="AL354" s="60">
        <f>SUMIFS(Таблица1[11],Таблица1[2],$D354)</f>
        <v>0</v>
      </c>
      <c r="AM354" s="251">
        <v>367.6</v>
      </c>
      <c r="AN354" s="249">
        <f t="shared" si="75"/>
        <v>0</v>
      </c>
      <c r="AO354" s="249">
        <f>SUMIFS(Таблица1[12],Таблица1[2],$D354)</f>
        <v>367.6</v>
      </c>
      <c r="AP354" s="249">
        <f>SUMIFS(Таблица1[13],Таблица1[2],$D354)</f>
        <v>0</v>
      </c>
      <c r="AQ354" s="61">
        <f>693.2</f>
        <v>693.2</v>
      </c>
      <c r="AR354" s="61">
        <f t="shared" si="76"/>
        <v>681.80000000000007</v>
      </c>
      <c r="AS354" s="60">
        <f>SUMIFS(Таблица1[14],Таблица1[2],$D354)</f>
        <v>0</v>
      </c>
      <c r="AT354" s="60">
        <f>SUMIFS(Таблица1[15],Таблица1[2],$D354)</f>
        <v>11.4</v>
      </c>
      <c r="AU354" s="61">
        <v>1517.1</v>
      </c>
      <c r="AV354" s="61">
        <f t="shared" si="77"/>
        <v>1517.1</v>
      </c>
      <c r="AW354" s="60">
        <f>SUMIFS(Таблица1[16],Таблица1[2],$D354)</f>
        <v>0</v>
      </c>
      <c r="AX354" s="60">
        <f>SUMIFS(Таблица1[17],Таблица1[2],$D354)</f>
        <v>0</v>
      </c>
      <c r="AY354" s="263"/>
      <c r="AZ354" s="264"/>
      <c r="BA354" s="296">
        <v>0</v>
      </c>
      <c r="BB354" s="296">
        <f t="shared" si="86"/>
        <v>0</v>
      </c>
      <c r="BC354" s="296">
        <v>0</v>
      </c>
      <c r="BD354" s="296">
        <v>0</v>
      </c>
      <c r="BE354" s="285"/>
      <c r="BF354" s="259">
        <v>5783</v>
      </c>
      <c r="BG354" s="260">
        <f>5693+22515+638</f>
        <v>28846</v>
      </c>
      <c r="BH354" s="62" t="s">
        <v>936</v>
      </c>
      <c r="BI354" s="62" t="s">
        <v>935</v>
      </c>
      <c r="BJ354" s="62" t="s">
        <v>944</v>
      </c>
      <c r="BK354" s="267"/>
      <c r="BL354" s="267"/>
      <c r="BM354" s="267" t="s">
        <v>1649</v>
      </c>
      <c r="BN354" s="268"/>
      <c r="BO354" s="62">
        <v>19</v>
      </c>
      <c r="BP354" s="63">
        <v>30549</v>
      </c>
      <c r="BQ354" s="64" t="s">
        <v>1131</v>
      </c>
      <c r="BR354" s="372" t="s">
        <v>2747</v>
      </c>
      <c r="BS354" s="62"/>
      <c r="BT354" s="323"/>
      <c r="BU354" s="62"/>
      <c r="BV354" s="323"/>
      <c r="BW354" s="62"/>
      <c r="BX354" s="336"/>
      <c r="BY354" s="336"/>
    </row>
    <row r="355" spans="1:77" ht="13.15" hidden="1" customHeight="1" outlineLevel="1" x14ac:dyDescent="0.2">
      <c r="A355" s="50">
        <f t="shared" si="83"/>
        <v>350</v>
      </c>
      <c r="B355" s="51">
        <v>69</v>
      </c>
      <c r="C355" s="51">
        <v>109</v>
      </c>
      <c r="D355" s="18" t="s">
        <v>416</v>
      </c>
      <c r="E355" s="18">
        <v>9</v>
      </c>
      <c r="F355" s="18">
        <v>1</v>
      </c>
      <c r="G355" s="52">
        <v>1</v>
      </c>
      <c r="H355" s="237">
        <v>1</v>
      </c>
      <c r="I355" s="65">
        <v>1951</v>
      </c>
      <c r="J355" s="349">
        <v>3</v>
      </c>
      <c r="K355" s="346">
        <f t="shared" si="84"/>
        <v>4</v>
      </c>
      <c r="L355" s="346">
        <v>1</v>
      </c>
      <c r="M355" s="349">
        <v>3</v>
      </c>
      <c r="N355" s="255">
        <f t="shared" si="82"/>
        <v>0</v>
      </c>
      <c r="O355" s="310">
        <v>24</v>
      </c>
      <c r="P355" s="66">
        <v>0</v>
      </c>
      <c r="Q355" s="66"/>
      <c r="R355" s="66">
        <v>3</v>
      </c>
      <c r="S355" s="66">
        <v>13</v>
      </c>
      <c r="T355" s="66">
        <v>8</v>
      </c>
      <c r="U355" s="66">
        <v>0</v>
      </c>
      <c r="V355" s="66">
        <v>0</v>
      </c>
      <c r="W355" s="54">
        <v>0</v>
      </c>
      <c r="X355" s="55">
        <f>SUMIFS(Таблица3[Кол-во квартир],Таблица3[Адрес МКД],$D355)</f>
        <v>24</v>
      </c>
      <c r="Y355" s="56">
        <f t="shared" si="85"/>
        <v>3456.4000000000005</v>
      </c>
      <c r="Z355" s="253">
        <f>SUMIFS(Таблица3[Площадь жилая],Таблица3[Адрес МКД],$D355)</f>
        <v>1549.4</v>
      </c>
      <c r="AA355" s="261">
        <f>SUMIFS(Таблица3[Площадь нежилых помещений],Таблица3[Адрес МКД],$D355)</f>
        <v>450.2</v>
      </c>
      <c r="AB355" s="252">
        <f>SUMIFS(Таблица1[1],Таблица1[2],$D355)</f>
        <v>654.70000000000005</v>
      </c>
      <c r="AC355" s="57">
        <f t="shared" si="78"/>
        <v>539</v>
      </c>
      <c r="AD355" s="57">
        <f t="shared" si="79"/>
        <v>115.7</v>
      </c>
      <c r="AE355" s="58">
        <f>SUMIFS(Таблица1[8],Таблица1[2],$D355)+SUMIFS(Таблица1[18],Таблица1[2],$D355)</f>
        <v>347.6</v>
      </c>
      <c r="AF355" s="58">
        <f>SUMIFS(Таблица1[9],Таблица1[2],$D355)+SUMIFS(Таблица1[19],Таблица1[2],$D355)</f>
        <v>0</v>
      </c>
      <c r="AG355" s="59">
        <f t="shared" si="80"/>
        <v>1252.3</v>
      </c>
      <c r="AH355" s="59">
        <f t="shared" si="81"/>
        <v>1368</v>
      </c>
      <c r="AI355" s="60">
        <f>609.5-AM355</f>
        <v>506.9</v>
      </c>
      <c r="AJ355" s="60">
        <f t="shared" si="74"/>
        <v>302.39999999999998</v>
      </c>
      <c r="AK355" s="60">
        <f>SUMIFS(Таблица1[10],Таблица1[2],$D355)</f>
        <v>88.8</v>
      </c>
      <c r="AL355" s="60">
        <f>SUMIFS(Таблица1[11],Таблица1[2],$D355)</f>
        <v>115.7</v>
      </c>
      <c r="AM355" s="251">
        <f>102.6</f>
        <v>102.6</v>
      </c>
      <c r="AN355" s="249">
        <f t="shared" si="75"/>
        <v>0</v>
      </c>
      <c r="AO355" s="249">
        <f>SUMIFS(Таблица1[12],Таблица1[2],$D355)</f>
        <v>102.6</v>
      </c>
      <c r="AP355" s="249">
        <f>SUMIFS(Таблица1[13],Таблица1[2],$D355)</f>
        <v>0</v>
      </c>
      <c r="AQ355" s="61">
        <v>184.5</v>
      </c>
      <c r="AR355" s="61">
        <f t="shared" si="76"/>
        <v>184.5</v>
      </c>
      <c r="AS355" s="60">
        <f>SUMIFS(Таблица1[14],Таблица1[2],$D355)</f>
        <v>0</v>
      </c>
      <c r="AT355" s="60">
        <f>SUMIFS(Таблица1[15],Таблица1[2],$D355)</f>
        <v>0</v>
      </c>
      <c r="AU355" s="61">
        <v>765.4</v>
      </c>
      <c r="AV355" s="61">
        <f t="shared" si="77"/>
        <v>765.4</v>
      </c>
      <c r="AW355" s="60">
        <f>SUMIFS(Таблица1[16],Таблица1[2],$D355)</f>
        <v>0</v>
      </c>
      <c r="AX355" s="60">
        <f>SUMIFS(Таблица1[17],Таблица1[2],$D355)</f>
        <v>0</v>
      </c>
      <c r="AY355" s="263">
        <f>Нежилые!G1983</f>
        <v>88.8</v>
      </c>
      <c r="AZ355" s="264"/>
      <c r="BA355" s="296">
        <v>0</v>
      </c>
      <c r="BB355" s="296">
        <f t="shared" si="86"/>
        <v>0</v>
      </c>
      <c r="BC355" s="296">
        <v>0</v>
      </c>
      <c r="BD355" s="296">
        <v>0</v>
      </c>
      <c r="BE355" s="285"/>
      <c r="BF355" s="259">
        <v>2870</v>
      </c>
      <c r="BG355" s="260">
        <v>8274</v>
      </c>
      <c r="BH355" s="62" t="s">
        <v>936</v>
      </c>
      <c r="BI355" s="62" t="s">
        <v>935</v>
      </c>
      <c r="BJ355" s="62"/>
      <c r="BK355" s="267"/>
      <c r="BL355" s="267"/>
      <c r="BM355" s="267" t="s">
        <v>1649</v>
      </c>
      <c r="BN355" s="268"/>
      <c r="BO355" s="62">
        <v>27</v>
      </c>
      <c r="BP355" s="63">
        <v>30026</v>
      </c>
      <c r="BQ355" s="64" t="s">
        <v>1131</v>
      </c>
      <c r="BR355" s="372" t="s">
        <v>2747</v>
      </c>
      <c r="BS355" s="62"/>
      <c r="BT355" s="323"/>
      <c r="BU355" s="62"/>
      <c r="BV355" s="323"/>
      <c r="BW355" s="62"/>
      <c r="BX355" s="336">
        <v>23</v>
      </c>
      <c r="BY355" s="336" t="s">
        <v>1649</v>
      </c>
    </row>
    <row r="356" spans="1:77" ht="13.15" hidden="1" customHeight="1" outlineLevel="1" x14ac:dyDescent="0.2">
      <c r="A356" s="50">
        <f t="shared" si="83"/>
        <v>351</v>
      </c>
      <c r="B356" s="51">
        <v>70</v>
      </c>
      <c r="C356" s="51">
        <v>110</v>
      </c>
      <c r="D356" s="18" t="s">
        <v>417</v>
      </c>
      <c r="E356" s="18">
        <v>9</v>
      </c>
      <c r="F356" s="18">
        <v>1</v>
      </c>
      <c r="G356" s="52">
        <v>1</v>
      </c>
      <c r="H356" s="333"/>
      <c r="I356" s="65">
        <v>1951</v>
      </c>
      <c r="J356" s="349">
        <v>3</v>
      </c>
      <c r="K356" s="346">
        <f t="shared" si="84"/>
        <v>4</v>
      </c>
      <c r="L356" s="346">
        <v>1</v>
      </c>
      <c r="M356" s="349">
        <v>3</v>
      </c>
      <c r="N356" s="255">
        <f t="shared" si="82"/>
        <v>0</v>
      </c>
      <c r="O356" s="310">
        <v>18</v>
      </c>
      <c r="P356" s="66">
        <v>0</v>
      </c>
      <c r="Q356" s="66"/>
      <c r="R356" s="66">
        <v>0</v>
      </c>
      <c r="S356" s="66">
        <v>18</v>
      </c>
      <c r="T356" s="66">
        <v>0</v>
      </c>
      <c r="U356" s="66">
        <v>0</v>
      </c>
      <c r="V356" s="66">
        <v>0</v>
      </c>
      <c r="W356" s="54">
        <v>0</v>
      </c>
      <c r="X356" s="55">
        <f>SUMIFS(Таблица3[Кол-во квартир],Таблица3[Адрес МКД],$D356)</f>
        <v>18</v>
      </c>
      <c r="Y356" s="56">
        <f t="shared" si="85"/>
        <v>2512.4</v>
      </c>
      <c r="Z356" s="253">
        <f>SUMIFS(Таблица3[Площадь жилая],Таблица3[Адрес МКД],$D356)</f>
        <v>881.1</v>
      </c>
      <c r="AA356" s="261">
        <f>SUMIFS(Таблица3[Площадь нежилых помещений],Таблица3[Адрес МКД],$D356)</f>
        <v>684.4</v>
      </c>
      <c r="AB356" s="252">
        <f>SUMIFS(Таблица1[1],Таблица1[2],$D356)</f>
        <v>612.29999999999995</v>
      </c>
      <c r="AC356" s="57">
        <f t="shared" si="78"/>
        <v>612.29999999999995</v>
      </c>
      <c r="AD356" s="57">
        <f t="shared" si="79"/>
        <v>0</v>
      </c>
      <c r="AE356" s="58">
        <f>SUMIFS(Таблица1[8],Таблица1[2],$D356)+SUMIFS(Таблица1[18],Таблица1[2],$D356)</f>
        <v>448.4</v>
      </c>
      <c r="AF356" s="58">
        <f>SUMIFS(Таблица1[9],Таблица1[2],$D356)+SUMIFS(Таблица1[19],Таблица1[2],$D356)</f>
        <v>0</v>
      </c>
      <c r="AG356" s="59">
        <f t="shared" si="80"/>
        <v>1017.4000000000001</v>
      </c>
      <c r="AH356" s="59">
        <f t="shared" si="81"/>
        <v>1017.4000000000001</v>
      </c>
      <c r="AI356" s="60">
        <f>441.7-AM356</f>
        <v>330.6</v>
      </c>
      <c r="AJ356" s="60">
        <f t="shared" si="74"/>
        <v>276.20000000000005</v>
      </c>
      <c r="AK356" s="60">
        <f>SUMIFS(Таблица1[10],Таблица1[2],$D356)</f>
        <v>54.4</v>
      </c>
      <c r="AL356" s="60">
        <f>SUMIFS(Таблица1[11],Таблица1[2],$D356)</f>
        <v>0</v>
      </c>
      <c r="AM356" s="251">
        <f>181.6-15.6-3.1-13.4-15.3-3.7-4.8-5.7-3.9-5</f>
        <v>111.1</v>
      </c>
      <c r="AN356" s="249">
        <f t="shared" si="75"/>
        <v>1.5999999999999943</v>
      </c>
      <c r="AO356" s="249">
        <f>SUMIFS(Таблица1[12],Таблица1[2],$D356)</f>
        <v>109.5</v>
      </c>
      <c r="AP356" s="249">
        <f>SUMIFS(Таблица1[13],Таблица1[2],$D356)</f>
        <v>0</v>
      </c>
      <c r="AQ356" s="61">
        <v>185.2</v>
      </c>
      <c r="AR356" s="61">
        <f t="shared" si="76"/>
        <v>185.2</v>
      </c>
      <c r="AS356" s="60">
        <f>SUMIFS(Таблица1[14],Таблица1[2],$D356)</f>
        <v>0</v>
      </c>
      <c r="AT356" s="60">
        <f>SUMIFS(Таблица1[15],Таблица1[2],$D356)</f>
        <v>0</v>
      </c>
      <c r="AU356" s="61">
        <v>556</v>
      </c>
      <c r="AV356" s="61">
        <f t="shared" si="77"/>
        <v>556</v>
      </c>
      <c r="AW356" s="60">
        <f>SUMIFS(Таблица1[16],Таблица1[2],$D356)</f>
        <v>0</v>
      </c>
      <c r="AX356" s="60">
        <f>SUMIFS(Таблица1[17],Таблица1[2],$D356)</f>
        <v>0</v>
      </c>
      <c r="AY356" s="263"/>
      <c r="AZ356" s="264"/>
      <c r="BA356" s="296">
        <v>0</v>
      </c>
      <c r="BB356" s="296">
        <f t="shared" si="86"/>
        <v>0</v>
      </c>
      <c r="BC356" s="296">
        <v>0</v>
      </c>
      <c r="BD356" s="296">
        <v>0</v>
      </c>
      <c r="BE356" s="285"/>
      <c r="BF356" s="259">
        <v>1868</v>
      </c>
      <c r="BG356" s="260">
        <v>6400</v>
      </c>
      <c r="BH356" s="62" t="s">
        <v>936</v>
      </c>
      <c r="BI356" s="62" t="s">
        <v>935</v>
      </c>
      <c r="BJ356" s="62" t="s">
        <v>944</v>
      </c>
      <c r="BK356" s="267"/>
      <c r="BL356" s="267"/>
      <c r="BM356" s="267" t="s">
        <v>1649</v>
      </c>
      <c r="BN356" s="268"/>
      <c r="BO356" s="62">
        <v>26</v>
      </c>
      <c r="BP356" s="63">
        <v>30026</v>
      </c>
      <c r="BQ356" s="64" t="s">
        <v>1131</v>
      </c>
      <c r="BR356" s="372" t="s">
        <v>2747</v>
      </c>
      <c r="BS356" s="62"/>
      <c r="BT356" s="323"/>
      <c r="BU356" s="62"/>
      <c r="BV356" s="323"/>
      <c r="BW356" s="62"/>
      <c r="BX356" s="336"/>
      <c r="BY356" s="336"/>
    </row>
    <row r="357" spans="1:77" ht="13.15" hidden="1" customHeight="1" outlineLevel="1" x14ac:dyDescent="0.2">
      <c r="A357" s="50">
        <f t="shared" si="83"/>
        <v>352</v>
      </c>
      <c r="B357" s="51">
        <v>71</v>
      </c>
      <c r="C357" s="51">
        <v>111</v>
      </c>
      <c r="D357" s="18" t="s">
        <v>418</v>
      </c>
      <c r="E357" s="18">
        <v>9</v>
      </c>
      <c r="F357" s="18">
        <v>1</v>
      </c>
      <c r="G357" s="52">
        <v>2</v>
      </c>
      <c r="H357" s="237">
        <v>2</v>
      </c>
      <c r="I357" s="65">
        <v>1953</v>
      </c>
      <c r="J357" s="349">
        <v>5</v>
      </c>
      <c r="K357" s="346">
        <f t="shared" si="84"/>
        <v>6</v>
      </c>
      <c r="L357" s="346">
        <v>1</v>
      </c>
      <c r="M357" s="349">
        <v>6</v>
      </c>
      <c r="N357" s="255">
        <f t="shared" si="82"/>
        <v>0</v>
      </c>
      <c r="O357" s="310">
        <v>92</v>
      </c>
      <c r="P357" s="66">
        <v>0</v>
      </c>
      <c r="Q357" s="66"/>
      <c r="R357" s="66">
        <v>0</v>
      </c>
      <c r="S357" s="66">
        <v>53</v>
      </c>
      <c r="T357" s="66">
        <v>39</v>
      </c>
      <c r="U357" s="66">
        <v>0</v>
      </c>
      <c r="V357" s="66">
        <v>0</v>
      </c>
      <c r="W357" s="54">
        <v>0</v>
      </c>
      <c r="X357" s="55">
        <f>SUMIFS(Таблица3[Кол-во квартир],Таблица3[Адрес МКД],$D357)</f>
        <v>92</v>
      </c>
      <c r="Y357" s="56">
        <f t="shared" si="85"/>
        <v>8962</v>
      </c>
      <c r="Z357" s="253">
        <f>SUMIFS(Таблица3[Площадь жилая],Таблица3[Адрес МКД],$D357)</f>
        <v>5792.5999999999995</v>
      </c>
      <c r="AA357" s="261">
        <f>SUMIFS(Таблица3[Площадь нежилых помещений],Таблица3[Адрес МКД],$D357)</f>
        <v>194.1</v>
      </c>
      <c r="AB357" s="252">
        <f>SUMIFS(Таблица1[1],Таблица1[2],$D357)</f>
        <v>194.1</v>
      </c>
      <c r="AC357" s="57">
        <f t="shared" si="78"/>
        <v>194.1</v>
      </c>
      <c r="AD357" s="57">
        <f t="shared" si="79"/>
        <v>0</v>
      </c>
      <c r="AE357" s="58">
        <f>SUMIFS(Таблица1[8],Таблица1[2],$D357)+SUMIFS(Таблица1[18],Таблица1[2],$D357)</f>
        <v>28.5</v>
      </c>
      <c r="AF357" s="58">
        <f>SUMIFS(Таблица1[9],Таблица1[2],$D357)+SUMIFS(Таблица1[19],Таблица1[2],$D357)</f>
        <v>0</v>
      </c>
      <c r="AG357" s="59">
        <f>AJ357+AR357+AV357+AZ357+BB357</f>
        <v>2975.3</v>
      </c>
      <c r="AH357" s="59">
        <f>AJ357+AL357+AR357+AT357+AV357+AX357+BB357+BD357</f>
        <v>2975.3</v>
      </c>
      <c r="AI357" s="60">
        <f>861.8-AM357</f>
        <v>696.19999999999993</v>
      </c>
      <c r="AJ357" s="60">
        <f t="shared" si="74"/>
        <v>696.19999999999993</v>
      </c>
      <c r="AK357" s="60">
        <f>SUMIFS(Таблица1[10],Таблица1[2],$D357)</f>
        <v>0</v>
      </c>
      <c r="AL357" s="60">
        <f>SUMIFS(Таблица1[11],Таблица1[2],$D357)</f>
        <v>0</v>
      </c>
      <c r="AM357" s="251">
        <f>94.1+71.5</f>
        <v>165.6</v>
      </c>
      <c r="AN357" s="249">
        <f t="shared" si="75"/>
        <v>0</v>
      </c>
      <c r="AO357" s="249">
        <f>SUMIFS(Таблица1[12],Таблица1[2],$D357)</f>
        <v>165.6</v>
      </c>
      <c r="AP357" s="249">
        <f>SUMIFS(Таблица1[13],Таблица1[2],$D357)</f>
        <v>0</v>
      </c>
      <c r="AQ357" s="61">
        <v>791.6</v>
      </c>
      <c r="AR357" s="61">
        <f t="shared" si="76"/>
        <v>791.6</v>
      </c>
      <c r="AS357" s="60">
        <f>SUMIFS(Таблица1[14],Таблица1[2],$D357)</f>
        <v>0</v>
      </c>
      <c r="AT357" s="60">
        <f>SUMIFS(Таблица1[15],Таблица1[2],$D357)</f>
        <v>0</v>
      </c>
      <c r="AU357" s="61">
        <v>1461.2</v>
      </c>
      <c r="AV357" s="61">
        <f t="shared" si="77"/>
        <v>1461.2</v>
      </c>
      <c r="AW357" s="60">
        <f>SUMIFS(Таблица1[16],Таблица1[2],$D357)</f>
        <v>0</v>
      </c>
      <c r="AX357" s="60">
        <f>SUMIFS(Таблица1[17],Таблица1[2],$D357)</f>
        <v>0</v>
      </c>
      <c r="AY357" s="263"/>
      <c r="AZ357" s="264"/>
      <c r="BA357" s="296">
        <f>BB357+BC357</f>
        <v>54.8</v>
      </c>
      <c r="BB357" s="296">
        <f>13.6+12.7</f>
        <v>26.299999999999997</v>
      </c>
      <c r="BC357" s="296">
        <f>Нежилые!I1990</f>
        <v>28.5</v>
      </c>
      <c r="BD357" s="296">
        <v>0</v>
      </c>
      <c r="BE357" s="285"/>
      <c r="BF357" s="259">
        <v>4440</v>
      </c>
      <c r="BG357" s="260">
        <v>26543</v>
      </c>
      <c r="BH357" s="62" t="s">
        <v>936</v>
      </c>
      <c r="BI357" s="62" t="s">
        <v>935</v>
      </c>
      <c r="BJ357" s="62"/>
      <c r="BK357" s="267"/>
      <c r="BL357" s="267"/>
      <c r="BM357" s="267" t="s">
        <v>1649</v>
      </c>
      <c r="BN357" s="268"/>
      <c r="BO357" s="62">
        <v>26</v>
      </c>
      <c r="BP357" s="63">
        <v>30999</v>
      </c>
      <c r="BQ357" s="64" t="s">
        <v>1131</v>
      </c>
      <c r="BR357" s="372" t="s">
        <v>2747</v>
      </c>
      <c r="BS357" s="62"/>
      <c r="BT357" s="323"/>
      <c r="BU357" s="62"/>
      <c r="BV357" s="323"/>
      <c r="BW357" s="62"/>
      <c r="BX357" s="336"/>
      <c r="BY357" s="336"/>
    </row>
    <row r="358" spans="1:77" ht="13.15" customHeight="1" outlineLevel="1" x14ac:dyDescent="0.2">
      <c r="A358" s="50">
        <f t="shared" si="83"/>
        <v>353</v>
      </c>
      <c r="B358" s="51">
        <v>67</v>
      </c>
      <c r="C358" s="51">
        <v>89</v>
      </c>
      <c r="D358" s="18" t="s">
        <v>618</v>
      </c>
      <c r="E358" s="18">
        <v>12</v>
      </c>
      <c r="F358" s="18">
        <v>4</v>
      </c>
      <c r="G358" s="52">
        <v>1</v>
      </c>
      <c r="H358" s="237">
        <v>1</v>
      </c>
      <c r="I358" s="65">
        <v>1969</v>
      </c>
      <c r="J358" s="349">
        <v>5</v>
      </c>
      <c r="K358" s="346">
        <f t="shared" si="84"/>
        <v>6</v>
      </c>
      <c r="L358" s="346">
        <v>1</v>
      </c>
      <c r="M358" s="349">
        <v>3</v>
      </c>
      <c r="N358" s="255">
        <f t="shared" si="82"/>
        <v>0</v>
      </c>
      <c r="O358" s="310">
        <v>60</v>
      </c>
      <c r="P358" s="66">
        <v>0</v>
      </c>
      <c r="Q358" s="66"/>
      <c r="R358" s="66">
        <v>45</v>
      </c>
      <c r="S358" s="66">
        <v>15</v>
      </c>
      <c r="T358" s="66">
        <v>0</v>
      </c>
      <c r="U358" s="66">
        <v>0</v>
      </c>
      <c r="V358" s="66">
        <v>0</v>
      </c>
      <c r="W358" s="54">
        <v>0</v>
      </c>
      <c r="X358" s="55">
        <f>SUMIFS(Таблица3[Кол-во квартир],Таблица3[Адрес МКД],$D358)</f>
        <v>60</v>
      </c>
      <c r="Y358" s="56">
        <f t="shared" si="85"/>
        <v>3114.86</v>
      </c>
      <c r="Z358" s="253">
        <f>SUMIFS(Таблица3[Площадь жилая],Таблица3[Адрес МКД],$D358)</f>
        <v>2013.4</v>
      </c>
      <c r="AA358" s="261">
        <f>SUMIFS(Таблица3[Площадь нежилых помещений],Таблица3[Адрес МКД],$D358)</f>
        <v>0</v>
      </c>
      <c r="AB358" s="252">
        <f>SUMIFS(Таблица1[1],Таблица1[2],$D358)</f>
        <v>0</v>
      </c>
      <c r="AC358" s="57">
        <f t="shared" si="78"/>
        <v>0</v>
      </c>
      <c r="AD358" s="57">
        <f t="shared" si="79"/>
        <v>0</v>
      </c>
      <c r="AE358" s="58">
        <f>SUMIFS(Таблица1[8],Таблица1[2],$D358)+SUMIFS(Таблица1[18],Таблица1[2],$D358)</f>
        <v>0</v>
      </c>
      <c r="AF358" s="58">
        <f>SUMIFS(Таблица1[9],Таблица1[2],$D358)+SUMIFS(Таблица1[19],Таблица1[2],$D358)</f>
        <v>0</v>
      </c>
      <c r="AG358" s="59">
        <f t="shared" si="80"/>
        <v>1101.46</v>
      </c>
      <c r="AH358" s="59">
        <f t="shared" si="81"/>
        <v>1101.46</v>
      </c>
      <c r="AI358" s="60">
        <f>401.8-AM358</f>
        <v>401.8</v>
      </c>
      <c r="AJ358" s="60">
        <f t="shared" si="74"/>
        <v>401.8</v>
      </c>
      <c r="AK358" s="60">
        <f>SUMIFS(Таблица1[10],Таблица1[2],$D358)</f>
        <v>0</v>
      </c>
      <c r="AL358" s="60">
        <f>SUMIFS(Таблица1[11],Таблица1[2],$D358)</f>
        <v>0</v>
      </c>
      <c r="AM358" s="251">
        <v>0</v>
      </c>
      <c r="AN358" s="249">
        <f t="shared" si="75"/>
        <v>0</v>
      </c>
      <c r="AO358" s="249">
        <f>SUMIFS(Таблица1[12],Таблица1[2],$D358)</f>
        <v>0</v>
      </c>
      <c r="AP358" s="249">
        <f>SUMIFS(Таблица1[13],Таблица1[2],$D358)</f>
        <v>0</v>
      </c>
      <c r="AQ358" s="61">
        <v>244.8</v>
      </c>
      <c r="AR358" s="61">
        <f t="shared" si="76"/>
        <v>244.8</v>
      </c>
      <c r="AS358" s="60">
        <f>SUMIFS(Таблица1[14],Таблица1[2],$D358)</f>
        <v>0</v>
      </c>
      <c r="AT358" s="60">
        <f>SUMIFS(Таблица1[15],Таблица1[2],$D358)</f>
        <v>0</v>
      </c>
      <c r="AU358" s="61">
        <v>454.86</v>
      </c>
      <c r="AV358" s="61">
        <f t="shared" si="77"/>
        <v>454.86</v>
      </c>
      <c r="AW358" s="60">
        <f>SUMIFS(Таблица1[16],Таблица1[2],$D358)</f>
        <v>0</v>
      </c>
      <c r="AX358" s="60">
        <f>SUMIFS(Таблица1[17],Таблица1[2],$D358)</f>
        <v>0</v>
      </c>
      <c r="AY358" s="263"/>
      <c r="AZ358" s="264"/>
      <c r="BA358" s="296">
        <v>0</v>
      </c>
      <c r="BB358" s="296">
        <f t="shared" si="86"/>
        <v>0</v>
      </c>
      <c r="BC358" s="296">
        <v>0</v>
      </c>
      <c r="BD358" s="296">
        <v>0</v>
      </c>
      <c r="BE358" s="285"/>
      <c r="BF358" s="259">
        <v>1065</v>
      </c>
      <c r="BG358" s="260">
        <v>7218</v>
      </c>
      <c r="BH358" s="62" t="s">
        <v>940</v>
      </c>
      <c r="BI358" s="62" t="s">
        <v>935</v>
      </c>
      <c r="BJ358" s="62"/>
      <c r="BK358" s="267"/>
      <c r="BL358" s="267" t="s">
        <v>1649</v>
      </c>
      <c r="BM358" s="267"/>
      <c r="BN358" s="268"/>
      <c r="BO358" s="62">
        <v>14</v>
      </c>
      <c r="BP358" s="63">
        <v>30123</v>
      </c>
      <c r="BQ358" s="64" t="s">
        <v>1131</v>
      </c>
      <c r="BR358" s="372" t="s">
        <v>2747</v>
      </c>
      <c r="BS358" s="62"/>
      <c r="BT358" s="323"/>
      <c r="BU358" s="62"/>
      <c r="BV358" s="323"/>
      <c r="BW358" s="62"/>
      <c r="BX358" s="338"/>
      <c r="BY358" s="336"/>
    </row>
    <row r="359" spans="1:77" ht="13.15" hidden="1" customHeight="1" outlineLevel="1" x14ac:dyDescent="0.2">
      <c r="A359" s="50">
        <f t="shared" si="83"/>
        <v>354</v>
      </c>
      <c r="B359" s="51">
        <v>13</v>
      </c>
      <c r="C359" s="51">
        <v>13</v>
      </c>
      <c r="D359" s="18" t="s">
        <v>1056</v>
      </c>
      <c r="E359" s="299" t="s">
        <v>888</v>
      </c>
      <c r="F359" s="299">
        <v>5</v>
      </c>
      <c r="G359" s="52"/>
      <c r="H359" s="333"/>
      <c r="I359" s="65">
        <v>1946</v>
      </c>
      <c r="J359" s="349">
        <v>2</v>
      </c>
      <c r="K359" s="346">
        <f t="shared" si="84"/>
        <v>3</v>
      </c>
      <c r="L359" s="346">
        <v>1</v>
      </c>
      <c r="M359" s="349">
        <v>2</v>
      </c>
      <c r="N359" s="255">
        <f t="shared" si="82"/>
        <v>0</v>
      </c>
      <c r="O359" s="310">
        <v>16</v>
      </c>
      <c r="P359" s="66">
        <v>0</v>
      </c>
      <c r="Q359" s="66"/>
      <c r="R359" s="66">
        <v>12</v>
      </c>
      <c r="S359" s="66">
        <v>4</v>
      </c>
      <c r="T359" s="66">
        <v>0</v>
      </c>
      <c r="U359" s="66">
        <v>0</v>
      </c>
      <c r="V359" s="66">
        <v>0</v>
      </c>
      <c r="W359" s="54">
        <v>0</v>
      </c>
      <c r="X359" s="55">
        <f>SUMIFS(Таблица3[Кол-во квартир],Таблица3[Адрес МКД],$D359)</f>
        <v>16</v>
      </c>
      <c r="Y359" s="56">
        <f t="shared" si="85"/>
        <v>1053.6599999999999</v>
      </c>
      <c r="Z359" s="253">
        <f>SUMIFS(Таблица3[Площадь жилая],Таблица3[Адрес МКД],$D359)</f>
        <v>519.70000000000005</v>
      </c>
      <c r="AA359" s="261">
        <f>SUMIFS(Таблица3[Площадь нежилых помещений],Таблица3[Адрес МКД],$D359)</f>
        <v>0</v>
      </c>
      <c r="AB359" s="252">
        <f>SUMIFS(Таблица1[1],Таблица1[2],$D359)</f>
        <v>0</v>
      </c>
      <c r="AC359" s="57">
        <f t="shared" si="78"/>
        <v>0</v>
      </c>
      <c r="AD359" s="57">
        <f t="shared" si="79"/>
        <v>0</v>
      </c>
      <c r="AE359" s="58">
        <f>SUMIFS(Таблица1[8],Таблица1[2],$D359)+SUMIFS(Таблица1[18],Таблица1[2],$D359)</f>
        <v>0</v>
      </c>
      <c r="AF359" s="58">
        <f>SUMIFS(Таблица1[9],Таблица1[2],$D359)+SUMIFS(Таблица1[19],Таблица1[2],$D359)</f>
        <v>0</v>
      </c>
      <c r="AG359" s="59">
        <f t="shared" si="80"/>
        <v>533.95999999999992</v>
      </c>
      <c r="AH359" s="59">
        <f>AJ359+AL359+AR359+AT359+AV359+AX359+AZ359</f>
        <v>533.95999999999992</v>
      </c>
      <c r="AI359" s="60">
        <f>131.2-AM359</f>
        <v>131.19999999999999</v>
      </c>
      <c r="AJ359" s="60">
        <f t="shared" si="74"/>
        <v>131.19999999999999</v>
      </c>
      <c r="AK359" s="60">
        <f>SUMIFS(Таблица1[10],Таблица1[2],$D359)</f>
        <v>0</v>
      </c>
      <c r="AL359" s="60">
        <f>SUMIFS(Таблица1[11],Таблица1[2],$D359)</f>
        <v>0</v>
      </c>
      <c r="AM359" s="251">
        <v>0</v>
      </c>
      <c r="AN359" s="249">
        <f t="shared" si="75"/>
        <v>0</v>
      </c>
      <c r="AO359" s="249">
        <f>SUMIFS(Таблица1[12],Таблица1[2],$D359)</f>
        <v>0</v>
      </c>
      <c r="AP359" s="249">
        <f>SUMIFS(Таблица1[13],Таблица1[2],$D359)</f>
        <v>0</v>
      </c>
      <c r="AQ359" s="61">
        <v>48.5</v>
      </c>
      <c r="AR359" s="61">
        <f t="shared" si="76"/>
        <v>48.5</v>
      </c>
      <c r="AS359" s="60">
        <f>SUMIFS(Таблица1[14],Таблица1[2],$D359)</f>
        <v>0</v>
      </c>
      <c r="AT359" s="60">
        <f>SUMIFS(Таблица1[15],Таблица1[2],$D359)</f>
        <v>0</v>
      </c>
      <c r="AU359" s="61">
        <v>340.46</v>
      </c>
      <c r="AV359" s="61">
        <f t="shared" si="77"/>
        <v>340.46</v>
      </c>
      <c r="AW359" s="60">
        <f>SUMIFS(Таблица1[16],Таблица1[2],$D359)</f>
        <v>0</v>
      </c>
      <c r="AX359" s="60">
        <f>SUMIFS(Таблица1[17],Таблица1[2],$D359)</f>
        <v>0</v>
      </c>
      <c r="AY359" s="263"/>
      <c r="AZ359" s="264">
        <v>13.8</v>
      </c>
      <c r="BA359" s="296">
        <v>0</v>
      </c>
      <c r="BB359" s="296">
        <f t="shared" si="86"/>
        <v>0</v>
      </c>
      <c r="BC359" s="296">
        <v>0</v>
      </c>
      <c r="BD359" s="296">
        <v>0</v>
      </c>
      <c r="BE359" s="285"/>
      <c r="BF359" s="259">
        <v>513</v>
      </c>
      <c r="BG359" s="260">
        <v>2413</v>
      </c>
      <c r="BH359" s="62" t="s">
        <v>936</v>
      </c>
      <c r="BI359" s="62" t="s">
        <v>935</v>
      </c>
      <c r="BJ359" s="62" t="s">
        <v>1536</v>
      </c>
      <c r="BK359" s="267"/>
      <c r="BL359" s="267" t="s">
        <v>1649</v>
      </c>
      <c r="BM359" s="267"/>
      <c r="BN359" s="268"/>
      <c r="BO359" s="62">
        <v>50</v>
      </c>
      <c r="BP359" s="63">
        <v>35607</v>
      </c>
      <c r="BQ359" s="64" t="s">
        <v>1131</v>
      </c>
      <c r="BR359" s="372" t="s">
        <v>2747</v>
      </c>
      <c r="BS359" s="62"/>
      <c r="BT359" s="323"/>
      <c r="BU359" s="62"/>
      <c r="BV359" s="323"/>
      <c r="BW359" s="62"/>
      <c r="BX359" s="336">
        <v>18</v>
      </c>
      <c r="BY359" s="336" t="s">
        <v>1649</v>
      </c>
    </row>
    <row r="360" spans="1:77" ht="13.15" hidden="1" customHeight="1" outlineLevel="1" x14ac:dyDescent="0.2">
      <c r="A360" s="50">
        <f t="shared" si="83"/>
        <v>355</v>
      </c>
      <c r="B360" s="51">
        <v>68</v>
      </c>
      <c r="C360" s="51">
        <v>112</v>
      </c>
      <c r="D360" s="18" t="s">
        <v>493</v>
      </c>
      <c r="E360" s="18">
        <v>10</v>
      </c>
      <c r="F360" s="18">
        <v>1</v>
      </c>
      <c r="G360" s="52">
        <v>1</v>
      </c>
      <c r="H360" s="366">
        <v>1</v>
      </c>
      <c r="I360" s="65">
        <v>1956</v>
      </c>
      <c r="J360" s="349">
        <v>3</v>
      </c>
      <c r="K360" s="346">
        <f t="shared" si="84"/>
        <v>4</v>
      </c>
      <c r="L360" s="346">
        <v>1</v>
      </c>
      <c r="M360" s="349">
        <v>3</v>
      </c>
      <c r="N360" s="255">
        <f t="shared" si="82"/>
        <v>0</v>
      </c>
      <c r="O360" s="310">
        <v>30</v>
      </c>
      <c r="P360" s="66">
        <v>0</v>
      </c>
      <c r="Q360" s="66"/>
      <c r="R360" s="66">
        <v>1</v>
      </c>
      <c r="S360" s="66">
        <v>20</v>
      </c>
      <c r="T360" s="66">
        <v>9</v>
      </c>
      <c r="U360" s="66">
        <v>0</v>
      </c>
      <c r="V360" s="66">
        <v>0</v>
      </c>
      <c r="W360" s="54">
        <v>0</v>
      </c>
      <c r="X360" s="55">
        <f>SUMIFS(Таблица3[Кол-во квартир],Таблица3[Адрес МКД],$D360)</f>
        <v>30</v>
      </c>
      <c r="Y360" s="56">
        <f t="shared" si="85"/>
        <v>3293</v>
      </c>
      <c r="Z360" s="253">
        <f>SUMIFS(Таблица3[Площадь жилая],Таблица3[Адрес МКД],$D360)</f>
        <v>1722.2</v>
      </c>
      <c r="AA360" s="261">
        <f>SUMIFS(Таблица3[Площадь нежилых помещений],Таблица3[Адрес МКД],$D360)</f>
        <v>201.7</v>
      </c>
      <c r="AB360" s="252">
        <f>SUMIFS(Таблица1[1],Таблица1[2],$D360)</f>
        <v>251.5</v>
      </c>
      <c r="AC360" s="57">
        <f t="shared" si="78"/>
        <v>251.5</v>
      </c>
      <c r="AD360" s="57">
        <f t="shared" si="79"/>
        <v>0</v>
      </c>
      <c r="AE360" s="58">
        <f>SUMIFS(Таблица1[8],Таблица1[2],$D360)+SUMIFS(Таблица1[18],Таблица1[2],$D360)</f>
        <v>0</v>
      </c>
      <c r="AF360" s="58">
        <f>SUMIFS(Таблица1[9],Таблица1[2],$D360)+SUMIFS(Таблица1[19],Таблица1[2],$D360)</f>
        <v>0</v>
      </c>
      <c r="AG360" s="59">
        <f t="shared" si="80"/>
        <v>1319.3</v>
      </c>
      <c r="AH360" s="59">
        <f t="shared" si="81"/>
        <v>1319.3</v>
      </c>
      <c r="AI360" s="60">
        <f>551.9-AM360</f>
        <v>396</v>
      </c>
      <c r="AJ360" s="60">
        <f t="shared" si="74"/>
        <v>300.39999999999998</v>
      </c>
      <c r="AK360" s="60">
        <f>SUMIFS(Таблица1[10],Таблица1[2],$D360)</f>
        <v>95.6</v>
      </c>
      <c r="AL360" s="60">
        <f>SUMIFS(Таблица1[11],Таблица1[2],$D360)</f>
        <v>0</v>
      </c>
      <c r="AM360" s="251">
        <f>201.7-45.8</f>
        <v>155.89999999999998</v>
      </c>
      <c r="AN360" s="249">
        <f t="shared" si="75"/>
        <v>-2.8421709430404007E-14</v>
      </c>
      <c r="AO360" s="249">
        <f>SUMIFS(Таблица1[12],Таблица1[2],$D360)</f>
        <v>155.9</v>
      </c>
      <c r="AP360" s="249">
        <f>SUMIFS(Таблица1[13],Таблица1[2],$D360)</f>
        <v>0</v>
      </c>
      <c r="AQ360" s="61">
        <v>264.89999999999998</v>
      </c>
      <c r="AR360" s="61">
        <f t="shared" si="76"/>
        <v>264.89999999999998</v>
      </c>
      <c r="AS360" s="60">
        <f>SUMIFS(Таблица1[14],Таблица1[2],$D360)</f>
        <v>0</v>
      </c>
      <c r="AT360" s="60">
        <f>SUMIFS(Таблица1[15],Таблица1[2],$D360)</f>
        <v>0</v>
      </c>
      <c r="AU360" s="61">
        <v>754</v>
      </c>
      <c r="AV360" s="61">
        <f t="shared" si="77"/>
        <v>754</v>
      </c>
      <c r="AW360" s="60">
        <f>SUMIFS(Таблица1[16],Таблица1[2],$D360)</f>
        <v>0</v>
      </c>
      <c r="AX360" s="60">
        <f>SUMIFS(Таблица1[17],Таблица1[2],$D360)</f>
        <v>0</v>
      </c>
      <c r="AY360" s="263">
        <f>Нежилые!G2002</f>
        <v>95.6</v>
      </c>
      <c r="AZ360" s="264"/>
      <c r="BA360" s="296">
        <v>0</v>
      </c>
      <c r="BB360" s="296">
        <f t="shared" si="86"/>
        <v>0</v>
      </c>
      <c r="BC360" s="296">
        <v>0</v>
      </c>
      <c r="BD360" s="296">
        <v>0</v>
      </c>
      <c r="BE360" s="285"/>
      <c r="BF360" s="259">
        <v>2200</v>
      </c>
      <c r="BG360" s="260">
        <v>7945</v>
      </c>
      <c r="BH360" s="62" t="s">
        <v>936</v>
      </c>
      <c r="BI360" s="62" t="s">
        <v>935</v>
      </c>
      <c r="BJ360" s="62"/>
      <c r="BK360" s="267"/>
      <c r="BL360" s="267"/>
      <c r="BM360" s="267" t="s">
        <v>1649</v>
      </c>
      <c r="BN360" s="268"/>
      <c r="BO360" s="62">
        <v>27</v>
      </c>
      <c r="BP360" s="63">
        <v>31393</v>
      </c>
      <c r="BQ360" s="64" t="s">
        <v>1131</v>
      </c>
      <c r="BR360" s="372" t="s">
        <v>2747</v>
      </c>
      <c r="BS360" s="62"/>
      <c r="BT360" s="323"/>
      <c r="BU360" s="62"/>
      <c r="BV360" s="323"/>
      <c r="BW360" s="62"/>
      <c r="BX360" s="338"/>
      <c r="BY360" s="336"/>
    </row>
    <row r="361" spans="1:77" ht="13.15" hidden="1" customHeight="1" outlineLevel="1" x14ac:dyDescent="0.2">
      <c r="A361" s="50">
        <f t="shared" si="83"/>
        <v>356</v>
      </c>
      <c r="B361" s="51">
        <v>69</v>
      </c>
      <c r="C361" s="51">
        <v>113</v>
      </c>
      <c r="D361" s="18" t="s">
        <v>494</v>
      </c>
      <c r="E361" s="18">
        <v>10</v>
      </c>
      <c r="F361" s="18">
        <v>1</v>
      </c>
      <c r="G361" s="52">
        <v>1</v>
      </c>
      <c r="H361" s="237"/>
      <c r="I361" s="65">
        <v>1955</v>
      </c>
      <c r="J361" s="349">
        <v>3</v>
      </c>
      <c r="K361" s="346">
        <f t="shared" si="84"/>
        <v>4</v>
      </c>
      <c r="L361" s="346">
        <v>1</v>
      </c>
      <c r="M361" s="349">
        <v>3</v>
      </c>
      <c r="N361" s="255">
        <f t="shared" si="82"/>
        <v>1</v>
      </c>
      <c r="O361" s="310">
        <v>27</v>
      </c>
      <c r="P361" s="66">
        <v>0</v>
      </c>
      <c r="Q361" s="66"/>
      <c r="R361" s="66">
        <v>0</v>
      </c>
      <c r="S361" s="66">
        <v>27</v>
      </c>
      <c r="T361" s="66">
        <v>0</v>
      </c>
      <c r="U361" s="66">
        <v>0</v>
      </c>
      <c r="V361" s="66">
        <v>0</v>
      </c>
      <c r="W361" s="54">
        <v>0</v>
      </c>
      <c r="X361" s="55">
        <f>SUMIFS(Таблица3[Кол-во квартир],Таблица3[Адрес МКД],$D361)</f>
        <v>26</v>
      </c>
      <c r="Y361" s="56">
        <f t="shared" si="85"/>
        <v>2526.77</v>
      </c>
      <c r="Z361" s="253">
        <f>SUMIFS(Таблица3[Площадь жилая],Таблица3[Адрес МКД],$D361)</f>
        <v>1325.97</v>
      </c>
      <c r="AA361" s="261">
        <f>SUMIFS(Таблица3[Площадь нежилых помещений],Таблица3[Адрес МКД],$D361)</f>
        <v>0</v>
      </c>
      <c r="AB361" s="252">
        <f>SUMIFS(Таблица1[1],Таблица1[2],$D361)</f>
        <v>0</v>
      </c>
      <c r="AC361" s="57">
        <f t="shared" si="78"/>
        <v>0</v>
      </c>
      <c r="AD361" s="57">
        <f t="shared" si="79"/>
        <v>0</v>
      </c>
      <c r="AE361" s="58">
        <f>SUMIFS(Таблица1[8],Таблица1[2],$D361)+SUMIFS(Таблица1[18],Таблица1[2],$D361)</f>
        <v>0</v>
      </c>
      <c r="AF361" s="58">
        <f>SUMIFS(Таблица1[9],Таблица1[2],$D361)+SUMIFS(Таблица1[19],Таблица1[2],$D361)</f>
        <v>0</v>
      </c>
      <c r="AG361" s="59">
        <f t="shared" si="80"/>
        <v>1200.8</v>
      </c>
      <c r="AH361" s="59">
        <f t="shared" si="81"/>
        <v>1200.8</v>
      </c>
      <c r="AI361" s="60">
        <f>351.6-AM361</f>
        <v>351.6</v>
      </c>
      <c r="AJ361" s="60">
        <f t="shared" si="74"/>
        <v>351.6</v>
      </c>
      <c r="AK361" s="60">
        <f>SUMIFS(Таблица1[10],Таблица1[2],$D361)</f>
        <v>0</v>
      </c>
      <c r="AL361" s="60">
        <f>SUMIFS(Таблица1[11],Таблица1[2],$D361)</f>
        <v>0</v>
      </c>
      <c r="AM361" s="251">
        <v>0</v>
      </c>
      <c r="AN361" s="249">
        <f t="shared" si="75"/>
        <v>0</v>
      </c>
      <c r="AO361" s="249">
        <f>SUMIFS(Таблица1[12],Таблица1[2],$D361)</f>
        <v>0</v>
      </c>
      <c r="AP361" s="249">
        <f>SUMIFS(Таблица1[13],Таблица1[2],$D361)</f>
        <v>0</v>
      </c>
      <c r="AQ361" s="61">
        <v>253.2</v>
      </c>
      <c r="AR361" s="61">
        <f t="shared" si="76"/>
        <v>253.2</v>
      </c>
      <c r="AS361" s="60">
        <f>SUMIFS(Таблица1[14],Таблица1[2],$D361)</f>
        <v>0</v>
      </c>
      <c r="AT361" s="60">
        <f>SUMIFS(Таблица1[15],Таблица1[2],$D361)</f>
        <v>0</v>
      </c>
      <c r="AU361" s="61">
        <v>596</v>
      </c>
      <c r="AV361" s="61">
        <f t="shared" si="77"/>
        <v>596</v>
      </c>
      <c r="AW361" s="60">
        <f>SUMIFS(Таблица1[16],Таблица1[2],$D361)</f>
        <v>0</v>
      </c>
      <c r="AX361" s="60">
        <f>SUMIFS(Таблица1[17],Таблица1[2],$D361)</f>
        <v>0</v>
      </c>
      <c r="AY361" s="263"/>
      <c r="AZ361" s="264"/>
      <c r="BA361" s="296">
        <v>0</v>
      </c>
      <c r="BB361" s="296">
        <f t="shared" si="86"/>
        <v>0</v>
      </c>
      <c r="BC361" s="296">
        <v>0</v>
      </c>
      <c r="BD361" s="296">
        <v>0</v>
      </c>
      <c r="BE361" s="285"/>
      <c r="BF361" s="259">
        <v>1852</v>
      </c>
      <c r="BG361" s="260">
        <v>6218</v>
      </c>
      <c r="BH361" s="62" t="s">
        <v>936</v>
      </c>
      <c r="BI361" s="62" t="s">
        <v>935</v>
      </c>
      <c r="BJ361" s="62"/>
      <c r="BK361" s="267"/>
      <c r="BL361" s="267"/>
      <c r="BM361" s="267" t="s">
        <v>1649</v>
      </c>
      <c r="BN361" s="268"/>
      <c r="BO361" s="62">
        <v>27</v>
      </c>
      <c r="BP361" s="63">
        <v>31380</v>
      </c>
      <c r="BQ361" s="64" t="s">
        <v>1131</v>
      </c>
      <c r="BR361" s="372" t="s">
        <v>2747</v>
      </c>
      <c r="BS361" s="62"/>
      <c r="BT361" s="323"/>
      <c r="BU361" s="62"/>
      <c r="BV361" s="323"/>
      <c r="BW361" s="62"/>
      <c r="BX361" s="338"/>
      <c r="BY361" s="336"/>
    </row>
    <row r="362" spans="1:77" ht="13.15" customHeight="1" outlineLevel="1" x14ac:dyDescent="0.2">
      <c r="A362" s="50">
        <f t="shared" si="83"/>
        <v>357</v>
      </c>
      <c r="B362" s="51">
        <v>68</v>
      </c>
      <c r="C362" s="51">
        <v>90</v>
      </c>
      <c r="D362" s="18" t="s">
        <v>619</v>
      </c>
      <c r="E362" s="18">
        <v>12</v>
      </c>
      <c r="F362" s="18">
        <v>4</v>
      </c>
      <c r="G362" s="52">
        <v>1</v>
      </c>
      <c r="H362" s="237">
        <v>1</v>
      </c>
      <c r="I362" s="65">
        <v>1959</v>
      </c>
      <c r="J362" s="349">
        <v>4</v>
      </c>
      <c r="K362" s="346">
        <f t="shared" si="84"/>
        <v>5</v>
      </c>
      <c r="L362" s="346">
        <v>1</v>
      </c>
      <c r="M362" s="349">
        <v>3</v>
      </c>
      <c r="N362" s="255">
        <f t="shared" si="82"/>
        <v>0</v>
      </c>
      <c r="O362" s="310">
        <v>48</v>
      </c>
      <c r="P362" s="66">
        <v>0</v>
      </c>
      <c r="Q362" s="66"/>
      <c r="R362" s="66">
        <v>8</v>
      </c>
      <c r="S362" s="66">
        <v>36</v>
      </c>
      <c r="T362" s="66">
        <v>4</v>
      </c>
      <c r="U362" s="66">
        <v>0</v>
      </c>
      <c r="V362" s="66">
        <v>0</v>
      </c>
      <c r="W362" s="54">
        <v>0</v>
      </c>
      <c r="X362" s="55">
        <f>SUMIFS(Таблица3[Кол-во квартир],Таблица3[Адрес МКД],$D362)</f>
        <v>48</v>
      </c>
      <c r="Y362" s="56">
        <f t="shared" si="85"/>
        <v>3275.7700000000004</v>
      </c>
      <c r="Z362" s="253">
        <f>SUMIFS(Таблица3[Площадь жилая],Таблица3[Адрес МКД],$D362)</f>
        <v>2008.8000000000002</v>
      </c>
      <c r="AA362" s="261">
        <f>SUMIFS(Таблица3[Площадь нежилых помещений],Таблица3[Адрес МКД],$D362)</f>
        <v>0</v>
      </c>
      <c r="AB362" s="252">
        <f>SUMIFS(Таблица1[1],Таблица1[2],$D362)</f>
        <v>0</v>
      </c>
      <c r="AC362" s="57">
        <f t="shared" si="78"/>
        <v>0</v>
      </c>
      <c r="AD362" s="57">
        <f t="shared" si="79"/>
        <v>0</v>
      </c>
      <c r="AE362" s="58">
        <f>SUMIFS(Таблица1[8],Таблица1[2],$D362)+SUMIFS(Таблица1[18],Таблица1[2],$D362)</f>
        <v>0</v>
      </c>
      <c r="AF362" s="58">
        <f>SUMIFS(Таблица1[9],Таблица1[2],$D362)+SUMIFS(Таблица1[19],Таблица1[2],$D362)</f>
        <v>0</v>
      </c>
      <c r="AG362" s="59">
        <f t="shared" si="80"/>
        <v>1266.9700000000003</v>
      </c>
      <c r="AH362" s="59">
        <f t="shared" si="81"/>
        <v>1266.9700000000003</v>
      </c>
      <c r="AI362" s="60">
        <f>516.7-AM362</f>
        <v>516.70000000000005</v>
      </c>
      <c r="AJ362" s="60">
        <f t="shared" si="74"/>
        <v>516.70000000000005</v>
      </c>
      <c r="AK362" s="60">
        <f>SUMIFS(Таблица1[10],Таблица1[2],$D362)</f>
        <v>0</v>
      </c>
      <c r="AL362" s="60">
        <f>SUMIFS(Таблица1[11],Таблица1[2],$D362)</f>
        <v>0</v>
      </c>
      <c r="AM362" s="251">
        <v>0</v>
      </c>
      <c r="AN362" s="249">
        <f t="shared" si="75"/>
        <v>0</v>
      </c>
      <c r="AO362" s="249">
        <f>SUMIFS(Таблица1[12],Таблица1[2],$D362)</f>
        <v>0</v>
      </c>
      <c r="AP362" s="249">
        <f>SUMIFS(Таблица1[13],Таблица1[2],$D362)</f>
        <v>0</v>
      </c>
      <c r="AQ362" s="61">
        <v>144.69999999999999</v>
      </c>
      <c r="AR362" s="61">
        <f t="shared" si="76"/>
        <v>144.69999999999999</v>
      </c>
      <c r="AS362" s="60">
        <f>SUMIFS(Таблица1[14],Таблица1[2],$D362)</f>
        <v>0</v>
      </c>
      <c r="AT362" s="60">
        <f>SUMIFS(Таблица1[15],Таблица1[2],$D362)</f>
        <v>0</v>
      </c>
      <c r="AU362" s="61">
        <v>605.57000000000005</v>
      </c>
      <c r="AV362" s="61">
        <f t="shared" si="77"/>
        <v>605.57000000000005</v>
      </c>
      <c r="AW362" s="60">
        <f>SUMIFS(Таблица1[16],Таблица1[2],$D362)</f>
        <v>0</v>
      </c>
      <c r="AX362" s="60">
        <f>SUMIFS(Таблица1[17],Таблица1[2],$D362)</f>
        <v>0</v>
      </c>
      <c r="AY362" s="263"/>
      <c r="AZ362" s="264"/>
      <c r="BA362" s="296">
        <v>0</v>
      </c>
      <c r="BB362" s="296">
        <f t="shared" si="86"/>
        <v>0</v>
      </c>
      <c r="BC362" s="296">
        <v>0</v>
      </c>
      <c r="BD362" s="296">
        <v>0</v>
      </c>
      <c r="BE362" s="285"/>
      <c r="BF362" s="259">
        <v>1723</v>
      </c>
      <c r="BG362" s="260">
        <v>8182</v>
      </c>
      <c r="BH362" s="62" t="s">
        <v>936</v>
      </c>
      <c r="BI362" s="62" t="s">
        <v>935</v>
      </c>
      <c r="BJ362" s="62"/>
      <c r="BK362" s="267"/>
      <c r="BL362" s="267" t="s">
        <v>1649</v>
      </c>
      <c r="BM362" s="267"/>
      <c r="BN362" s="268"/>
      <c r="BO362" s="62">
        <v>27</v>
      </c>
      <c r="BP362" s="63">
        <v>32126</v>
      </c>
      <c r="BQ362" s="64" t="s">
        <v>1132</v>
      </c>
      <c r="BR362" s="372" t="s">
        <v>2747</v>
      </c>
      <c r="BS362" s="62"/>
      <c r="BT362" s="323"/>
      <c r="BU362" s="62"/>
      <c r="BV362" s="323"/>
      <c r="BW362" s="62"/>
      <c r="BX362" s="336">
        <v>30</v>
      </c>
      <c r="BY362" s="336"/>
    </row>
    <row r="363" spans="1:77" ht="13.15" hidden="1" customHeight="1" outlineLevel="1" x14ac:dyDescent="0.2">
      <c r="A363" s="50">
        <f t="shared" si="83"/>
        <v>358</v>
      </c>
      <c r="B363" s="51">
        <v>70</v>
      </c>
      <c r="C363" s="51">
        <v>114</v>
      </c>
      <c r="D363" s="18" t="s">
        <v>495</v>
      </c>
      <c r="E363" s="18">
        <v>10</v>
      </c>
      <c r="F363" s="18">
        <v>1</v>
      </c>
      <c r="G363" s="52">
        <v>1</v>
      </c>
      <c r="H363" s="237"/>
      <c r="I363" s="65">
        <v>1955</v>
      </c>
      <c r="J363" s="349">
        <v>3</v>
      </c>
      <c r="K363" s="346">
        <f t="shared" si="84"/>
        <v>4</v>
      </c>
      <c r="L363" s="346">
        <v>1</v>
      </c>
      <c r="M363" s="349">
        <v>3</v>
      </c>
      <c r="N363" s="255">
        <f t="shared" si="82"/>
        <v>1</v>
      </c>
      <c r="O363" s="310">
        <v>27</v>
      </c>
      <c r="P363" s="66">
        <v>0</v>
      </c>
      <c r="Q363" s="66"/>
      <c r="R363" s="66">
        <v>0</v>
      </c>
      <c r="S363" s="66">
        <v>27</v>
      </c>
      <c r="T363" s="66">
        <v>0</v>
      </c>
      <c r="U363" s="66">
        <v>0</v>
      </c>
      <c r="V363" s="66">
        <v>0</v>
      </c>
      <c r="W363" s="54">
        <v>0</v>
      </c>
      <c r="X363" s="55">
        <f>SUMIFS(Таблица3[Кол-во квартир],Таблица3[Адрес МКД],$D363)</f>
        <v>26</v>
      </c>
      <c r="Y363" s="56">
        <f t="shared" si="85"/>
        <v>2536.6</v>
      </c>
      <c r="Z363" s="253">
        <f>SUMIFS(Таблица3[Площадь жилая],Таблица3[Адрес МКД],$D363)</f>
        <v>1335.1</v>
      </c>
      <c r="AA363" s="261">
        <f>SUMIFS(Таблица3[Площадь нежилых помещений],Таблица3[Адрес МКД],$D363)</f>
        <v>0</v>
      </c>
      <c r="AB363" s="252">
        <f>SUMIFS(Таблица1[1],Таблица1[2],$D363)</f>
        <v>0</v>
      </c>
      <c r="AC363" s="57">
        <f t="shared" si="78"/>
        <v>0</v>
      </c>
      <c r="AD363" s="57">
        <f t="shared" si="79"/>
        <v>0</v>
      </c>
      <c r="AE363" s="58">
        <f>SUMIFS(Таблица1[8],Таблица1[2],$D363)+SUMIFS(Таблица1[18],Таблица1[2],$D363)</f>
        <v>0</v>
      </c>
      <c r="AF363" s="58">
        <f>SUMIFS(Таблица1[9],Таблица1[2],$D363)+SUMIFS(Таблица1[19],Таблица1[2],$D363)</f>
        <v>0</v>
      </c>
      <c r="AG363" s="59">
        <f t="shared" si="80"/>
        <v>1201.5</v>
      </c>
      <c r="AH363" s="59">
        <f t="shared" si="81"/>
        <v>1201.5</v>
      </c>
      <c r="AI363" s="60">
        <f>354.3-AM363</f>
        <v>354.3</v>
      </c>
      <c r="AJ363" s="60">
        <f t="shared" si="74"/>
        <v>354.3</v>
      </c>
      <c r="AK363" s="60">
        <f>SUMIFS(Таблица1[10],Таблица1[2],$D363)</f>
        <v>0</v>
      </c>
      <c r="AL363" s="60">
        <f>SUMIFS(Таблица1[11],Таблица1[2],$D363)</f>
        <v>0</v>
      </c>
      <c r="AM363" s="251">
        <v>0</v>
      </c>
      <c r="AN363" s="249">
        <f t="shared" si="75"/>
        <v>0</v>
      </c>
      <c r="AO363" s="249">
        <f>SUMIFS(Таблица1[12],Таблица1[2],$D363)</f>
        <v>0</v>
      </c>
      <c r="AP363" s="249">
        <f>SUMIFS(Таблица1[13],Таблица1[2],$D363)</f>
        <v>0</v>
      </c>
      <c r="AQ363" s="61">
        <v>251.2</v>
      </c>
      <c r="AR363" s="61">
        <f t="shared" si="76"/>
        <v>251.2</v>
      </c>
      <c r="AS363" s="60">
        <f>SUMIFS(Таблица1[14],Таблица1[2],$D363)</f>
        <v>0</v>
      </c>
      <c r="AT363" s="60">
        <f>SUMIFS(Таблица1[15],Таблица1[2],$D363)</f>
        <v>0</v>
      </c>
      <c r="AU363" s="61">
        <v>596</v>
      </c>
      <c r="AV363" s="61">
        <f t="shared" si="77"/>
        <v>596</v>
      </c>
      <c r="AW363" s="60">
        <f>SUMIFS(Таблица1[16],Таблица1[2],$D363)</f>
        <v>0</v>
      </c>
      <c r="AX363" s="60">
        <f>SUMIFS(Таблица1[17],Таблица1[2],$D363)</f>
        <v>0</v>
      </c>
      <c r="AY363" s="263"/>
      <c r="AZ363" s="264"/>
      <c r="BA363" s="296">
        <v>0</v>
      </c>
      <c r="BB363" s="296">
        <f t="shared" si="86"/>
        <v>0</v>
      </c>
      <c r="BC363" s="296">
        <v>0</v>
      </c>
      <c r="BD363" s="296">
        <v>0</v>
      </c>
      <c r="BE363" s="285"/>
      <c r="BF363" s="259">
        <v>1881</v>
      </c>
      <c r="BG363" s="260">
        <v>6117</v>
      </c>
      <c r="BH363" s="62" t="s">
        <v>936</v>
      </c>
      <c r="BI363" s="62" t="s">
        <v>935</v>
      </c>
      <c r="BJ363" s="62"/>
      <c r="BK363" s="267"/>
      <c r="BL363" s="267"/>
      <c r="BM363" s="267" t="s">
        <v>1649</v>
      </c>
      <c r="BN363" s="268"/>
      <c r="BO363" s="62">
        <v>29</v>
      </c>
      <c r="BP363" s="63">
        <v>31401</v>
      </c>
      <c r="BQ363" s="64" t="s">
        <v>1131</v>
      </c>
      <c r="BR363" s="372" t="s">
        <v>2747</v>
      </c>
      <c r="BS363" s="62"/>
      <c r="BT363" s="323"/>
      <c r="BU363" s="62"/>
      <c r="BV363" s="323"/>
      <c r="BW363" s="62"/>
      <c r="BX363" s="338"/>
      <c r="BY363" s="336"/>
    </row>
    <row r="364" spans="1:77" ht="13.15" customHeight="1" outlineLevel="1" x14ac:dyDescent="0.2">
      <c r="A364" s="50">
        <f t="shared" si="83"/>
        <v>359</v>
      </c>
      <c r="B364" s="51">
        <v>69</v>
      </c>
      <c r="C364" s="51">
        <v>91</v>
      </c>
      <c r="D364" s="18" t="s">
        <v>620</v>
      </c>
      <c r="E364" s="18">
        <v>12</v>
      </c>
      <c r="F364" s="18">
        <v>4</v>
      </c>
      <c r="G364" s="52">
        <v>1</v>
      </c>
      <c r="H364" s="237">
        <v>1</v>
      </c>
      <c r="I364" s="65">
        <v>1959</v>
      </c>
      <c r="J364" s="349">
        <v>4</v>
      </c>
      <c r="K364" s="346">
        <f t="shared" si="84"/>
        <v>5</v>
      </c>
      <c r="L364" s="346">
        <v>1</v>
      </c>
      <c r="M364" s="349">
        <v>3</v>
      </c>
      <c r="N364" s="255">
        <f t="shared" si="82"/>
        <v>0</v>
      </c>
      <c r="O364" s="310">
        <v>48</v>
      </c>
      <c r="P364" s="66">
        <v>0</v>
      </c>
      <c r="Q364" s="66"/>
      <c r="R364" s="66">
        <v>8</v>
      </c>
      <c r="S364" s="66">
        <v>36</v>
      </c>
      <c r="T364" s="66">
        <v>4</v>
      </c>
      <c r="U364" s="66">
        <v>0</v>
      </c>
      <c r="V364" s="66">
        <v>0</v>
      </c>
      <c r="W364" s="54">
        <v>0</v>
      </c>
      <c r="X364" s="55">
        <f>SUMIFS(Таблица3[Кол-во квартир],Таблица3[Адрес МКД],$D364)</f>
        <v>48</v>
      </c>
      <c r="Y364" s="56">
        <f t="shared" si="85"/>
        <v>3216.93</v>
      </c>
      <c r="Z364" s="253">
        <f>SUMIFS(Таблица3[Площадь жилая],Таблица3[Адрес МКД],$D364)</f>
        <v>2007</v>
      </c>
      <c r="AA364" s="261">
        <f>SUMIFS(Таблица3[Площадь нежилых помещений],Таблица3[Адрес МКД],$D364)</f>
        <v>0</v>
      </c>
      <c r="AB364" s="252">
        <f>SUMIFS(Таблица1[1],Таблица1[2],$D364)</f>
        <v>0</v>
      </c>
      <c r="AC364" s="57">
        <f t="shared" si="78"/>
        <v>0</v>
      </c>
      <c r="AD364" s="57">
        <f t="shared" si="79"/>
        <v>0</v>
      </c>
      <c r="AE364" s="58">
        <f>SUMIFS(Таблица1[8],Таблица1[2],$D364)+SUMIFS(Таблица1[18],Таблица1[2],$D364)</f>
        <v>0</v>
      </c>
      <c r="AF364" s="58">
        <f>SUMIFS(Таблица1[9],Таблица1[2],$D364)+SUMIFS(Таблица1[19],Таблица1[2],$D364)</f>
        <v>0</v>
      </c>
      <c r="AG364" s="59">
        <f t="shared" si="80"/>
        <v>1209.9299999999998</v>
      </c>
      <c r="AH364" s="59">
        <f t="shared" si="81"/>
        <v>1209.9299999999998</v>
      </c>
      <c r="AI364" s="60">
        <f>460.4-AM364</f>
        <v>460.4</v>
      </c>
      <c r="AJ364" s="60">
        <f t="shared" si="74"/>
        <v>460.4</v>
      </c>
      <c r="AK364" s="60">
        <f>SUMIFS(Таблица1[10],Таблица1[2],$D364)</f>
        <v>0</v>
      </c>
      <c r="AL364" s="60">
        <f>SUMIFS(Таблица1[11],Таблица1[2],$D364)</f>
        <v>0</v>
      </c>
      <c r="AM364" s="251">
        <v>0</v>
      </c>
      <c r="AN364" s="249">
        <f t="shared" si="75"/>
        <v>0</v>
      </c>
      <c r="AO364" s="249">
        <f>SUMIFS(Таблица1[12],Таблица1[2],$D364)</f>
        <v>0</v>
      </c>
      <c r="AP364" s="249">
        <f>SUMIFS(Таблица1[13],Таблица1[2],$D364)</f>
        <v>0</v>
      </c>
      <c r="AQ364" s="61">
        <v>144.4</v>
      </c>
      <c r="AR364" s="61">
        <f t="shared" si="76"/>
        <v>144.4</v>
      </c>
      <c r="AS364" s="60">
        <f>SUMIFS(Таблица1[14],Таблица1[2],$D364)</f>
        <v>0</v>
      </c>
      <c r="AT364" s="60">
        <f>SUMIFS(Таблица1[15],Таблица1[2],$D364)</f>
        <v>0</v>
      </c>
      <c r="AU364" s="61">
        <v>605.13</v>
      </c>
      <c r="AV364" s="61">
        <f t="shared" si="77"/>
        <v>605.13</v>
      </c>
      <c r="AW364" s="60">
        <f>SUMIFS(Таблица1[16],Таблица1[2],$D364)</f>
        <v>0</v>
      </c>
      <c r="AX364" s="60">
        <f>SUMIFS(Таблица1[17],Таблица1[2],$D364)</f>
        <v>0</v>
      </c>
      <c r="AY364" s="263"/>
      <c r="AZ364" s="264"/>
      <c r="BA364" s="296">
        <v>0</v>
      </c>
      <c r="BB364" s="296">
        <f t="shared" si="86"/>
        <v>0</v>
      </c>
      <c r="BC364" s="296">
        <v>0</v>
      </c>
      <c r="BD364" s="296">
        <v>0</v>
      </c>
      <c r="BE364" s="285"/>
      <c r="BF364" s="259">
        <v>1675</v>
      </c>
      <c r="BG364" s="260">
        <v>7783</v>
      </c>
      <c r="BH364" s="62" t="s">
        <v>936</v>
      </c>
      <c r="BI364" s="62" t="s">
        <v>935</v>
      </c>
      <c r="BJ364" s="62"/>
      <c r="BK364" s="267"/>
      <c r="BL364" s="267" t="s">
        <v>1649</v>
      </c>
      <c r="BM364" s="267"/>
      <c r="BN364" s="268"/>
      <c r="BO364" s="62">
        <v>27</v>
      </c>
      <c r="BP364" s="63">
        <v>32093</v>
      </c>
      <c r="BQ364" s="64" t="s">
        <v>1132</v>
      </c>
      <c r="BR364" s="372" t="s">
        <v>2747</v>
      </c>
      <c r="BS364" s="62"/>
      <c r="BT364" s="323"/>
      <c r="BU364" s="62"/>
      <c r="BV364" s="323"/>
      <c r="BW364" s="62"/>
      <c r="BX364" s="336">
        <v>35</v>
      </c>
      <c r="BY364" s="336"/>
    </row>
    <row r="365" spans="1:77" ht="13.15" hidden="1" customHeight="1" outlineLevel="1" x14ac:dyDescent="0.2">
      <c r="A365" s="50">
        <f t="shared" si="83"/>
        <v>360</v>
      </c>
      <c r="B365" s="51">
        <v>71</v>
      </c>
      <c r="C365" s="51">
        <v>115</v>
      </c>
      <c r="D365" s="18" t="s">
        <v>496</v>
      </c>
      <c r="E365" s="18">
        <v>10</v>
      </c>
      <c r="F365" s="18">
        <v>1</v>
      </c>
      <c r="G365" s="52">
        <v>1</v>
      </c>
      <c r="H365" s="237"/>
      <c r="I365" s="65">
        <v>1956</v>
      </c>
      <c r="J365" s="349">
        <v>3</v>
      </c>
      <c r="K365" s="346">
        <f t="shared" si="84"/>
        <v>4</v>
      </c>
      <c r="L365" s="346">
        <v>1</v>
      </c>
      <c r="M365" s="349">
        <v>3</v>
      </c>
      <c r="N365" s="255">
        <f t="shared" si="82"/>
        <v>0</v>
      </c>
      <c r="O365" s="310">
        <v>30</v>
      </c>
      <c r="P365" s="66">
        <v>0</v>
      </c>
      <c r="Q365" s="66"/>
      <c r="R365" s="66">
        <v>0</v>
      </c>
      <c r="S365" s="66">
        <v>21</v>
      </c>
      <c r="T365" s="66">
        <v>9</v>
      </c>
      <c r="U365" s="66">
        <v>0</v>
      </c>
      <c r="V365" s="66">
        <v>0</v>
      </c>
      <c r="W365" s="54">
        <v>0</v>
      </c>
      <c r="X365" s="55">
        <f>SUMIFS(Таблица3[Кол-во квартир],Таблица3[Адрес МКД],$D365)</f>
        <v>30</v>
      </c>
      <c r="Y365" s="56">
        <f t="shared" si="85"/>
        <v>2982.2</v>
      </c>
      <c r="Z365" s="253">
        <f>SUMIFS(Таблица3[Площадь жилая],Таблица3[Адрес МКД],$D365)</f>
        <v>1739.3</v>
      </c>
      <c r="AA365" s="261">
        <f>SUMIFS(Таблица3[Площадь нежилых помещений],Таблица3[Адрес МКД],$D365)</f>
        <v>201.6</v>
      </c>
      <c r="AB365" s="252">
        <f>SUMIFS(Таблица1[1],Таблица1[2],$D365)</f>
        <v>147.1</v>
      </c>
      <c r="AC365" s="57">
        <f t="shared" si="78"/>
        <v>147.1</v>
      </c>
      <c r="AD365" s="57">
        <f t="shared" si="79"/>
        <v>0</v>
      </c>
      <c r="AE365" s="58">
        <f>SUMIFS(Таблица1[8],Таблица1[2],$D365)+SUMIFS(Таблица1[18],Таблица1[2],$D365)</f>
        <v>0</v>
      </c>
      <c r="AF365" s="58">
        <f>SUMIFS(Таблица1[9],Таблица1[2],$D365)+SUMIFS(Таблица1[19],Таблица1[2],$D365)</f>
        <v>0</v>
      </c>
      <c r="AG365" s="59">
        <f t="shared" si="80"/>
        <v>1095.8</v>
      </c>
      <c r="AH365" s="59">
        <f t="shared" si="81"/>
        <v>1095.8</v>
      </c>
      <c r="AI365" s="60">
        <f>551.4-AM365</f>
        <v>404.29999999999995</v>
      </c>
      <c r="AJ365" s="60">
        <f t="shared" si="74"/>
        <v>404.29999999999995</v>
      </c>
      <c r="AK365" s="60">
        <f>SUMIFS(Таблица1[10],Таблица1[2],$D365)</f>
        <v>0</v>
      </c>
      <c r="AL365" s="60">
        <f>SUMIFS(Таблица1[11],Таблица1[2],$D365)</f>
        <v>0</v>
      </c>
      <c r="AM365" s="251">
        <f>201.6-54.5</f>
        <v>147.1</v>
      </c>
      <c r="AN365" s="249">
        <f t="shared" si="75"/>
        <v>0</v>
      </c>
      <c r="AO365" s="249">
        <f>SUMIFS(Таблица1[12],Таблица1[2],$D365)</f>
        <v>147.1</v>
      </c>
      <c r="AP365" s="249">
        <f>SUMIFS(Таблица1[13],Таблица1[2],$D365)</f>
        <v>0</v>
      </c>
      <c r="AQ365" s="61">
        <v>270.5</v>
      </c>
      <c r="AR365" s="61">
        <f t="shared" si="76"/>
        <v>270.5</v>
      </c>
      <c r="AS365" s="60">
        <f>SUMIFS(Таблица1[14],Таблица1[2],$D365)</f>
        <v>0</v>
      </c>
      <c r="AT365" s="60">
        <f>SUMIFS(Таблица1[15],Таблица1[2],$D365)</f>
        <v>0</v>
      </c>
      <c r="AU365" s="61">
        <v>421</v>
      </c>
      <c r="AV365" s="61">
        <f t="shared" si="77"/>
        <v>421</v>
      </c>
      <c r="AW365" s="60">
        <f>SUMIFS(Таблица1[16],Таблица1[2],$D365)</f>
        <v>0</v>
      </c>
      <c r="AX365" s="60">
        <f>SUMIFS(Таблица1[17],Таблица1[2],$D365)</f>
        <v>0</v>
      </c>
      <c r="AY365" s="263"/>
      <c r="AZ365" s="264"/>
      <c r="BA365" s="296">
        <v>0</v>
      </c>
      <c r="BB365" s="296">
        <f t="shared" si="86"/>
        <v>0</v>
      </c>
      <c r="BC365" s="296">
        <v>0</v>
      </c>
      <c r="BD365" s="296">
        <v>0</v>
      </c>
      <c r="BE365" s="285"/>
      <c r="BF365" s="259">
        <v>2465</v>
      </c>
      <c r="BG365" s="260">
        <v>7970</v>
      </c>
      <c r="BH365" s="62" t="s">
        <v>936</v>
      </c>
      <c r="BI365" s="62" t="s">
        <v>935</v>
      </c>
      <c r="BJ365" s="62"/>
      <c r="BK365" s="267"/>
      <c r="BL365" s="267"/>
      <c r="BM365" s="267" t="s">
        <v>1649</v>
      </c>
      <c r="BN365" s="268"/>
      <c r="BO365" s="62">
        <v>29</v>
      </c>
      <c r="BP365" s="63">
        <v>31386</v>
      </c>
      <c r="BQ365" s="64" t="s">
        <v>1131</v>
      </c>
      <c r="BR365" s="372" t="s">
        <v>2747</v>
      </c>
      <c r="BS365" s="62"/>
      <c r="BT365" s="323"/>
      <c r="BU365" s="62"/>
      <c r="BV365" s="323"/>
      <c r="BW365" s="62"/>
      <c r="BX365" s="338"/>
      <c r="BY365" s="336"/>
    </row>
    <row r="366" spans="1:77" ht="13.15" hidden="1" customHeight="1" outlineLevel="1" x14ac:dyDescent="0.2">
      <c r="A366" s="50">
        <f t="shared" si="83"/>
        <v>361</v>
      </c>
      <c r="B366" s="51">
        <v>66</v>
      </c>
      <c r="C366" s="51">
        <v>116</v>
      </c>
      <c r="D366" s="18" t="s">
        <v>491</v>
      </c>
      <c r="E366" s="18">
        <v>10</v>
      </c>
      <c r="F366" s="18">
        <v>1</v>
      </c>
      <c r="G366" s="52">
        <v>1</v>
      </c>
      <c r="H366" s="237"/>
      <c r="I366" s="65">
        <v>1953</v>
      </c>
      <c r="J366" s="349">
        <v>3</v>
      </c>
      <c r="K366" s="346">
        <f t="shared" si="84"/>
        <v>4</v>
      </c>
      <c r="L366" s="346">
        <v>1</v>
      </c>
      <c r="M366" s="349">
        <v>3</v>
      </c>
      <c r="N366" s="255">
        <f t="shared" si="82"/>
        <v>1</v>
      </c>
      <c r="O366" s="310">
        <v>30</v>
      </c>
      <c r="P366" s="66">
        <v>3</v>
      </c>
      <c r="Q366" s="66"/>
      <c r="R366" s="66">
        <v>0</v>
      </c>
      <c r="S366" s="66">
        <v>21</v>
      </c>
      <c r="T366" s="66">
        <v>9</v>
      </c>
      <c r="U366" s="66">
        <v>0</v>
      </c>
      <c r="V366" s="66">
        <v>0</v>
      </c>
      <c r="W366" s="54">
        <v>0</v>
      </c>
      <c r="X366" s="55">
        <f>SUMIFS(Таблица3[Кол-во квартир],Таблица3[Адрес МКД],$D366)</f>
        <v>26</v>
      </c>
      <c r="Y366" s="56">
        <f t="shared" si="85"/>
        <v>3053.7799999999997</v>
      </c>
      <c r="Z366" s="253">
        <f>SUMIFS(Таблица3[Площадь жилая],Таблица3[Адрес МКД],$D366)</f>
        <v>1562.98</v>
      </c>
      <c r="AA366" s="261">
        <f>SUMIFS(Таблица3[Площадь нежилых помещений],Таблица3[Адрес МКД],$D366)</f>
        <v>175.2</v>
      </c>
      <c r="AB366" s="252">
        <f>SUMIFS(Таблица1[1],Таблица1[2],$D366)</f>
        <v>175.2</v>
      </c>
      <c r="AC366" s="57">
        <f t="shared" si="78"/>
        <v>175.2</v>
      </c>
      <c r="AD366" s="57">
        <f t="shared" si="79"/>
        <v>0</v>
      </c>
      <c r="AE366" s="58">
        <f>SUMIFS(Таблица1[8],Таблица1[2],$D366)+SUMIFS(Таблица1[18],Таблица1[2],$D366)</f>
        <v>175.2</v>
      </c>
      <c r="AF366" s="58">
        <f>SUMIFS(Таблица1[9],Таблица1[2],$D366)+SUMIFS(Таблица1[19],Таблица1[2],$D366)</f>
        <v>0</v>
      </c>
      <c r="AG366" s="59">
        <f t="shared" si="80"/>
        <v>1315.6</v>
      </c>
      <c r="AH366" s="59">
        <f t="shared" si="81"/>
        <v>1315.6</v>
      </c>
      <c r="AI366" s="60">
        <f>329.4-AM366</f>
        <v>329.4</v>
      </c>
      <c r="AJ366" s="60">
        <f t="shared" si="74"/>
        <v>329.4</v>
      </c>
      <c r="AK366" s="60">
        <f>SUMIFS(Таблица1[10],Таблица1[2],$D366)</f>
        <v>0</v>
      </c>
      <c r="AL366" s="60">
        <f>SUMIFS(Таблица1[11],Таблица1[2],$D366)</f>
        <v>0</v>
      </c>
      <c r="AM366" s="251">
        <v>0</v>
      </c>
      <c r="AN366" s="249">
        <f t="shared" si="75"/>
        <v>0</v>
      </c>
      <c r="AO366" s="249">
        <f>SUMIFS(Таблица1[12],Таблица1[2],$D366)</f>
        <v>0</v>
      </c>
      <c r="AP366" s="249">
        <f>SUMIFS(Таблица1[13],Таблица1[2],$D366)</f>
        <v>0</v>
      </c>
      <c r="AQ366" s="61">
        <v>246.2</v>
      </c>
      <c r="AR366" s="61">
        <f t="shared" si="76"/>
        <v>246.2</v>
      </c>
      <c r="AS366" s="60">
        <f>SUMIFS(Таблица1[14],Таблица1[2],$D366)</f>
        <v>0</v>
      </c>
      <c r="AT366" s="60">
        <f>SUMIFS(Таблица1[15],Таблица1[2],$D366)</f>
        <v>0</v>
      </c>
      <c r="AU366" s="61">
        <v>740</v>
      </c>
      <c r="AV366" s="61">
        <f t="shared" si="77"/>
        <v>740</v>
      </c>
      <c r="AW366" s="60">
        <f>SUMIFS(Таблица1[16],Таблица1[2],$D366)</f>
        <v>0</v>
      </c>
      <c r="AX366" s="60">
        <f>SUMIFS(Таблица1[17],Таблица1[2],$D366)</f>
        <v>0</v>
      </c>
      <c r="AY366" s="263"/>
      <c r="AZ366" s="264"/>
      <c r="BA366" s="296">
        <v>0</v>
      </c>
      <c r="BB366" s="296">
        <f t="shared" si="86"/>
        <v>0</v>
      </c>
      <c r="BC366" s="296">
        <v>0</v>
      </c>
      <c r="BD366" s="296">
        <v>0</v>
      </c>
      <c r="BE366" s="285"/>
      <c r="BF366" s="259">
        <v>2032</v>
      </c>
      <c r="BG366" s="260">
        <f>7939+2</f>
        <v>7941</v>
      </c>
      <c r="BH366" s="62" t="s">
        <v>936</v>
      </c>
      <c r="BI366" s="62" t="s">
        <v>935</v>
      </c>
      <c r="BJ366" s="62"/>
      <c r="BK366" s="267"/>
      <c r="BL366" s="267"/>
      <c r="BM366" s="267" t="s">
        <v>1649</v>
      </c>
      <c r="BN366" s="268"/>
      <c r="BO366" s="62">
        <v>36</v>
      </c>
      <c r="BP366" s="63">
        <v>33150</v>
      </c>
      <c r="BQ366" s="64" t="s">
        <v>1131</v>
      </c>
      <c r="BR366" s="372" t="s">
        <v>2747</v>
      </c>
      <c r="BS366" s="62"/>
      <c r="BT366" s="323"/>
      <c r="BU366" s="62"/>
      <c r="BV366" s="323"/>
      <c r="BW366" s="62"/>
      <c r="BX366" s="338"/>
      <c r="BY366" s="336"/>
    </row>
    <row r="367" spans="1:77" ht="13.15" hidden="1" customHeight="1" outlineLevel="1" x14ac:dyDescent="0.2">
      <c r="A367" s="50">
        <f t="shared" si="83"/>
        <v>362</v>
      </c>
      <c r="B367" s="51">
        <v>67</v>
      </c>
      <c r="C367" s="51">
        <v>117</v>
      </c>
      <c r="D367" s="18" t="s">
        <v>492</v>
      </c>
      <c r="E367" s="18">
        <v>10</v>
      </c>
      <c r="F367" s="18">
        <v>1</v>
      </c>
      <c r="G367" s="52">
        <v>1</v>
      </c>
      <c r="H367" s="237"/>
      <c r="I367" s="65">
        <v>1952</v>
      </c>
      <c r="J367" s="349">
        <v>3</v>
      </c>
      <c r="K367" s="346">
        <f t="shared" si="84"/>
        <v>4</v>
      </c>
      <c r="L367" s="346">
        <v>1</v>
      </c>
      <c r="M367" s="349">
        <v>3</v>
      </c>
      <c r="N367" s="255">
        <f t="shared" si="82"/>
        <v>0</v>
      </c>
      <c r="O367" s="310">
        <v>30</v>
      </c>
      <c r="P367" s="66">
        <v>0</v>
      </c>
      <c r="Q367" s="66"/>
      <c r="R367" s="66">
        <v>0</v>
      </c>
      <c r="S367" s="66">
        <v>21</v>
      </c>
      <c r="T367" s="66">
        <v>9</v>
      </c>
      <c r="U367" s="66">
        <v>0</v>
      </c>
      <c r="V367" s="66">
        <v>0</v>
      </c>
      <c r="W367" s="54">
        <v>0</v>
      </c>
      <c r="X367" s="55">
        <f>SUMIFS(Таблица3[Кол-во квартир],Таблица3[Адрес МКД],$D367)</f>
        <v>30</v>
      </c>
      <c r="Y367" s="56">
        <f t="shared" si="85"/>
        <v>3143</v>
      </c>
      <c r="Z367" s="253">
        <f>SUMIFS(Таблица3[Площадь жилая],Таблица3[Адрес МКД],$D367)</f>
        <v>1746.3</v>
      </c>
      <c r="AA367" s="261">
        <f>SUMIFS(Таблица3[Площадь нежилых помещений],Таблица3[Адрес МКД],$D367)</f>
        <v>0</v>
      </c>
      <c r="AB367" s="252">
        <f>SUMIFS(Таблица1[1],Таблица1[2],$D367)</f>
        <v>0</v>
      </c>
      <c r="AC367" s="57">
        <f t="shared" si="78"/>
        <v>0</v>
      </c>
      <c r="AD367" s="57">
        <f t="shared" si="79"/>
        <v>0</v>
      </c>
      <c r="AE367" s="58">
        <f>SUMIFS(Таблица1[8],Таблица1[2],$D367)+SUMIFS(Таблица1[18],Таблица1[2],$D367)</f>
        <v>0</v>
      </c>
      <c r="AF367" s="58">
        <f>SUMIFS(Таблица1[9],Таблица1[2],$D367)+SUMIFS(Таблица1[19],Таблица1[2],$D367)</f>
        <v>0</v>
      </c>
      <c r="AG367" s="59">
        <f t="shared" si="80"/>
        <v>1396.6999999999998</v>
      </c>
      <c r="AH367" s="59">
        <f t="shared" si="81"/>
        <v>1396.6999999999998</v>
      </c>
      <c r="AI367" s="60">
        <f>338.3-AM367</f>
        <v>338.3</v>
      </c>
      <c r="AJ367" s="60">
        <f t="shared" si="74"/>
        <v>338.3</v>
      </c>
      <c r="AK367" s="60">
        <f>SUMIFS(Таблица1[10],Таблица1[2],$D367)</f>
        <v>0</v>
      </c>
      <c r="AL367" s="60">
        <f>SUMIFS(Таблица1[11],Таблица1[2],$D367)</f>
        <v>0</v>
      </c>
      <c r="AM367" s="251">
        <v>0</v>
      </c>
      <c r="AN367" s="249">
        <f t="shared" si="75"/>
        <v>0</v>
      </c>
      <c r="AO367" s="249">
        <f>SUMIFS(Таблица1[12],Таблица1[2],$D367)</f>
        <v>0</v>
      </c>
      <c r="AP367" s="249">
        <f>SUMIFS(Таблица1[13],Таблица1[2],$D367)</f>
        <v>0</v>
      </c>
      <c r="AQ367" s="61">
        <v>247</v>
      </c>
      <c r="AR367" s="61">
        <f t="shared" si="76"/>
        <v>247</v>
      </c>
      <c r="AS367" s="60">
        <f>SUMIFS(Таблица1[14],Таблица1[2],$D367)</f>
        <v>0</v>
      </c>
      <c r="AT367" s="60">
        <f>SUMIFS(Таблица1[15],Таблица1[2],$D367)</f>
        <v>0</v>
      </c>
      <c r="AU367" s="61">
        <v>811.4</v>
      </c>
      <c r="AV367" s="61">
        <f t="shared" si="77"/>
        <v>811.4</v>
      </c>
      <c r="AW367" s="60">
        <f>SUMIFS(Таблица1[16],Таблица1[2],$D367)</f>
        <v>0</v>
      </c>
      <c r="AX367" s="60">
        <f>SUMIFS(Таблица1[17],Таблица1[2],$D367)</f>
        <v>0</v>
      </c>
      <c r="AY367" s="263"/>
      <c r="AZ367" s="264"/>
      <c r="BA367" s="296">
        <v>0</v>
      </c>
      <c r="BB367" s="296">
        <f t="shared" si="86"/>
        <v>0</v>
      </c>
      <c r="BC367" s="296">
        <v>0</v>
      </c>
      <c r="BD367" s="296">
        <v>0</v>
      </c>
      <c r="BE367" s="285"/>
      <c r="BF367" s="259">
        <v>2040</v>
      </c>
      <c r="BG367" s="260">
        <v>7984</v>
      </c>
      <c r="BH367" s="62" t="s">
        <v>936</v>
      </c>
      <c r="BI367" s="62" t="s">
        <v>935</v>
      </c>
      <c r="BJ367" s="62"/>
      <c r="BK367" s="267"/>
      <c r="BL367" s="267"/>
      <c r="BM367" s="267" t="s">
        <v>1649</v>
      </c>
      <c r="BN367" s="268"/>
      <c r="BO367" s="62">
        <v>36</v>
      </c>
      <c r="BP367" s="63">
        <v>33150</v>
      </c>
      <c r="BQ367" s="64" t="s">
        <v>1131</v>
      </c>
      <c r="BR367" s="372" t="s">
        <v>2747</v>
      </c>
      <c r="BS367" s="62"/>
      <c r="BT367" s="323"/>
      <c r="BU367" s="62"/>
      <c r="BV367" s="323"/>
      <c r="BW367" s="62"/>
      <c r="BX367" s="338"/>
      <c r="BY367" s="336"/>
    </row>
    <row r="368" spans="1:77" ht="13.15" hidden="1" customHeight="1" outlineLevel="1" x14ac:dyDescent="0.2">
      <c r="A368" s="50">
        <f t="shared" si="83"/>
        <v>363</v>
      </c>
      <c r="B368" s="51">
        <v>81</v>
      </c>
      <c r="C368" s="51">
        <v>118</v>
      </c>
      <c r="D368" s="18" t="s">
        <v>427</v>
      </c>
      <c r="E368" s="18">
        <v>9</v>
      </c>
      <c r="F368" s="18">
        <v>1</v>
      </c>
      <c r="G368" s="52">
        <v>1</v>
      </c>
      <c r="H368" s="237"/>
      <c r="I368" s="65">
        <v>1949</v>
      </c>
      <c r="J368" s="349">
        <v>3</v>
      </c>
      <c r="K368" s="346">
        <f t="shared" si="84"/>
        <v>4</v>
      </c>
      <c r="L368" s="346">
        <v>1</v>
      </c>
      <c r="M368" s="349">
        <v>2</v>
      </c>
      <c r="N368" s="255">
        <f t="shared" si="82"/>
        <v>0</v>
      </c>
      <c r="O368" s="310">
        <v>24</v>
      </c>
      <c r="P368" s="66">
        <v>1</v>
      </c>
      <c r="Q368" s="66"/>
      <c r="R368" s="66">
        <v>9</v>
      </c>
      <c r="S368" s="66">
        <v>8</v>
      </c>
      <c r="T368" s="66">
        <v>7</v>
      </c>
      <c r="U368" s="66">
        <v>0</v>
      </c>
      <c r="V368" s="66">
        <v>0</v>
      </c>
      <c r="W368" s="54">
        <v>0</v>
      </c>
      <c r="X368" s="55">
        <f>SUMIFS(Таблица3[Кол-во квартир],Таблица3[Адрес МКД],$D368)</f>
        <v>23</v>
      </c>
      <c r="Y368" s="56">
        <f t="shared" si="85"/>
        <v>1973.8</v>
      </c>
      <c r="Z368" s="253">
        <f>SUMIFS(Таблица3[Площадь жилая],Таблица3[Адрес МКД],$D368)</f>
        <v>1000.8</v>
      </c>
      <c r="AA368" s="261">
        <f>SUMIFS(Таблица3[Площадь нежилых помещений],Таблица3[Адрес МКД],$D368)</f>
        <v>138</v>
      </c>
      <c r="AB368" s="252">
        <f>SUMIFS(Таблица1[1],Таблица1[2],$D368)</f>
        <v>138</v>
      </c>
      <c r="AC368" s="57">
        <f t="shared" si="78"/>
        <v>138</v>
      </c>
      <c r="AD368" s="57">
        <f t="shared" si="79"/>
        <v>0</v>
      </c>
      <c r="AE368" s="58">
        <f>SUMIFS(Таблица1[8],Таблица1[2],$D368)+SUMIFS(Таблица1[18],Таблица1[2],$D368)</f>
        <v>59.5</v>
      </c>
      <c r="AF368" s="58">
        <f>SUMIFS(Таблица1[9],Таблица1[2],$D368)+SUMIFS(Таблица1[19],Таблица1[2],$D368)</f>
        <v>0</v>
      </c>
      <c r="AG368" s="59">
        <f t="shared" si="80"/>
        <v>835</v>
      </c>
      <c r="AH368" s="59">
        <f t="shared" si="81"/>
        <v>835</v>
      </c>
      <c r="AI368" s="60">
        <f>330.8-AM368</f>
        <v>330.8</v>
      </c>
      <c r="AJ368" s="60">
        <f t="shared" si="74"/>
        <v>252.3</v>
      </c>
      <c r="AK368" s="60">
        <f>SUMIFS(Таблица1[10],Таблица1[2],$D368)</f>
        <v>78.5</v>
      </c>
      <c r="AL368" s="60">
        <f>SUMIFS(Таблица1[11],Таблица1[2],$D368)</f>
        <v>0</v>
      </c>
      <c r="AM368" s="251">
        <v>0</v>
      </c>
      <c r="AN368" s="249">
        <f t="shared" si="75"/>
        <v>0</v>
      </c>
      <c r="AO368" s="249">
        <f>SUMIFS(Таблица1[12],Таблица1[2],$D368)</f>
        <v>0</v>
      </c>
      <c r="AP368" s="249">
        <f>SUMIFS(Таблица1[13],Таблица1[2],$D368)</f>
        <v>0</v>
      </c>
      <c r="AQ368" s="61">
        <v>131.6</v>
      </c>
      <c r="AR368" s="61">
        <f t="shared" si="76"/>
        <v>131.6</v>
      </c>
      <c r="AS368" s="60">
        <f>SUMIFS(Таблица1[14],Таблица1[2],$D368)</f>
        <v>0</v>
      </c>
      <c r="AT368" s="60">
        <f>SUMIFS(Таблица1[15],Таблица1[2],$D368)</f>
        <v>0</v>
      </c>
      <c r="AU368" s="61">
        <v>451.1</v>
      </c>
      <c r="AV368" s="61">
        <f t="shared" si="77"/>
        <v>451.1</v>
      </c>
      <c r="AW368" s="60">
        <f>SUMIFS(Таблица1[16],Таблица1[2],$D368)</f>
        <v>0</v>
      </c>
      <c r="AX368" s="60">
        <f>SUMIFS(Таблица1[17],Таблица1[2],$D368)</f>
        <v>0</v>
      </c>
      <c r="AY368" s="263"/>
      <c r="AZ368" s="264"/>
      <c r="BA368" s="296">
        <v>0</v>
      </c>
      <c r="BB368" s="296">
        <f t="shared" si="86"/>
        <v>0</v>
      </c>
      <c r="BC368" s="296">
        <v>0</v>
      </c>
      <c r="BD368" s="296">
        <v>0</v>
      </c>
      <c r="BE368" s="285"/>
      <c r="BF368" s="259">
        <v>1310</v>
      </c>
      <c r="BG368" s="260">
        <v>5111</v>
      </c>
      <c r="BH368" s="62" t="s">
        <v>939</v>
      </c>
      <c r="BI368" s="62" t="s">
        <v>935</v>
      </c>
      <c r="BJ368" s="62" t="s">
        <v>944</v>
      </c>
      <c r="BK368" s="267"/>
      <c r="BL368" s="267"/>
      <c r="BM368" s="267" t="s">
        <v>1649</v>
      </c>
      <c r="BN368" s="268"/>
      <c r="BO368" s="62">
        <v>30</v>
      </c>
      <c r="BP368" s="63">
        <v>30362</v>
      </c>
      <c r="BQ368" s="64" t="s">
        <v>1131</v>
      </c>
      <c r="BR368" s="372" t="s">
        <v>2747</v>
      </c>
      <c r="BS368" s="62"/>
      <c r="BT368" s="323"/>
      <c r="BU368" s="62"/>
      <c r="BV368" s="323"/>
      <c r="BW368" s="62"/>
      <c r="BX368" s="336">
        <v>20</v>
      </c>
      <c r="BY368" s="336"/>
    </row>
    <row r="369" spans="1:77" ht="13.15" hidden="1" customHeight="1" outlineLevel="1" x14ac:dyDescent="0.2">
      <c r="A369" s="50">
        <f t="shared" si="83"/>
        <v>364</v>
      </c>
      <c r="B369" s="51">
        <v>53</v>
      </c>
      <c r="C369" s="51">
        <v>78</v>
      </c>
      <c r="D369" s="18" t="s">
        <v>547</v>
      </c>
      <c r="E369" s="18">
        <v>11</v>
      </c>
      <c r="F369" s="18">
        <v>2</v>
      </c>
      <c r="G369" s="52">
        <v>1</v>
      </c>
      <c r="H369" s="237">
        <v>1</v>
      </c>
      <c r="I369" s="65">
        <v>1956</v>
      </c>
      <c r="J369" s="349">
        <v>5</v>
      </c>
      <c r="K369" s="346">
        <f t="shared" si="84"/>
        <v>6</v>
      </c>
      <c r="L369" s="346">
        <v>1</v>
      </c>
      <c r="M369" s="349">
        <v>4</v>
      </c>
      <c r="N369" s="255">
        <f t="shared" si="82"/>
        <v>2</v>
      </c>
      <c r="O369" s="310">
        <v>60</v>
      </c>
      <c r="P369" s="66">
        <v>2</v>
      </c>
      <c r="Q369" s="66"/>
      <c r="R369" s="66">
        <v>0</v>
      </c>
      <c r="S369" s="66">
        <v>25</v>
      </c>
      <c r="T369" s="66">
        <v>31</v>
      </c>
      <c r="U369" s="66">
        <v>4</v>
      </c>
      <c r="V369" s="66">
        <v>0</v>
      </c>
      <c r="W369" s="54">
        <v>0</v>
      </c>
      <c r="X369" s="55">
        <f>SUMIFS(Таблица3[Кол-во квартир],Таблица3[Адрес МКД],$D369)</f>
        <v>56</v>
      </c>
      <c r="Y369" s="56">
        <f t="shared" si="85"/>
        <v>7023.5</v>
      </c>
      <c r="Z369" s="253">
        <f>SUMIFS(Таблица3[Площадь жилая],Таблица3[Адрес МКД],$D369)</f>
        <v>4063</v>
      </c>
      <c r="AA369" s="261">
        <f>SUMIFS(Таблица3[Площадь нежилых помещений],Таблица3[Адрес МКД],$D369)</f>
        <v>899.1</v>
      </c>
      <c r="AB369" s="252">
        <f>SUMIFS(Таблица1[1],Таблица1[2],$D369)</f>
        <v>611.1</v>
      </c>
      <c r="AC369" s="57">
        <f t="shared" si="78"/>
        <v>611.09999999999991</v>
      </c>
      <c r="AD369" s="57">
        <f t="shared" si="79"/>
        <v>0</v>
      </c>
      <c r="AE369" s="58">
        <f>SUMIFS(Таблица1[8],Таблица1[2],$D369)+SUMIFS(Таблица1[18],Таблица1[2],$D369)</f>
        <v>315.39999999999998</v>
      </c>
      <c r="AF369" s="58">
        <f>SUMIFS(Таблица1[9],Таблица1[2],$D369)+SUMIFS(Таблица1[19],Таблица1[2],$D369)</f>
        <v>0</v>
      </c>
      <c r="AG369" s="59">
        <f t="shared" si="80"/>
        <v>2349.3999999999996</v>
      </c>
      <c r="AH369" s="59">
        <f t="shared" si="81"/>
        <v>2349.3999999999996</v>
      </c>
      <c r="AI369" s="60">
        <f>828.3-AM369</f>
        <v>636.59999999999991</v>
      </c>
      <c r="AJ369" s="60">
        <f t="shared" si="74"/>
        <v>532.59999999999991</v>
      </c>
      <c r="AK369" s="60">
        <f>SUMIFS(Таблица1[10],Таблица1[2],$D369)</f>
        <v>104</v>
      </c>
      <c r="AL369" s="60">
        <f>SUMIFS(Таблица1[11],Таблица1[2],$D369)</f>
        <v>0</v>
      </c>
      <c r="AM369" s="251">
        <f>191.7+153.4+61.1+73.5-153.4-61.1-73.5</f>
        <v>191.70000000000005</v>
      </c>
      <c r="AN369" s="249">
        <f t="shared" si="75"/>
        <v>5.6843418860808015E-14</v>
      </c>
      <c r="AO369" s="249">
        <f>SUMIFS(Таблица1[12],Таблица1[2],$D369)</f>
        <v>191.7</v>
      </c>
      <c r="AP369" s="249">
        <f>SUMIFS(Таблица1[13],Таблица1[2],$D369)</f>
        <v>0</v>
      </c>
      <c r="AQ369" s="61">
        <v>414</v>
      </c>
      <c r="AR369" s="61">
        <f t="shared" si="76"/>
        <v>414</v>
      </c>
      <c r="AS369" s="60">
        <f>SUMIFS(Таблица1[14],Таблица1[2],$D369)</f>
        <v>0</v>
      </c>
      <c r="AT369" s="60">
        <f>SUMIFS(Таблица1[15],Таблица1[2],$D369)</f>
        <v>0</v>
      </c>
      <c r="AU369" s="61">
        <v>1402.8</v>
      </c>
      <c r="AV369" s="61">
        <f t="shared" si="77"/>
        <v>1402.8</v>
      </c>
      <c r="AW369" s="60">
        <f>SUMIFS(Таблица1[16],Таблица1[2],$D369)</f>
        <v>0</v>
      </c>
      <c r="AX369" s="60">
        <f>SUMIFS(Таблица1[17],Таблица1[2],$D369)</f>
        <v>0</v>
      </c>
      <c r="AY369" s="263"/>
      <c r="AZ369" s="264"/>
      <c r="BA369" s="296">
        <v>0</v>
      </c>
      <c r="BB369" s="296">
        <f t="shared" si="86"/>
        <v>0</v>
      </c>
      <c r="BC369" s="296">
        <v>0</v>
      </c>
      <c r="BD369" s="296">
        <v>0</v>
      </c>
      <c r="BE369" s="285"/>
      <c r="BF369" s="259">
        <v>3736</v>
      </c>
      <c r="BG369" s="260">
        <f>4100+4063+8118+2115</f>
        <v>18396</v>
      </c>
      <c r="BH369" s="62" t="s">
        <v>936</v>
      </c>
      <c r="BI369" s="62" t="s">
        <v>935</v>
      </c>
      <c r="BJ369" s="62"/>
      <c r="BK369" s="267"/>
      <c r="BL369" s="267"/>
      <c r="BM369" s="267" t="s">
        <v>1649</v>
      </c>
      <c r="BN369" s="268"/>
      <c r="BO369" s="62">
        <v>24</v>
      </c>
      <c r="BP369" s="63">
        <v>33458</v>
      </c>
      <c r="BQ369" s="64" t="s">
        <v>1131</v>
      </c>
      <c r="BR369" s="372" t="s">
        <v>2747</v>
      </c>
      <c r="BS369" s="62"/>
      <c r="BT369" s="323"/>
      <c r="BU369" s="62"/>
      <c r="BV369" s="323"/>
      <c r="BW369" s="62"/>
      <c r="BX369" s="336">
        <v>39</v>
      </c>
      <c r="BY369" s="336"/>
    </row>
    <row r="370" spans="1:77" ht="13.15" hidden="1" customHeight="1" outlineLevel="1" x14ac:dyDescent="0.2">
      <c r="A370" s="50">
        <f t="shared" si="83"/>
        <v>365</v>
      </c>
      <c r="B370" s="51">
        <v>82</v>
      </c>
      <c r="C370" s="51">
        <v>119</v>
      </c>
      <c r="D370" s="18" t="s">
        <v>428</v>
      </c>
      <c r="E370" s="18">
        <v>9</v>
      </c>
      <c r="F370" s="18">
        <v>1</v>
      </c>
      <c r="G370" s="52">
        <v>1</v>
      </c>
      <c r="H370" s="237">
        <v>1</v>
      </c>
      <c r="I370" s="65">
        <v>1949</v>
      </c>
      <c r="J370" s="349">
        <v>3</v>
      </c>
      <c r="K370" s="346">
        <f t="shared" si="84"/>
        <v>4</v>
      </c>
      <c r="L370" s="346">
        <v>1</v>
      </c>
      <c r="M370" s="349">
        <v>4</v>
      </c>
      <c r="N370" s="255">
        <f t="shared" si="82"/>
        <v>0</v>
      </c>
      <c r="O370" s="310">
        <v>42</v>
      </c>
      <c r="P370" s="66">
        <v>8</v>
      </c>
      <c r="Q370" s="66"/>
      <c r="R370" s="66">
        <v>11</v>
      </c>
      <c r="S370" s="66">
        <v>24</v>
      </c>
      <c r="T370" s="66">
        <v>7</v>
      </c>
      <c r="U370" s="66">
        <v>0</v>
      </c>
      <c r="V370" s="66">
        <v>0</v>
      </c>
      <c r="W370" s="54">
        <v>0</v>
      </c>
      <c r="X370" s="55">
        <f>SUMIFS(Таблица3[Кол-во квартир],Таблица3[Адрес МКД],$D370)</f>
        <v>34</v>
      </c>
      <c r="Y370" s="56">
        <f t="shared" ref="Y370:Y389" si="87">Z370+AB370+AG370+AN370</f>
        <v>3894.6</v>
      </c>
      <c r="Z370" s="253">
        <f>SUMIFS(Таблица3[Площадь жилая],Таблица3[Адрес МКД],$D370)</f>
        <v>1788.2</v>
      </c>
      <c r="AA370" s="261">
        <f>SUMIFS(Таблица3[Площадь нежилых помещений],Таблица3[Адрес МКД],$D370)</f>
        <v>460.8</v>
      </c>
      <c r="AB370" s="252">
        <f>SUMIFS(Таблица1[1],Таблица1[2],$D370)</f>
        <v>625.4</v>
      </c>
      <c r="AC370" s="57">
        <f t="shared" si="78"/>
        <v>460.8</v>
      </c>
      <c r="AD370" s="57">
        <f t="shared" si="79"/>
        <v>164.6</v>
      </c>
      <c r="AE370" s="58">
        <f>SUMIFS(Таблица1[8],Таблица1[2],$D370)+SUMIFS(Таблица1[18],Таблица1[2],$D370)</f>
        <v>352.7</v>
      </c>
      <c r="AF370" s="58">
        <f>SUMIFS(Таблица1[9],Таблица1[2],$D370)+SUMIFS(Таблица1[19],Таблица1[2],$D370)</f>
        <v>3.9</v>
      </c>
      <c r="AG370" s="59">
        <f t="shared" si="80"/>
        <v>1481</v>
      </c>
      <c r="AH370" s="59">
        <f t="shared" si="81"/>
        <v>1641.7</v>
      </c>
      <c r="AI370" s="60">
        <f>540.9-AM370</f>
        <v>540.9</v>
      </c>
      <c r="AJ370" s="60">
        <f t="shared" si="74"/>
        <v>297.5</v>
      </c>
      <c r="AK370" s="60">
        <f>SUMIFS(Таблица1[10],Таблица1[2],$D370)</f>
        <v>91.4</v>
      </c>
      <c r="AL370" s="60">
        <f>SUMIFS(Таблица1[11],Таблица1[2],$D370)</f>
        <v>152</v>
      </c>
      <c r="AM370" s="251">
        <v>0</v>
      </c>
      <c r="AN370" s="249">
        <f t="shared" si="75"/>
        <v>0</v>
      </c>
      <c r="AO370" s="249">
        <f>SUMIFS(Таблица1[12],Таблица1[2],$D370)</f>
        <v>0</v>
      </c>
      <c r="AP370" s="249">
        <f>SUMIFS(Таблица1[13],Таблица1[2],$D370)</f>
        <v>0</v>
      </c>
      <c r="AQ370" s="61">
        <f>276.5</f>
        <v>276.5</v>
      </c>
      <c r="AR370" s="61">
        <f t="shared" si="76"/>
        <v>251.10000000000002</v>
      </c>
      <c r="AS370" s="60">
        <f>SUMIFS(Таблица1[14],Таблица1[2],$D370)</f>
        <v>16.7</v>
      </c>
      <c r="AT370" s="60">
        <f>SUMIFS(Таблица1[15],Таблица1[2],$D370)</f>
        <v>8.6999999999999993</v>
      </c>
      <c r="AU370" s="61">
        <v>932.4</v>
      </c>
      <c r="AV370" s="61">
        <f t="shared" si="77"/>
        <v>932.4</v>
      </c>
      <c r="AW370" s="60">
        <f>SUMIFS(Таблица1[16],Таблица1[2],$D370)</f>
        <v>0</v>
      </c>
      <c r="AX370" s="60">
        <f>SUMIFS(Таблица1[17],Таблица1[2],$D370)</f>
        <v>0</v>
      </c>
      <c r="AY370" s="263"/>
      <c r="AZ370" s="264"/>
      <c r="BA370" s="296">
        <v>0</v>
      </c>
      <c r="BB370" s="296">
        <f t="shared" si="86"/>
        <v>0</v>
      </c>
      <c r="BC370" s="296">
        <v>0</v>
      </c>
      <c r="BD370" s="296">
        <v>0</v>
      </c>
      <c r="BE370" s="285"/>
      <c r="BF370" s="259">
        <f>1399+1076</f>
        <v>2475</v>
      </c>
      <c r="BG370" s="260">
        <v>11160</v>
      </c>
      <c r="BH370" s="62" t="s">
        <v>936</v>
      </c>
      <c r="BI370" s="62" t="s">
        <v>935</v>
      </c>
      <c r="BJ370" s="62" t="s">
        <v>944</v>
      </c>
      <c r="BK370" s="267"/>
      <c r="BL370" s="267"/>
      <c r="BM370" s="267" t="s">
        <v>1649</v>
      </c>
      <c r="BN370" s="268"/>
      <c r="BO370" s="62">
        <v>23</v>
      </c>
      <c r="BP370" s="63">
        <v>29928</v>
      </c>
      <c r="BQ370" s="64" t="s">
        <v>1131</v>
      </c>
      <c r="BR370" s="372" t="s">
        <v>2747</v>
      </c>
      <c r="BS370" s="62"/>
      <c r="BT370" s="323"/>
      <c r="BU370" s="62"/>
      <c r="BV370" s="323"/>
      <c r="BW370" s="62"/>
      <c r="BX370" s="338"/>
      <c r="BY370" s="336"/>
    </row>
    <row r="371" spans="1:77" ht="13.15" hidden="1" customHeight="1" outlineLevel="1" x14ac:dyDescent="0.2">
      <c r="A371" s="50">
        <f t="shared" si="83"/>
        <v>366</v>
      </c>
      <c r="B371" s="51">
        <v>54</v>
      </c>
      <c r="C371" s="51">
        <v>79</v>
      </c>
      <c r="D371" s="18" t="s">
        <v>548</v>
      </c>
      <c r="E371" s="18">
        <v>11</v>
      </c>
      <c r="F371" s="18">
        <v>2</v>
      </c>
      <c r="G371" s="52">
        <v>1</v>
      </c>
      <c r="H371" s="237">
        <v>1</v>
      </c>
      <c r="I371" s="65">
        <v>1954</v>
      </c>
      <c r="J371" s="349">
        <v>5</v>
      </c>
      <c r="K371" s="346">
        <f t="shared" si="84"/>
        <v>6</v>
      </c>
      <c r="L371" s="346">
        <v>1</v>
      </c>
      <c r="M371" s="349">
        <v>2</v>
      </c>
      <c r="N371" s="255">
        <f t="shared" si="82"/>
        <v>0</v>
      </c>
      <c r="O371" s="310">
        <v>35</v>
      </c>
      <c r="P371" s="66">
        <v>1</v>
      </c>
      <c r="Q371" s="66"/>
      <c r="R371" s="66">
        <v>0</v>
      </c>
      <c r="S371" s="66">
        <v>20</v>
      </c>
      <c r="T371" s="66">
        <v>15</v>
      </c>
      <c r="U371" s="66">
        <v>0</v>
      </c>
      <c r="V371" s="66">
        <v>0</v>
      </c>
      <c r="W371" s="54">
        <v>0</v>
      </c>
      <c r="X371" s="55">
        <f>SUMIFS(Таблица3[Кол-во квартир],Таблица3[Адрес МКД],$D371)</f>
        <v>34</v>
      </c>
      <c r="Y371" s="56">
        <f t="shared" si="87"/>
        <v>3427.54</v>
      </c>
      <c r="Z371" s="253">
        <f>SUMIFS(Таблица3[Площадь жилая],Таблица3[Адрес МКД],$D371)</f>
        <v>2139.5</v>
      </c>
      <c r="AA371" s="261">
        <f>SUMIFS(Таблица3[Площадь нежилых помещений],Таблица3[Адрес МКД],$D371)</f>
        <v>153</v>
      </c>
      <c r="AB371" s="252">
        <f>SUMIFS(Таблица1[1],Таблица1[2],$D371)</f>
        <v>153</v>
      </c>
      <c r="AC371" s="57">
        <f t="shared" si="78"/>
        <v>153</v>
      </c>
      <c r="AD371" s="57">
        <f t="shared" si="79"/>
        <v>0</v>
      </c>
      <c r="AE371" s="58">
        <f>SUMIFS(Таблица1[8],Таблица1[2],$D371)+SUMIFS(Таблица1[18],Таблица1[2],$D371)</f>
        <v>69</v>
      </c>
      <c r="AF371" s="58">
        <f>SUMIFS(Таблица1[9],Таблица1[2],$D371)+SUMIFS(Таблица1[19],Таблица1[2],$D371)</f>
        <v>0</v>
      </c>
      <c r="AG371" s="59">
        <f t="shared" si="80"/>
        <v>1135.04</v>
      </c>
      <c r="AH371" s="59">
        <f t="shared" si="81"/>
        <v>1135.04</v>
      </c>
      <c r="AI371" s="60">
        <f>412-AM371</f>
        <v>328</v>
      </c>
      <c r="AJ371" s="60">
        <f t="shared" si="74"/>
        <v>328</v>
      </c>
      <c r="AK371" s="60">
        <f>SUMIFS(Таблица1[10],Таблица1[2],$D371)</f>
        <v>0</v>
      </c>
      <c r="AL371" s="60">
        <f>SUMIFS(Таблица1[11],Таблица1[2],$D371)</f>
        <v>0</v>
      </c>
      <c r="AM371" s="251">
        <v>84</v>
      </c>
      <c r="AN371" s="249">
        <f t="shared" si="75"/>
        <v>0</v>
      </c>
      <c r="AO371" s="249">
        <f>SUMIFS(Таблица1[12],Таблица1[2],$D371)</f>
        <v>84</v>
      </c>
      <c r="AP371" s="249">
        <f>SUMIFS(Таблица1[13],Таблица1[2],$D371)</f>
        <v>0</v>
      </c>
      <c r="AQ371" s="61">
        <v>263.7</v>
      </c>
      <c r="AR371" s="61">
        <f t="shared" si="76"/>
        <v>263.7</v>
      </c>
      <c r="AS371" s="60">
        <f>SUMIFS(Таблица1[14],Таблица1[2],$D371)</f>
        <v>0</v>
      </c>
      <c r="AT371" s="60">
        <f>SUMIFS(Таблица1[15],Таблица1[2],$D371)</f>
        <v>0</v>
      </c>
      <c r="AU371" s="61">
        <v>543.34</v>
      </c>
      <c r="AV371" s="61">
        <f t="shared" si="77"/>
        <v>543.34</v>
      </c>
      <c r="AW371" s="60">
        <f>SUMIFS(Таблица1[16],Таблица1[2],$D371)</f>
        <v>0</v>
      </c>
      <c r="AX371" s="60">
        <f>SUMIFS(Таблица1[17],Таблица1[2],$D371)</f>
        <v>0</v>
      </c>
      <c r="AY371" s="263"/>
      <c r="AZ371" s="264"/>
      <c r="BA371" s="296">
        <v>0</v>
      </c>
      <c r="BB371" s="296">
        <f t="shared" si="86"/>
        <v>0</v>
      </c>
      <c r="BC371" s="296">
        <v>0</v>
      </c>
      <c r="BD371" s="296">
        <v>0</v>
      </c>
      <c r="BE371" s="285"/>
      <c r="BF371" s="259">
        <v>1789</v>
      </c>
      <c r="BG371" s="260">
        <f>4026+5293</f>
        <v>9319</v>
      </c>
      <c r="BH371" s="62" t="s">
        <v>936</v>
      </c>
      <c r="BI371" s="62" t="s">
        <v>935</v>
      </c>
      <c r="BJ371" s="62" t="s">
        <v>944</v>
      </c>
      <c r="BK371" s="267"/>
      <c r="BL371" s="267"/>
      <c r="BM371" s="267" t="s">
        <v>1649</v>
      </c>
      <c r="BN371" s="268"/>
      <c r="BO371" s="62">
        <v>24</v>
      </c>
      <c r="BP371" s="63">
        <v>33426</v>
      </c>
      <c r="BQ371" s="64" t="s">
        <v>1131</v>
      </c>
      <c r="BR371" s="372" t="s">
        <v>2747</v>
      </c>
      <c r="BS371" s="62"/>
      <c r="BT371" s="323"/>
      <c r="BU371" s="62"/>
      <c r="BV371" s="323"/>
      <c r="BW371" s="62"/>
      <c r="BX371" s="336">
        <v>26</v>
      </c>
      <c r="BY371" s="336"/>
    </row>
    <row r="372" spans="1:77" ht="13.15" hidden="1" customHeight="1" outlineLevel="1" x14ac:dyDescent="0.2">
      <c r="A372" s="50">
        <f t="shared" si="83"/>
        <v>367</v>
      </c>
      <c r="B372" s="51">
        <v>55</v>
      </c>
      <c r="C372" s="51">
        <v>80</v>
      </c>
      <c r="D372" s="18" t="s">
        <v>549</v>
      </c>
      <c r="E372" s="18">
        <v>11</v>
      </c>
      <c r="F372" s="18">
        <v>2</v>
      </c>
      <c r="G372" s="52">
        <v>1</v>
      </c>
      <c r="H372" s="237">
        <v>1</v>
      </c>
      <c r="I372" s="65">
        <v>1953</v>
      </c>
      <c r="J372" s="349">
        <v>4</v>
      </c>
      <c r="K372" s="356">
        <f t="shared" si="84"/>
        <v>5</v>
      </c>
      <c r="L372" s="356">
        <v>1</v>
      </c>
      <c r="M372" s="349">
        <v>3</v>
      </c>
      <c r="N372" s="255">
        <f t="shared" si="82"/>
        <v>2</v>
      </c>
      <c r="O372" s="310">
        <v>48</v>
      </c>
      <c r="P372" s="66">
        <v>7</v>
      </c>
      <c r="Q372" s="66"/>
      <c r="R372" s="66">
        <v>0</v>
      </c>
      <c r="S372" s="66">
        <v>32</v>
      </c>
      <c r="T372" s="66">
        <v>8</v>
      </c>
      <c r="U372" s="66">
        <v>8</v>
      </c>
      <c r="V372" s="66">
        <v>0</v>
      </c>
      <c r="W372" s="54">
        <v>0</v>
      </c>
      <c r="X372" s="55">
        <f>SUMIFS(Таблица3[Кол-во квартир],Таблица3[Адрес МКД],$D372)</f>
        <v>39</v>
      </c>
      <c r="Y372" s="56">
        <f t="shared" si="87"/>
        <v>4353.07</v>
      </c>
      <c r="Z372" s="253">
        <f>SUMIFS(Таблица3[Площадь жилая],Таблица3[Адрес МКД],$D372)</f>
        <v>2501.4</v>
      </c>
      <c r="AA372" s="261">
        <f>SUMIFS(Таблица3[Площадь нежилых помещений],Таблица3[Адрес МКД],$D372)</f>
        <v>667.9</v>
      </c>
      <c r="AB372" s="252">
        <f>SUMIFS(Таблица1[1],Таблица1[2],$D372)</f>
        <v>667.90000000000009</v>
      </c>
      <c r="AC372" s="57">
        <f t="shared" si="78"/>
        <v>667.90000000000009</v>
      </c>
      <c r="AD372" s="57">
        <f t="shared" si="79"/>
        <v>0</v>
      </c>
      <c r="AE372" s="58">
        <f>SUMIFS(Таблица1[8],Таблица1[2],$D372)+SUMIFS(Таблица1[18],Таблица1[2],$D372)</f>
        <v>463.6</v>
      </c>
      <c r="AF372" s="58">
        <f>SUMIFS(Таблица1[9],Таблица1[2],$D372)+SUMIFS(Таблица1[19],Таблица1[2],$D372)</f>
        <v>0</v>
      </c>
      <c r="AG372" s="59">
        <f t="shared" si="80"/>
        <v>1183.77</v>
      </c>
      <c r="AH372" s="59">
        <f t="shared" si="81"/>
        <v>1183.77</v>
      </c>
      <c r="AI372" s="60">
        <f>204.3-AM372</f>
        <v>0</v>
      </c>
      <c r="AJ372" s="60">
        <f t="shared" si="74"/>
        <v>0</v>
      </c>
      <c r="AK372" s="60">
        <f>SUMIFS(Таблица1[10],Таблица1[2],$D372)</f>
        <v>0</v>
      </c>
      <c r="AL372" s="60">
        <f>SUMIFS(Таблица1[11],Таблица1[2],$D372)</f>
        <v>0</v>
      </c>
      <c r="AM372" s="251">
        <v>204.3</v>
      </c>
      <c r="AN372" s="249">
        <f t="shared" si="75"/>
        <v>0</v>
      </c>
      <c r="AO372" s="249">
        <f>SUMIFS(Таблица1[12],Таблица1[2],$D372)</f>
        <v>204.3</v>
      </c>
      <c r="AP372" s="249">
        <f>SUMIFS(Таблица1[13],Таблица1[2],$D372)</f>
        <v>0</v>
      </c>
      <c r="AQ372" s="61">
        <v>316.39999999999998</v>
      </c>
      <c r="AR372" s="61">
        <f t="shared" si="76"/>
        <v>316.39999999999998</v>
      </c>
      <c r="AS372" s="60">
        <f>SUMIFS(Таблица1[14],Таблица1[2],$D372)</f>
        <v>0</v>
      </c>
      <c r="AT372" s="60">
        <f>SUMIFS(Таблица1[15],Таблица1[2],$D372)</f>
        <v>0</v>
      </c>
      <c r="AU372" s="61">
        <v>867.37</v>
      </c>
      <c r="AV372" s="61">
        <f t="shared" si="77"/>
        <v>867.37</v>
      </c>
      <c r="AW372" s="60">
        <f>SUMIFS(Таблица1[16],Таблица1[2],$D372)</f>
        <v>0</v>
      </c>
      <c r="AX372" s="60">
        <f>SUMIFS(Таблица1[17],Таблица1[2],$D372)</f>
        <v>0</v>
      </c>
      <c r="AY372" s="263"/>
      <c r="AZ372" s="264"/>
      <c r="BA372" s="296">
        <v>0</v>
      </c>
      <c r="BB372" s="296">
        <f t="shared" si="86"/>
        <v>0</v>
      </c>
      <c r="BC372" s="296">
        <v>0</v>
      </c>
      <c r="BD372" s="296">
        <v>0</v>
      </c>
      <c r="BE372" s="285"/>
      <c r="BF372" s="259">
        <f>1364+20</f>
        <v>1384</v>
      </c>
      <c r="BG372" s="260">
        <f>3401+9992</f>
        <v>13393</v>
      </c>
      <c r="BH372" s="62" t="s">
        <v>936</v>
      </c>
      <c r="BI372" s="62" t="s">
        <v>935</v>
      </c>
      <c r="BJ372" s="62"/>
      <c r="BK372" s="267"/>
      <c r="BL372" s="267"/>
      <c r="BM372" s="267" t="s">
        <v>1649</v>
      </c>
      <c r="BN372" s="268"/>
      <c r="BO372" s="62">
        <v>29</v>
      </c>
      <c r="BP372" s="63">
        <v>28201</v>
      </c>
      <c r="BQ372" s="64" t="s">
        <v>1131</v>
      </c>
      <c r="BR372" s="372" t="s">
        <v>2747</v>
      </c>
      <c r="BS372" s="62"/>
      <c r="BT372" s="323"/>
      <c r="BU372" s="62"/>
      <c r="BV372" s="323"/>
      <c r="BW372" s="62"/>
      <c r="BX372" s="336">
        <v>39</v>
      </c>
      <c r="BY372" s="336"/>
    </row>
    <row r="373" spans="1:77" ht="13.15" hidden="1" customHeight="1" outlineLevel="1" x14ac:dyDescent="0.2">
      <c r="A373" s="50">
        <f t="shared" si="83"/>
        <v>368</v>
      </c>
      <c r="B373" s="51">
        <v>56</v>
      </c>
      <c r="C373" s="51">
        <v>81</v>
      </c>
      <c r="D373" s="18" t="s">
        <v>550</v>
      </c>
      <c r="E373" s="18">
        <v>11</v>
      </c>
      <c r="F373" s="18">
        <v>2</v>
      </c>
      <c r="G373" s="52">
        <v>1</v>
      </c>
      <c r="H373" s="237">
        <v>1</v>
      </c>
      <c r="I373" s="65">
        <v>1951</v>
      </c>
      <c r="J373" s="349">
        <v>5</v>
      </c>
      <c r="K373" s="346">
        <f t="shared" si="84"/>
        <v>6</v>
      </c>
      <c r="L373" s="346">
        <v>1</v>
      </c>
      <c r="M373" s="349">
        <v>3</v>
      </c>
      <c r="N373" s="255">
        <f t="shared" si="82"/>
        <v>1</v>
      </c>
      <c r="O373" s="310">
        <v>45</v>
      </c>
      <c r="P373" s="66">
        <v>0</v>
      </c>
      <c r="Q373" s="66"/>
      <c r="R373" s="66">
        <v>0</v>
      </c>
      <c r="S373" s="66">
        <v>29</v>
      </c>
      <c r="T373" s="66">
        <v>16</v>
      </c>
      <c r="U373" s="66">
        <v>0</v>
      </c>
      <c r="V373" s="66">
        <v>0</v>
      </c>
      <c r="W373" s="54">
        <v>0</v>
      </c>
      <c r="X373" s="55">
        <f>SUMIFS(Таблица3[Кол-во квартир],Таблица3[Адрес МКД],$D373)</f>
        <v>44</v>
      </c>
      <c r="Y373" s="56">
        <f t="shared" si="87"/>
        <v>4584.76</v>
      </c>
      <c r="Z373" s="253">
        <f>SUMIFS(Таблица3[Площадь жилая],Таблица3[Адрес МКД],$D373)</f>
        <v>2748.5</v>
      </c>
      <c r="AA373" s="261">
        <f>SUMIFS(Таблица3[Площадь нежилых помещений],Таблица3[Адрес МКД],$D373)</f>
        <v>551</v>
      </c>
      <c r="AB373" s="252">
        <f>SUMIFS(Таблица1[1],Таблица1[2],$D373)</f>
        <v>609.20000000000005</v>
      </c>
      <c r="AC373" s="57">
        <f t="shared" si="78"/>
        <v>609.20000000000005</v>
      </c>
      <c r="AD373" s="57">
        <f t="shared" si="79"/>
        <v>0</v>
      </c>
      <c r="AE373" s="58">
        <f>SUMIFS(Таблица1[8],Таблица1[2],$D373)+SUMIFS(Таблица1[18],Таблица1[2],$D373)</f>
        <v>338.2</v>
      </c>
      <c r="AF373" s="58">
        <f>SUMIFS(Таблица1[9],Таблица1[2],$D373)+SUMIFS(Таблица1[19],Таблица1[2],$D373)</f>
        <v>0</v>
      </c>
      <c r="AG373" s="59">
        <f t="shared" si="80"/>
        <v>1227.06</v>
      </c>
      <c r="AH373" s="59">
        <f t="shared" si="81"/>
        <v>1227.06</v>
      </c>
      <c r="AI373" s="60">
        <f>357.7-AM373</f>
        <v>357.7</v>
      </c>
      <c r="AJ373" s="60">
        <f t="shared" si="74"/>
        <v>86.699999999999989</v>
      </c>
      <c r="AK373" s="60">
        <f>SUMIFS(Таблица1[10],Таблица1[2],$D373)</f>
        <v>271</v>
      </c>
      <c r="AL373" s="60">
        <f>SUMIFS(Таблица1[11],Таблица1[2],$D373)</f>
        <v>0</v>
      </c>
      <c r="AM373" s="251">
        <v>0</v>
      </c>
      <c r="AN373" s="249">
        <f t="shared" si="75"/>
        <v>0</v>
      </c>
      <c r="AO373" s="249">
        <f>SUMIFS(Таблица1[12],Таблица1[2],$D373)</f>
        <v>0</v>
      </c>
      <c r="AP373" s="249">
        <f>SUMIFS(Таблица1[13],Таблица1[2],$D373)</f>
        <v>0</v>
      </c>
      <c r="AQ373" s="61">
        <v>382.6</v>
      </c>
      <c r="AR373" s="61">
        <f t="shared" si="76"/>
        <v>382.6</v>
      </c>
      <c r="AS373" s="60">
        <f>SUMIFS(Таблица1[14],Таблица1[2],$D373)</f>
        <v>0</v>
      </c>
      <c r="AT373" s="60">
        <f>SUMIFS(Таблица1[15],Таблица1[2],$D373)</f>
        <v>0</v>
      </c>
      <c r="AU373" s="61">
        <v>757.76</v>
      </c>
      <c r="AV373" s="61">
        <f t="shared" si="77"/>
        <v>757.76</v>
      </c>
      <c r="AW373" s="60">
        <f>SUMIFS(Таблица1[16],Таблица1[2],$D373)</f>
        <v>0</v>
      </c>
      <c r="AX373" s="60">
        <f>SUMIFS(Таблица1[17],Таблица1[2],$D373)</f>
        <v>0</v>
      </c>
      <c r="AY373" s="263">
        <f>Нежилые!G2075</f>
        <v>58.2</v>
      </c>
      <c r="AZ373" s="264"/>
      <c r="BA373" s="296">
        <v>0</v>
      </c>
      <c r="BB373" s="296">
        <f t="shared" si="86"/>
        <v>0</v>
      </c>
      <c r="BC373" s="296">
        <v>0</v>
      </c>
      <c r="BD373" s="296">
        <v>0</v>
      </c>
      <c r="BE373" s="285"/>
      <c r="BF373" s="259">
        <v>1535</v>
      </c>
      <c r="BG373" s="260">
        <f>3605+11313</f>
        <v>14918</v>
      </c>
      <c r="BH373" s="62" t="s">
        <v>936</v>
      </c>
      <c r="BI373" s="62" t="s">
        <v>935</v>
      </c>
      <c r="BJ373" s="62"/>
      <c r="BK373" s="267"/>
      <c r="BL373" s="267"/>
      <c r="BM373" s="267" t="s">
        <v>1649</v>
      </c>
      <c r="BN373" s="268"/>
      <c r="BO373" s="62">
        <v>25</v>
      </c>
      <c r="BP373" s="63">
        <v>30264</v>
      </c>
      <c r="BQ373" s="64" t="s">
        <v>1131</v>
      </c>
      <c r="BR373" s="372" t="s">
        <v>1649</v>
      </c>
      <c r="BS373" s="62"/>
      <c r="BT373" s="323"/>
      <c r="BU373" s="62"/>
      <c r="BV373" s="323"/>
      <c r="BW373" s="62"/>
      <c r="BX373" s="336">
        <v>34</v>
      </c>
      <c r="BY373" s="336"/>
    </row>
    <row r="374" spans="1:77" ht="13.15" hidden="1" customHeight="1" outlineLevel="1" x14ac:dyDescent="0.2">
      <c r="A374" s="50">
        <f t="shared" si="83"/>
        <v>369</v>
      </c>
      <c r="B374" s="51">
        <v>40</v>
      </c>
      <c r="C374" s="51">
        <v>72</v>
      </c>
      <c r="D374" s="18" t="s">
        <v>1066</v>
      </c>
      <c r="E374" s="18">
        <v>14</v>
      </c>
      <c r="F374" s="18">
        <v>3</v>
      </c>
      <c r="G374" s="52"/>
      <c r="H374" s="237">
        <v>1</v>
      </c>
      <c r="I374" s="65">
        <v>1956</v>
      </c>
      <c r="J374" s="354">
        <v>4</v>
      </c>
      <c r="K374" s="356">
        <f t="shared" si="84"/>
        <v>5</v>
      </c>
      <c r="L374" s="356">
        <v>1</v>
      </c>
      <c r="M374" s="354">
        <v>2</v>
      </c>
      <c r="N374" s="255">
        <f t="shared" si="82"/>
        <v>0</v>
      </c>
      <c r="O374" s="310">
        <v>32</v>
      </c>
      <c r="P374" s="66">
        <v>1</v>
      </c>
      <c r="Q374" s="66"/>
      <c r="R374" s="66">
        <v>4</v>
      </c>
      <c r="S374" s="66">
        <v>24</v>
      </c>
      <c r="T374" s="66">
        <v>4</v>
      </c>
      <c r="U374" s="66">
        <v>0</v>
      </c>
      <c r="V374" s="66">
        <v>0</v>
      </c>
      <c r="W374" s="54">
        <v>0</v>
      </c>
      <c r="X374" s="55">
        <f>SUMIFS(Таблица3[Кол-во квартир],Таблица3[Адрес МКД],$D374)</f>
        <v>31</v>
      </c>
      <c r="Y374" s="56">
        <f t="shared" si="87"/>
        <v>2981.2</v>
      </c>
      <c r="Z374" s="253">
        <f>SUMIFS(Таблица3[Площадь жилая],Таблица3[Адрес МКД],$D374)</f>
        <v>1710</v>
      </c>
      <c r="AA374" s="261">
        <f>SUMIFS(Таблица3[Площадь нежилых помещений],Таблица3[Адрес МКД],$D374)</f>
        <v>239.6</v>
      </c>
      <c r="AB374" s="252">
        <f>SUMIFS(Таблица1[1],Таблица1[2],$D374)</f>
        <v>239.60000000000002</v>
      </c>
      <c r="AC374" s="57">
        <f t="shared" si="78"/>
        <v>239.60000000000002</v>
      </c>
      <c r="AD374" s="57">
        <f t="shared" si="79"/>
        <v>0</v>
      </c>
      <c r="AE374" s="58">
        <f>SUMIFS(Таблица1[8],Таблица1[2],$D374)+SUMIFS(Таблица1[18],Таблица1[2],$D374)</f>
        <v>73.8</v>
      </c>
      <c r="AF374" s="58">
        <f>SUMIFS(Таблица1[9],Таблица1[2],$D374)+SUMIFS(Таблица1[19],Таблица1[2],$D374)</f>
        <v>0</v>
      </c>
      <c r="AG374" s="59">
        <f t="shared" si="80"/>
        <v>1031.5999999999999</v>
      </c>
      <c r="AH374" s="59">
        <f t="shared" si="81"/>
        <v>1031.5999999999999</v>
      </c>
      <c r="AI374" s="60">
        <f>303.7-48.1+134.4+31.4+12.2-AM374</f>
        <v>267.79999999999995</v>
      </c>
      <c r="AJ374" s="60">
        <f t="shared" si="74"/>
        <v>267.79999999999995</v>
      </c>
      <c r="AK374" s="60">
        <f>SUMIFS(Таблица1[10],Таблица1[2],$D374)</f>
        <v>0</v>
      </c>
      <c r="AL374" s="60">
        <f>SUMIFS(Таблица1[11],Таблица1[2],$D374)</f>
        <v>0</v>
      </c>
      <c r="AM374" s="251">
        <f>134.4+31.4</f>
        <v>165.8</v>
      </c>
      <c r="AN374" s="249">
        <f t="shared" si="75"/>
        <v>0</v>
      </c>
      <c r="AO374" s="249">
        <f>SUMIFS(Таблица1[12],Таблица1[2],$D374)</f>
        <v>165.8</v>
      </c>
      <c r="AP374" s="249">
        <f>SUMIFS(Таблица1[13],Таблица1[2],$D374)</f>
        <v>0</v>
      </c>
      <c r="AQ374" s="61">
        <v>213.1</v>
      </c>
      <c r="AR374" s="61">
        <f t="shared" si="76"/>
        <v>213.1</v>
      </c>
      <c r="AS374" s="60">
        <f>SUMIFS(Таблица1[14],Таблица1[2],$D374)</f>
        <v>0</v>
      </c>
      <c r="AT374" s="60">
        <f>SUMIFS(Таблица1[15],Таблица1[2],$D374)</f>
        <v>0</v>
      </c>
      <c r="AU374" s="61">
        <v>550.70000000000005</v>
      </c>
      <c r="AV374" s="61">
        <f t="shared" si="77"/>
        <v>550.70000000000005</v>
      </c>
      <c r="AW374" s="60">
        <f>SUMIFS(Таблица1[16],Таблица1[2],$D374)</f>
        <v>0</v>
      </c>
      <c r="AX374" s="60">
        <f>SUMIFS(Таблица1[17],Таблица1[2],$D374)</f>
        <v>0</v>
      </c>
      <c r="AY374" s="263"/>
      <c r="AZ374" s="264"/>
      <c r="BA374" s="296">
        <v>0</v>
      </c>
      <c r="BB374" s="296">
        <f t="shared" si="86"/>
        <v>0</v>
      </c>
      <c r="BC374" s="296">
        <v>0</v>
      </c>
      <c r="BD374" s="296">
        <v>0</v>
      </c>
      <c r="BE374" s="285"/>
      <c r="BF374" s="259">
        <v>2563.8000000000002</v>
      </c>
      <c r="BG374" s="260">
        <v>11560.4</v>
      </c>
      <c r="BH374" s="62" t="s">
        <v>939</v>
      </c>
      <c r="BI374" s="62" t="s">
        <v>935</v>
      </c>
      <c r="BJ374" s="62"/>
      <c r="BK374" s="267"/>
      <c r="BL374" s="267"/>
      <c r="BM374" s="267" t="s">
        <v>1649</v>
      </c>
      <c r="BN374" s="268"/>
      <c r="BO374" s="62">
        <v>29</v>
      </c>
      <c r="BP374" s="63">
        <v>32160</v>
      </c>
      <c r="BQ374" s="64" t="s">
        <v>1131</v>
      </c>
      <c r="BR374" s="372" t="s">
        <v>2747</v>
      </c>
      <c r="BS374" s="62"/>
      <c r="BT374" s="323"/>
      <c r="BU374" s="62"/>
      <c r="BV374" s="323"/>
      <c r="BW374" s="62"/>
      <c r="BX374" s="336">
        <v>34</v>
      </c>
      <c r="BY374" s="336"/>
    </row>
    <row r="375" spans="1:77" ht="13.15" hidden="1" customHeight="1" outlineLevel="1" x14ac:dyDescent="0.2">
      <c r="A375" s="50">
        <f t="shared" si="83"/>
        <v>370</v>
      </c>
      <c r="B375" s="51">
        <v>41</v>
      </c>
      <c r="C375" s="51">
        <v>73</v>
      </c>
      <c r="D375" s="18" t="s">
        <v>650</v>
      </c>
      <c r="E375" s="18">
        <v>14</v>
      </c>
      <c r="F375" s="18">
        <v>3</v>
      </c>
      <c r="G375" s="52">
        <v>1</v>
      </c>
      <c r="H375" s="237">
        <v>1</v>
      </c>
      <c r="I375" s="65">
        <v>1955</v>
      </c>
      <c r="J375" s="349">
        <v>4</v>
      </c>
      <c r="K375" s="346">
        <f t="shared" si="84"/>
        <v>5</v>
      </c>
      <c r="L375" s="346">
        <v>1</v>
      </c>
      <c r="M375" s="349">
        <v>3</v>
      </c>
      <c r="N375" s="255">
        <f t="shared" si="82"/>
        <v>0</v>
      </c>
      <c r="O375" s="310">
        <v>40</v>
      </c>
      <c r="P375" s="66">
        <v>0</v>
      </c>
      <c r="Q375" s="66"/>
      <c r="R375" s="66">
        <v>0</v>
      </c>
      <c r="S375" s="66">
        <v>30</v>
      </c>
      <c r="T375" s="66">
        <v>10</v>
      </c>
      <c r="U375" s="66">
        <v>0</v>
      </c>
      <c r="V375" s="66">
        <v>0</v>
      </c>
      <c r="W375" s="54">
        <v>0</v>
      </c>
      <c r="X375" s="55">
        <f>SUMIFS(Таблица3[Кол-во квартир],Таблица3[Адрес МКД],$D375)</f>
        <v>40</v>
      </c>
      <c r="Y375" s="56">
        <f t="shared" si="87"/>
        <v>3707</v>
      </c>
      <c r="Z375" s="253">
        <f>SUMIFS(Таблица3[Площадь жилая],Таблица3[Адрес МКД],$D375)</f>
        <v>2287</v>
      </c>
      <c r="AA375" s="261">
        <f>SUMIFS(Таблица3[Площадь нежилых помещений],Таблица3[Адрес МКД],$D375)</f>
        <v>210.8</v>
      </c>
      <c r="AB375" s="252">
        <f>SUMIFS(Таблица1[1],Таблица1[2],$D375)</f>
        <v>210.8</v>
      </c>
      <c r="AC375" s="57">
        <f t="shared" si="78"/>
        <v>210.8</v>
      </c>
      <c r="AD375" s="57">
        <f t="shared" si="79"/>
        <v>0</v>
      </c>
      <c r="AE375" s="58">
        <f>SUMIFS(Таблица1[8],Таблица1[2],$D375)+SUMIFS(Таблица1[18],Таблица1[2],$D375)</f>
        <v>0</v>
      </c>
      <c r="AF375" s="58">
        <f>SUMIFS(Таблица1[9],Таблица1[2],$D375)+SUMIFS(Таблица1[19],Таблица1[2],$D375)</f>
        <v>0</v>
      </c>
      <c r="AG375" s="59">
        <f t="shared" si="80"/>
        <v>1209.2</v>
      </c>
      <c r="AH375" s="59">
        <f t="shared" si="81"/>
        <v>1209.2</v>
      </c>
      <c r="AI375" s="60">
        <f>302.8-AM375</f>
        <v>183.70000000000002</v>
      </c>
      <c r="AJ375" s="60">
        <f t="shared" si="74"/>
        <v>92.000000000000014</v>
      </c>
      <c r="AK375" s="60">
        <f>SUMIFS(Таблица1[10],Таблица1[2],$D375)</f>
        <v>91.7</v>
      </c>
      <c r="AL375" s="60">
        <f>SUMIFS(Таблица1[11],Таблица1[2],$D375)</f>
        <v>0</v>
      </c>
      <c r="AM375" s="251">
        <v>119.1</v>
      </c>
      <c r="AN375" s="249">
        <f t="shared" si="75"/>
        <v>0</v>
      </c>
      <c r="AO375" s="249">
        <f>SUMIFS(Таблица1[12],Таблица1[2],$D375)</f>
        <v>119.1</v>
      </c>
      <c r="AP375" s="249">
        <f>SUMIFS(Таблица1[13],Таблица1[2],$D375)</f>
        <v>0</v>
      </c>
      <c r="AQ375" s="61">
        <v>318.2</v>
      </c>
      <c r="AR375" s="61">
        <f t="shared" si="76"/>
        <v>318.2</v>
      </c>
      <c r="AS375" s="60">
        <f>SUMIFS(Таблица1[14],Таблица1[2],$D375)</f>
        <v>0</v>
      </c>
      <c r="AT375" s="60">
        <f>SUMIFS(Таблица1[15],Таблица1[2],$D375)</f>
        <v>0</v>
      </c>
      <c r="AU375" s="61">
        <v>799</v>
      </c>
      <c r="AV375" s="61">
        <f t="shared" si="77"/>
        <v>799</v>
      </c>
      <c r="AW375" s="60">
        <f>SUMIFS(Таблица1[16],Таблица1[2],$D375)</f>
        <v>0</v>
      </c>
      <c r="AX375" s="60">
        <f>SUMIFS(Таблица1[17],Таблица1[2],$D375)</f>
        <v>0</v>
      </c>
      <c r="AY375" s="263"/>
      <c r="AZ375" s="264"/>
      <c r="BA375" s="296">
        <v>0</v>
      </c>
      <c r="BB375" s="296">
        <f t="shared" si="86"/>
        <v>0</v>
      </c>
      <c r="BC375" s="296">
        <v>0</v>
      </c>
      <c r="BD375" s="296">
        <v>0</v>
      </c>
      <c r="BE375" s="285"/>
      <c r="BF375" s="259">
        <f>1866+28</f>
        <v>1894</v>
      </c>
      <c r="BG375" s="260">
        <v>10464</v>
      </c>
      <c r="BH375" s="62" t="s">
        <v>936</v>
      </c>
      <c r="BI375" s="62" t="s">
        <v>935</v>
      </c>
      <c r="BJ375" s="62"/>
      <c r="BK375" s="267"/>
      <c r="BL375" s="267"/>
      <c r="BM375" s="267" t="s">
        <v>1649</v>
      </c>
      <c r="BN375" s="268"/>
      <c r="BO375" s="62">
        <v>33</v>
      </c>
      <c r="BP375" s="63">
        <v>32114</v>
      </c>
      <c r="BQ375" s="64" t="s">
        <v>1131</v>
      </c>
      <c r="BR375" s="372" t="s">
        <v>2747</v>
      </c>
      <c r="BS375" s="62"/>
      <c r="BT375" s="323"/>
      <c r="BU375" s="62"/>
      <c r="BV375" s="323"/>
      <c r="BW375" s="62"/>
      <c r="BX375" s="336">
        <v>33</v>
      </c>
      <c r="BY375" s="336"/>
    </row>
    <row r="376" spans="1:77" ht="13.15" hidden="1" customHeight="1" outlineLevel="1" x14ac:dyDescent="0.2">
      <c r="A376" s="50">
        <f t="shared" si="83"/>
        <v>371</v>
      </c>
      <c r="B376" s="51">
        <v>57</v>
      </c>
      <c r="C376" s="51">
        <v>82</v>
      </c>
      <c r="D376" s="18" t="s">
        <v>551</v>
      </c>
      <c r="E376" s="18">
        <v>11</v>
      </c>
      <c r="F376" s="18">
        <v>2</v>
      </c>
      <c r="G376" s="52">
        <v>1</v>
      </c>
      <c r="H376" s="237">
        <v>1</v>
      </c>
      <c r="I376" s="65">
        <v>1951</v>
      </c>
      <c r="J376" s="349">
        <v>4</v>
      </c>
      <c r="K376" s="346">
        <f t="shared" si="84"/>
        <v>5</v>
      </c>
      <c r="L376" s="346">
        <v>1</v>
      </c>
      <c r="M376" s="349">
        <v>2</v>
      </c>
      <c r="N376" s="255">
        <f t="shared" si="82"/>
        <v>2</v>
      </c>
      <c r="O376" s="310">
        <v>27</v>
      </c>
      <c r="P376" s="66">
        <v>0</v>
      </c>
      <c r="Q376" s="66"/>
      <c r="R376" s="66">
        <v>0</v>
      </c>
      <c r="S376" s="66">
        <v>21</v>
      </c>
      <c r="T376" s="66">
        <v>6</v>
      </c>
      <c r="U376" s="66">
        <v>0</v>
      </c>
      <c r="V376" s="66">
        <v>0</v>
      </c>
      <c r="W376" s="54">
        <v>0</v>
      </c>
      <c r="X376" s="55">
        <f>SUMIFS(Таблица3[Кол-во квартир],Таблица3[Адрес МКД],$D376)</f>
        <v>25</v>
      </c>
      <c r="Y376" s="56">
        <f t="shared" si="87"/>
        <v>3084.0599999999995</v>
      </c>
      <c r="Z376" s="253">
        <f>SUMIFS(Таблица3[Площадь жилая],Таблица3[Адрес МКД],$D376)</f>
        <v>1578.6999999999998</v>
      </c>
      <c r="AA376" s="261">
        <f>SUMIFS(Таблица3[Площадь нежилых помещений],Таблица3[Адрес МКД],$D376)</f>
        <v>693.6</v>
      </c>
      <c r="AB376" s="252">
        <f>SUMIFS(Таблица1[1],Таблица1[2],$D376)</f>
        <v>693.59999999999991</v>
      </c>
      <c r="AC376" s="57">
        <f t="shared" si="78"/>
        <v>693.6</v>
      </c>
      <c r="AD376" s="57">
        <f t="shared" si="79"/>
        <v>0</v>
      </c>
      <c r="AE376" s="58">
        <f>SUMIFS(Таблица1[8],Таблица1[2],$D376)+SUMIFS(Таблица1[18],Таблица1[2],$D376)</f>
        <v>325.3</v>
      </c>
      <c r="AF376" s="58">
        <f>SUMIFS(Таблица1[9],Таблица1[2],$D376)+SUMIFS(Таблица1[19],Таблица1[2],$D376)</f>
        <v>0</v>
      </c>
      <c r="AG376" s="59">
        <f t="shared" si="80"/>
        <v>811.76</v>
      </c>
      <c r="AH376" s="59">
        <f t="shared" si="81"/>
        <v>811.76</v>
      </c>
      <c r="AI376" s="60">
        <f>368.3-AM376</f>
        <v>368.3</v>
      </c>
      <c r="AJ376" s="60">
        <f t="shared" si="74"/>
        <v>0</v>
      </c>
      <c r="AK376" s="60">
        <f>SUMIFS(Таблица1[10],Таблица1[2],$D376)</f>
        <v>368.3</v>
      </c>
      <c r="AL376" s="60">
        <f>SUMIFS(Таблица1[11],Таблица1[2],$D376)</f>
        <v>0</v>
      </c>
      <c r="AM376" s="251">
        <v>0</v>
      </c>
      <c r="AN376" s="249">
        <f t="shared" si="75"/>
        <v>0</v>
      </c>
      <c r="AO376" s="249">
        <f>SUMIFS(Таблица1[12],Таблица1[2],$D376)</f>
        <v>0</v>
      </c>
      <c r="AP376" s="249">
        <f>SUMIFS(Таблица1[13],Таблица1[2],$D376)</f>
        <v>0</v>
      </c>
      <c r="AQ376" s="61">
        <v>232.5</v>
      </c>
      <c r="AR376" s="61">
        <f t="shared" si="76"/>
        <v>232.5</v>
      </c>
      <c r="AS376" s="60">
        <f>SUMIFS(Таблица1[14],Таблица1[2],$D376)</f>
        <v>0</v>
      </c>
      <c r="AT376" s="60">
        <f>SUMIFS(Таблица1[15],Таблица1[2],$D376)</f>
        <v>0</v>
      </c>
      <c r="AU376" s="61">
        <v>579.26</v>
      </c>
      <c r="AV376" s="61">
        <f t="shared" si="77"/>
        <v>579.26</v>
      </c>
      <c r="AW376" s="60">
        <f>SUMIFS(Таблица1[16],Таблица1[2],$D376)</f>
        <v>0</v>
      </c>
      <c r="AX376" s="60">
        <f>SUMIFS(Таблица1[17],Таблица1[2],$D376)</f>
        <v>0</v>
      </c>
      <c r="AY376" s="263"/>
      <c r="AZ376" s="264"/>
      <c r="BA376" s="296">
        <v>0</v>
      </c>
      <c r="BB376" s="296">
        <f t="shared" si="86"/>
        <v>0</v>
      </c>
      <c r="BC376" s="296">
        <v>0</v>
      </c>
      <c r="BD376" s="296">
        <v>0</v>
      </c>
      <c r="BE376" s="285"/>
      <c r="BF376" s="259">
        <v>1999</v>
      </c>
      <c r="BG376" s="260">
        <v>9695</v>
      </c>
      <c r="BH376" s="62" t="s">
        <v>936</v>
      </c>
      <c r="BI376" s="62" t="s">
        <v>935</v>
      </c>
      <c r="BJ376" s="62"/>
      <c r="BK376" s="267"/>
      <c r="BL376" s="267"/>
      <c r="BM376" s="267" t="s">
        <v>1649</v>
      </c>
      <c r="BN376" s="268"/>
      <c r="BO376" s="62">
        <v>22</v>
      </c>
      <c r="BP376" s="63">
        <v>30286</v>
      </c>
      <c r="BQ376" s="64" t="s">
        <v>1131</v>
      </c>
      <c r="BR376" s="372" t="s">
        <v>2747</v>
      </c>
      <c r="BS376" s="62"/>
      <c r="BT376" s="323"/>
      <c r="BU376" s="62"/>
      <c r="BV376" s="323"/>
      <c r="BW376" s="62"/>
      <c r="BX376" s="336">
        <v>24</v>
      </c>
      <c r="BY376" s="336"/>
    </row>
    <row r="377" spans="1:77" ht="13.15" hidden="1" customHeight="1" outlineLevel="1" x14ac:dyDescent="0.2">
      <c r="A377" s="50">
        <f t="shared" si="83"/>
        <v>372</v>
      </c>
      <c r="B377" s="51">
        <v>42</v>
      </c>
      <c r="C377" s="51">
        <v>74</v>
      </c>
      <c r="D377" s="18" t="s">
        <v>651</v>
      </c>
      <c r="E377" s="18">
        <v>14</v>
      </c>
      <c r="F377" s="18">
        <v>3</v>
      </c>
      <c r="G377" s="52">
        <v>1</v>
      </c>
      <c r="H377" s="237">
        <v>1</v>
      </c>
      <c r="I377" s="65">
        <v>1955</v>
      </c>
      <c r="J377" s="349">
        <v>4</v>
      </c>
      <c r="K377" s="346">
        <f t="shared" si="84"/>
        <v>5</v>
      </c>
      <c r="L377" s="346">
        <v>1</v>
      </c>
      <c r="M377" s="349">
        <v>2</v>
      </c>
      <c r="N377" s="255">
        <f t="shared" si="82"/>
        <v>0</v>
      </c>
      <c r="O377" s="310">
        <v>32</v>
      </c>
      <c r="P377" s="66">
        <v>3</v>
      </c>
      <c r="Q377" s="66"/>
      <c r="R377" s="66">
        <v>0</v>
      </c>
      <c r="S377" s="66">
        <v>24</v>
      </c>
      <c r="T377" s="66">
        <v>8</v>
      </c>
      <c r="U377" s="66">
        <v>0</v>
      </c>
      <c r="V377" s="66">
        <v>0</v>
      </c>
      <c r="W377" s="54">
        <v>0</v>
      </c>
      <c r="X377" s="55">
        <f>SUMIFS(Таблица3[Кол-во квартир],Таблица3[Адрес МКД],$D377)</f>
        <v>29</v>
      </c>
      <c r="Y377" s="56">
        <f t="shared" si="87"/>
        <v>2830.66</v>
      </c>
      <c r="Z377" s="253">
        <f>SUMIFS(Таблица3[Площадь жилая],Таблица3[Адрес МКД],$D377)</f>
        <v>1643.36</v>
      </c>
      <c r="AA377" s="261">
        <f>SUMIFS(Таблица3[Площадь нежилых помещений],Таблица3[Адрес МКД],$D377)</f>
        <v>335.7</v>
      </c>
      <c r="AB377" s="252">
        <f>SUMIFS(Таблица1[1],Таблица1[2],$D377)</f>
        <v>335.7</v>
      </c>
      <c r="AC377" s="57">
        <f t="shared" si="78"/>
        <v>335.7</v>
      </c>
      <c r="AD377" s="57">
        <f t="shared" si="79"/>
        <v>0</v>
      </c>
      <c r="AE377" s="58">
        <f>SUMIFS(Таблица1[8],Таблица1[2],$D377)+SUMIFS(Таблица1[18],Таблица1[2],$D377)</f>
        <v>194.1</v>
      </c>
      <c r="AF377" s="58">
        <f>SUMIFS(Таблица1[9],Таблица1[2],$D377)+SUMIFS(Таблица1[19],Таблица1[2],$D377)</f>
        <v>0</v>
      </c>
      <c r="AG377" s="59">
        <f>AJ377+AR377+AV377+AZ377</f>
        <v>851.6</v>
      </c>
      <c r="AH377" s="59">
        <f t="shared" si="81"/>
        <v>851.6</v>
      </c>
      <c r="AI377" s="60">
        <f>239.3-AM377</f>
        <v>97.700000000000017</v>
      </c>
      <c r="AJ377" s="60">
        <f t="shared" si="74"/>
        <v>97.700000000000017</v>
      </c>
      <c r="AK377" s="60">
        <f>SUMIFS(Таблица1[10],Таблица1[2],$D377)</f>
        <v>0</v>
      </c>
      <c r="AL377" s="60">
        <f>SUMIFS(Таблица1[11],Таблица1[2],$D377)</f>
        <v>0</v>
      </c>
      <c r="AM377" s="251">
        <v>141.6</v>
      </c>
      <c r="AN377" s="249">
        <f t="shared" si="75"/>
        <v>0</v>
      </c>
      <c r="AO377" s="249">
        <f>SUMIFS(Таблица1[12],Таблица1[2],$D377)</f>
        <v>141.6</v>
      </c>
      <c r="AP377" s="249">
        <f>SUMIFS(Таблица1[13],Таблица1[2],$D377)</f>
        <v>0</v>
      </c>
      <c r="AQ377" s="61">
        <v>193.2</v>
      </c>
      <c r="AR377" s="61">
        <f t="shared" si="76"/>
        <v>193.2</v>
      </c>
      <c r="AS377" s="60">
        <f>SUMIFS(Таблица1[14],Таблица1[2],$D377)</f>
        <v>0</v>
      </c>
      <c r="AT377" s="60">
        <f>SUMIFS(Таблица1[15],Таблица1[2],$D377)</f>
        <v>0</v>
      </c>
      <c r="AU377" s="61">
        <v>560.70000000000005</v>
      </c>
      <c r="AV377" s="61">
        <f t="shared" si="77"/>
        <v>560.70000000000005</v>
      </c>
      <c r="AW377" s="60">
        <f>SUMIFS(Таблица1[16],Таблица1[2],$D377)</f>
        <v>0</v>
      </c>
      <c r="AX377" s="60">
        <f>SUMIFS(Таблица1[17],Таблица1[2],$D377)</f>
        <v>0</v>
      </c>
      <c r="AY377" s="263"/>
      <c r="AZ377" s="264"/>
      <c r="BA377" s="296">
        <v>0</v>
      </c>
      <c r="BB377" s="296">
        <f t="shared" si="86"/>
        <v>0</v>
      </c>
      <c r="BC377" s="296">
        <v>0</v>
      </c>
      <c r="BD377" s="296">
        <v>0</v>
      </c>
      <c r="BE377" s="285"/>
      <c r="BF377" s="259">
        <f>1179+26</f>
        <v>1205</v>
      </c>
      <c r="BG377" s="260">
        <f>8825+21</f>
        <v>8846</v>
      </c>
      <c r="BH377" s="62" t="s">
        <v>936</v>
      </c>
      <c r="BI377" s="62" t="s">
        <v>935</v>
      </c>
      <c r="BJ377" s="62"/>
      <c r="BK377" s="267"/>
      <c r="BL377" s="267"/>
      <c r="BM377" s="267" t="s">
        <v>1649</v>
      </c>
      <c r="BN377" s="268"/>
      <c r="BO377" s="62">
        <v>32</v>
      </c>
      <c r="BP377" s="63">
        <v>32114</v>
      </c>
      <c r="BQ377" s="64" t="s">
        <v>1131</v>
      </c>
      <c r="BR377" s="372" t="s">
        <v>2747</v>
      </c>
      <c r="BS377" s="62"/>
      <c r="BT377" s="323"/>
      <c r="BU377" s="62"/>
      <c r="BV377" s="323"/>
      <c r="BW377" s="62"/>
      <c r="BX377" s="336">
        <v>27</v>
      </c>
      <c r="BY377" s="336"/>
    </row>
    <row r="378" spans="1:77" ht="13.15" hidden="1" customHeight="1" outlineLevel="1" x14ac:dyDescent="0.2">
      <c r="A378" s="50">
        <f t="shared" si="83"/>
        <v>373</v>
      </c>
      <c r="B378" s="51">
        <v>58</v>
      </c>
      <c r="C378" s="51">
        <v>83</v>
      </c>
      <c r="D378" s="18" t="s">
        <v>552</v>
      </c>
      <c r="E378" s="18">
        <v>11</v>
      </c>
      <c r="F378" s="18">
        <v>2</v>
      </c>
      <c r="G378" s="52">
        <v>1</v>
      </c>
      <c r="H378" s="237">
        <v>1</v>
      </c>
      <c r="I378" s="65">
        <v>1951</v>
      </c>
      <c r="J378" s="349">
        <v>4</v>
      </c>
      <c r="K378" s="346">
        <f t="shared" si="84"/>
        <v>5</v>
      </c>
      <c r="L378" s="346">
        <v>1</v>
      </c>
      <c r="M378" s="349">
        <v>3</v>
      </c>
      <c r="N378" s="255">
        <f t="shared" si="82"/>
        <v>0</v>
      </c>
      <c r="O378" s="310">
        <v>40</v>
      </c>
      <c r="P378" s="66">
        <v>2</v>
      </c>
      <c r="Q378" s="66"/>
      <c r="R378" s="66">
        <v>0</v>
      </c>
      <c r="S378" s="66">
        <v>28</v>
      </c>
      <c r="T378" s="66">
        <v>12</v>
      </c>
      <c r="U378" s="66">
        <v>0</v>
      </c>
      <c r="V378" s="66">
        <v>0</v>
      </c>
      <c r="W378" s="54">
        <v>0</v>
      </c>
      <c r="X378" s="55">
        <f>SUMIFS(Таблица3[Кол-во квартир],Таблица3[Адрес МКД],$D378)</f>
        <v>38</v>
      </c>
      <c r="Y378" s="56">
        <f t="shared" si="87"/>
        <v>3852.33</v>
      </c>
      <c r="Z378" s="253">
        <f>SUMIFS(Таблица3[Площадь жилая],Таблица3[Адрес МКД],$D378)</f>
        <v>2254.8000000000002</v>
      </c>
      <c r="AA378" s="261">
        <f>SUMIFS(Таблица3[Площадь нежилых помещений],Таблица3[Адрес МКД],$D378)</f>
        <v>417.1</v>
      </c>
      <c r="AB378" s="252">
        <f>SUMIFS(Таблица1[1],Таблица1[2],$D378)</f>
        <v>417.1</v>
      </c>
      <c r="AC378" s="57">
        <f>AE378+AK378+AO378+AS378+AW378</f>
        <v>417.1</v>
      </c>
      <c r="AD378" s="57">
        <f t="shared" si="79"/>
        <v>0</v>
      </c>
      <c r="AE378" s="58">
        <f>SUMIFS(Таблица1[8],Таблица1[2],$D378)+SUMIFS(Таблица1[18],Таблица1[2],$D378)</f>
        <v>125.2</v>
      </c>
      <c r="AF378" s="58">
        <f>SUMIFS(Таблица1[9],Таблица1[2],$D378)+SUMIFS(Таблица1[19],Таблица1[2],$D378)</f>
        <v>0</v>
      </c>
      <c r="AG378" s="59">
        <f t="shared" si="80"/>
        <v>1180.4299999999998</v>
      </c>
      <c r="AH378" s="59">
        <f t="shared" si="81"/>
        <v>1180.4299999999998</v>
      </c>
      <c r="AI378" s="60">
        <f>421.2-AM378</f>
        <v>240.2</v>
      </c>
      <c r="AJ378" s="60">
        <f t="shared" si="74"/>
        <v>129.29999999999998</v>
      </c>
      <c r="AK378" s="60">
        <f>SUMIFS(Таблица1[10],Таблица1[2],$D378)</f>
        <v>110.9</v>
      </c>
      <c r="AL378" s="60">
        <f>SUMIFS(Таблица1[11],Таблица1[2],$D378)</f>
        <v>0</v>
      </c>
      <c r="AM378" s="251">
        <v>181</v>
      </c>
      <c r="AN378" s="249">
        <f t="shared" si="75"/>
        <v>0</v>
      </c>
      <c r="AO378" s="249">
        <f>SUMIFS(Таблица1[12],Таблица1[2],$D378)</f>
        <v>181</v>
      </c>
      <c r="AP378" s="249">
        <f>SUMIFS(Таблица1[13],Таблица1[2],$D378)</f>
        <v>0</v>
      </c>
      <c r="AQ378" s="61">
        <v>300</v>
      </c>
      <c r="AR378" s="61">
        <f t="shared" si="76"/>
        <v>300</v>
      </c>
      <c r="AS378" s="60">
        <f>SUMIFS(Таблица1[14],Таблица1[2],$D378)</f>
        <v>0</v>
      </c>
      <c r="AT378" s="60">
        <f>SUMIFS(Таблица1[15],Таблица1[2],$D378)</f>
        <v>0</v>
      </c>
      <c r="AU378" s="61">
        <v>751.13</v>
      </c>
      <c r="AV378" s="61">
        <f t="shared" si="77"/>
        <v>751.13</v>
      </c>
      <c r="AW378" s="60">
        <f>SUMIFS(Таблица1[16],Таблица1[2],$D378)</f>
        <v>0</v>
      </c>
      <c r="AX378" s="60">
        <f>SUMIFS(Таблица1[17],Таблица1[2],$D378)</f>
        <v>0</v>
      </c>
      <c r="AY378" s="263"/>
      <c r="AZ378" s="264"/>
      <c r="BA378" s="296">
        <v>0</v>
      </c>
      <c r="BB378" s="296">
        <f t="shared" si="86"/>
        <v>0</v>
      </c>
      <c r="BC378" s="296">
        <v>0</v>
      </c>
      <c r="BD378" s="296">
        <v>0</v>
      </c>
      <c r="BE378" s="285"/>
      <c r="BF378" s="259">
        <v>1611</v>
      </c>
      <c r="BG378" s="260">
        <v>10785</v>
      </c>
      <c r="BH378" s="62" t="s">
        <v>936</v>
      </c>
      <c r="BI378" s="62" t="s">
        <v>935</v>
      </c>
      <c r="BJ378" s="62"/>
      <c r="BK378" s="267"/>
      <c r="BL378" s="267"/>
      <c r="BM378" s="267" t="s">
        <v>1649</v>
      </c>
      <c r="BN378" s="268"/>
      <c r="BO378" s="62">
        <v>24</v>
      </c>
      <c r="BP378" s="63">
        <v>30138</v>
      </c>
      <c r="BQ378" s="64" t="s">
        <v>1131</v>
      </c>
      <c r="BR378" s="372" t="s">
        <v>2747</v>
      </c>
      <c r="BS378" s="62"/>
      <c r="BT378" s="323"/>
      <c r="BU378" s="62"/>
      <c r="BV378" s="323"/>
      <c r="BW378" s="62"/>
      <c r="BX378" s="336">
        <v>33</v>
      </c>
      <c r="BY378" s="336"/>
    </row>
    <row r="379" spans="1:77" ht="13.15" hidden="1" customHeight="1" outlineLevel="1" x14ac:dyDescent="0.2">
      <c r="A379" s="50">
        <f t="shared" si="83"/>
        <v>374</v>
      </c>
      <c r="B379" s="51">
        <v>43</v>
      </c>
      <c r="C379" s="51">
        <v>75</v>
      </c>
      <c r="D379" s="18" t="s">
        <v>1322</v>
      </c>
      <c r="E379" s="18">
        <v>14</v>
      </c>
      <c r="F379" s="18">
        <v>3</v>
      </c>
      <c r="G379" s="52"/>
      <c r="H379" s="237">
        <v>1</v>
      </c>
      <c r="I379" s="65">
        <v>1955</v>
      </c>
      <c r="J379" s="349">
        <v>4</v>
      </c>
      <c r="K379" s="346">
        <f t="shared" si="84"/>
        <v>5</v>
      </c>
      <c r="L379" s="346">
        <v>1</v>
      </c>
      <c r="M379" s="349">
        <v>4</v>
      </c>
      <c r="N379" s="255">
        <f t="shared" si="82"/>
        <v>0</v>
      </c>
      <c r="O379" s="310">
        <v>46</v>
      </c>
      <c r="P379" s="66">
        <v>6</v>
      </c>
      <c r="Q379" s="66"/>
      <c r="R379" s="66">
        <v>0</v>
      </c>
      <c r="S379" s="66">
        <f>53-18</f>
        <v>35</v>
      </c>
      <c r="T379" s="66">
        <f>19-12</f>
        <v>7</v>
      </c>
      <c r="U379" s="66">
        <v>4</v>
      </c>
      <c r="V379" s="66">
        <v>0</v>
      </c>
      <c r="W379" s="54">
        <v>0</v>
      </c>
      <c r="X379" s="55">
        <f>SUMIFS(Таблица3[Кол-во квартир],Таблица3[Адрес МКД],$D379)</f>
        <v>40</v>
      </c>
      <c r="Y379" s="56">
        <f t="shared" si="87"/>
        <v>4254.7</v>
      </c>
      <c r="Z379" s="253">
        <f>SUMIFS(Таблица3[Площадь жилая],Таблица3[Адрес МКД],$D379)</f>
        <v>2296.6999999999998</v>
      </c>
      <c r="AA379" s="261">
        <f>SUMIFS(Таблица3[Площадь нежилых помещений],Таблица3[Адрес МКД],$D379)</f>
        <v>470.3</v>
      </c>
      <c r="AB379" s="252">
        <f>SUMIFS(Таблица1[1],Таблица1[2],$D379)</f>
        <v>429.4</v>
      </c>
      <c r="AC379" s="57">
        <f t="shared" si="78"/>
        <v>429.4</v>
      </c>
      <c r="AD379" s="57">
        <f t="shared" si="79"/>
        <v>0</v>
      </c>
      <c r="AE379" s="58">
        <f>SUMIFS(Таблица1[8],Таблица1[2],$D379)+SUMIFS(Таблица1[18],Таблица1[2],$D379)</f>
        <v>309.59999999999997</v>
      </c>
      <c r="AF379" s="58">
        <f>SUMIFS(Таблица1[9],Таблица1[2],$D379)+SUMIFS(Таблица1[19],Таблица1[2],$D379)</f>
        <v>0</v>
      </c>
      <c r="AG379" s="59">
        <f t="shared" si="80"/>
        <v>1528.6000000000001</v>
      </c>
      <c r="AH379" s="59">
        <f t="shared" si="81"/>
        <v>1528.6000000000001</v>
      </c>
      <c r="AI379" s="60">
        <f>404.8-AM379-AM287</f>
        <v>264.60000000000002</v>
      </c>
      <c r="AJ379" s="60">
        <f t="shared" si="74"/>
        <v>264.60000000000002</v>
      </c>
      <c r="AK379" s="60">
        <f>SUMIFS(Таблица1[10],Таблица1[2],$D379)</f>
        <v>0</v>
      </c>
      <c r="AL379" s="60">
        <f>SUMIFS(Таблица1[11],Таблица1[2],$D379)</f>
        <v>0</v>
      </c>
      <c r="AM379" s="251">
        <v>119.8</v>
      </c>
      <c r="AN379" s="249">
        <f t="shared" si="75"/>
        <v>0</v>
      </c>
      <c r="AO379" s="249">
        <f>SUMIFS(Таблица1[12],Таблица1[2],$D379)</f>
        <v>119.8</v>
      </c>
      <c r="AP379" s="249">
        <f>SUMIFS(Таблица1[13],Таблица1[2],$D379)</f>
        <v>0</v>
      </c>
      <c r="AQ379" s="61">
        <f>377.8</f>
        <v>377.8</v>
      </c>
      <c r="AR379" s="61">
        <f t="shared" si="76"/>
        <v>377.8</v>
      </c>
      <c r="AS379" s="60">
        <f>SUMIFS(Таблица1[14],Таблица1[2],$D379)</f>
        <v>0</v>
      </c>
      <c r="AT379" s="60">
        <f>SUMIFS(Таблица1[15],Таблица1[2],$D379)</f>
        <v>0</v>
      </c>
      <c r="AU379" s="61">
        <v>886.2</v>
      </c>
      <c r="AV379" s="61">
        <f t="shared" si="77"/>
        <v>886.2</v>
      </c>
      <c r="AW379" s="60">
        <f>SUMIFS(Таблица1[16],Таблица1[2],$D379)</f>
        <v>0</v>
      </c>
      <c r="AX379" s="60">
        <f>SUMIFS(Таблица1[17],Таблица1[2],$D379)</f>
        <v>0</v>
      </c>
      <c r="AY379" s="263"/>
      <c r="AZ379" s="264"/>
      <c r="BA379" s="296">
        <v>0</v>
      </c>
      <c r="BB379" s="296">
        <f t="shared" si="86"/>
        <v>0</v>
      </c>
      <c r="BC379" s="296">
        <v>0</v>
      </c>
      <c r="BD379" s="296">
        <v>0</v>
      </c>
      <c r="BE379" s="285"/>
      <c r="BF379" s="259">
        <v>3162.9</v>
      </c>
      <c r="BG379" s="260">
        <v>12329</v>
      </c>
      <c r="BH379" s="62" t="s">
        <v>936</v>
      </c>
      <c r="BI379" s="62" t="s">
        <v>935</v>
      </c>
      <c r="BJ379" s="62"/>
      <c r="BK379" s="267"/>
      <c r="BL379" s="267"/>
      <c r="BM379" s="267" t="s">
        <v>1649</v>
      </c>
      <c r="BN379" s="268"/>
      <c r="BO379" s="62">
        <v>29</v>
      </c>
      <c r="BP379" s="63">
        <v>32114</v>
      </c>
      <c r="BQ379" s="64" t="s">
        <v>1131</v>
      </c>
      <c r="BR379" s="372" t="s">
        <v>2747</v>
      </c>
      <c r="BS379" s="62"/>
      <c r="BT379" s="323"/>
      <c r="BU379" s="62"/>
      <c r="BV379" s="323"/>
      <c r="BW379" s="62"/>
      <c r="BX379" s="338"/>
      <c r="BY379" s="336"/>
    </row>
    <row r="380" spans="1:77" ht="13.15" hidden="1" customHeight="1" outlineLevel="1" x14ac:dyDescent="0.2">
      <c r="A380" s="50">
        <f t="shared" si="83"/>
        <v>375</v>
      </c>
      <c r="B380" s="51">
        <v>72</v>
      </c>
      <c r="C380" s="51">
        <v>120</v>
      </c>
      <c r="D380" s="18" t="s">
        <v>419</v>
      </c>
      <c r="E380" s="18">
        <v>9</v>
      </c>
      <c r="F380" s="18">
        <v>1</v>
      </c>
      <c r="G380" s="52">
        <v>1</v>
      </c>
      <c r="H380" s="366">
        <v>1</v>
      </c>
      <c r="I380" s="65">
        <v>1950</v>
      </c>
      <c r="J380" s="349">
        <v>3</v>
      </c>
      <c r="K380" s="346">
        <f t="shared" si="84"/>
        <v>4</v>
      </c>
      <c r="L380" s="346">
        <v>1</v>
      </c>
      <c r="M380" s="349">
        <v>2</v>
      </c>
      <c r="N380" s="255">
        <f t="shared" si="82"/>
        <v>0</v>
      </c>
      <c r="O380" s="310">
        <v>24</v>
      </c>
      <c r="P380" s="66">
        <v>1</v>
      </c>
      <c r="Q380" s="66"/>
      <c r="R380" s="66">
        <v>6</v>
      </c>
      <c r="S380" s="66">
        <v>15</v>
      </c>
      <c r="T380" s="66">
        <v>3</v>
      </c>
      <c r="U380" s="66">
        <v>0</v>
      </c>
      <c r="V380" s="66">
        <v>0</v>
      </c>
      <c r="W380" s="54">
        <v>0</v>
      </c>
      <c r="X380" s="55">
        <f>SUMIFS(Таблица3[Кол-во квартир],Таблица3[Адрес МКД],$D380)</f>
        <v>23</v>
      </c>
      <c r="Y380" s="56">
        <f t="shared" si="87"/>
        <v>2193.3000000000002</v>
      </c>
      <c r="Z380" s="253">
        <f>SUMIFS(Таблица3[Площадь жилая],Таблица3[Адрес МКД],$D380)</f>
        <v>1101.0999999999999</v>
      </c>
      <c r="AA380" s="261">
        <f>SUMIFS(Таблица3[Площадь нежилых помещений],Таблица3[Адрес МКД],$D380)</f>
        <v>255.8</v>
      </c>
      <c r="AB380" s="252">
        <f>SUMIFS(Таблица1[1],Таблица1[2],$D380)</f>
        <v>255.39999999999998</v>
      </c>
      <c r="AC380" s="57">
        <f t="shared" si="78"/>
        <v>255.39999999999998</v>
      </c>
      <c r="AD380" s="57">
        <f t="shared" si="79"/>
        <v>0</v>
      </c>
      <c r="AE380" s="58">
        <f>SUMIFS(Таблица1[8],Таблица1[2],$D380)+SUMIFS(Таблица1[18],Таблица1[2],$D380)</f>
        <v>47.2</v>
      </c>
      <c r="AF380" s="58">
        <f>SUMIFS(Таблица1[9],Таблица1[2],$D380)+SUMIFS(Таблица1[19],Таблица1[2],$D380)</f>
        <v>0</v>
      </c>
      <c r="AG380" s="59">
        <f t="shared" si="80"/>
        <v>836.40000000000009</v>
      </c>
      <c r="AH380" s="59">
        <f t="shared" si="81"/>
        <v>836.40000000000009</v>
      </c>
      <c r="AI380" s="60">
        <f>383.4-AM380</f>
        <v>174.79999999999998</v>
      </c>
      <c r="AJ380" s="60">
        <f t="shared" si="74"/>
        <v>174.79999999999998</v>
      </c>
      <c r="AK380" s="60">
        <f>SUMIFS(Таблица1[10],Таблица1[2],$D380)</f>
        <v>0</v>
      </c>
      <c r="AL380" s="60">
        <f>SUMIFS(Таблица1[11],Таблица1[2],$D380)</f>
        <v>0</v>
      </c>
      <c r="AM380" s="251">
        <v>208.6</v>
      </c>
      <c r="AN380" s="249">
        <f t="shared" si="75"/>
        <v>0.40000000000000568</v>
      </c>
      <c r="AO380" s="249">
        <f>SUMIFS(Таблица1[12],Таблица1[2],$D380)</f>
        <v>208.2</v>
      </c>
      <c r="AP380" s="249">
        <f>SUMIFS(Таблица1[13],Таблица1[2],$D380)</f>
        <v>0</v>
      </c>
      <c r="AQ380" s="61">
        <f>188.3</f>
        <v>188.3</v>
      </c>
      <c r="AR380" s="61">
        <f t="shared" si="76"/>
        <v>188.3</v>
      </c>
      <c r="AS380" s="60">
        <f>SUMIFS(Таблица1[14],Таблица1[2],$D380)</f>
        <v>0</v>
      </c>
      <c r="AT380" s="60">
        <f>SUMIFS(Таблица1[15],Таблица1[2],$D380)</f>
        <v>0</v>
      </c>
      <c r="AU380" s="61">
        <v>473.3</v>
      </c>
      <c r="AV380" s="61">
        <f t="shared" si="77"/>
        <v>473.3</v>
      </c>
      <c r="AW380" s="60">
        <f>SUMIFS(Таблица1[16],Таблица1[2],$D380)</f>
        <v>0</v>
      </c>
      <c r="AX380" s="60">
        <f>SUMIFS(Таблица1[17],Таблица1[2],$D380)</f>
        <v>0</v>
      </c>
      <c r="AY380" s="263"/>
      <c r="AZ380" s="264"/>
      <c r="BA380" s="296">
        <v>0</v>
      </c>
      <c r="BB380" s="296">
        <f t="shared" si="86"/>
        <v>0</v>
      </c>
      <c r="BC380" s="296">
        <v>0</v>
      </c>
      <c r="BD380" s="296">
        <v>0</v>
      </c>
      <c r="BE380" s="285"/>
      <c r="BF380" s="259">
        <v>1566</v>
      </c>
      <c r="BG380" s="260">
        <v>5339</v>
      </c>
      <c r="BH380" s="62" t="s">
        <v>936</v>
      </c>
      <c r="BI380" s="62" t="s">
        <v>935</v>
      </c>
      <c r="BJ380" s="62"/>
      <c r="BK380" s="267"/>
      <c r="BL380" s="267"/>
      <c r="BM380" s="267" t="s">
        <v>1649</v>
      </c>
      <c r="BN380" s="268"/>
      <c r="BO380" s="62">
        <v>19</v>
      </c>
      <c r="BP380" s="63">
        <v>29589</v>
      </c>
      <c r="BQ380" s="64" t="s">
        <v>1131</v>
      </c>
      <c r="BR380" s="372" t="s">
        <v>2747</v>
      </c>
      <c r="BS380" s="62"/>
      <c r="BT380" s="323"/>
      <c r="BU380" s="62"/>
      <c r="BV380" s="323"/>
      <c r="BW380" s="62"/>
      <c r="BX380" s="336">
        <v>23</v>
      </c>
      <c r="BY380" s="336"/>
    </row>
    <row r="381" spans="1:77" ht="13.15" hidden="1" customHeight="1" outlineLevel="1" x14ac:dyDescent="0.2">
      <c r="A381" s="50">
        <f t="shared" si="83"/>
        <v>376</v>
      </c>
      <c r="B381" s="51">
        <v>44</v>
      </c>
      <c r="C381" s="51">
        <v>76</v>
      </c>
      <c r="D381" s="18" t="s">
        <v>652</v>
      </c>
      <c r="E381" s="18">
        <v>14</v>
      </c>
      <c r="F381" s="18">
        <v>3</v>
      </c>
      <c r="G381" s="52">
        <v>1</v>
      </c>
      <c r="H381" s="237">
        <v>1</v>
      </c>
      <c r="I381" s="65">
        <v>1956</v>
      </c>
      <c r="J381" s="349">
        <v>5</v>
      </c>
      <c r="K381" s="346">
        <f t="shared" si="84"/>
        <v>6</v>
      </c>
      <c r="L381" s="346">
        <v>1</v>
      </c>
      <c r="M381" s="349">
        <v>5</v>
      </c>
      <c r="N381" s="255">
        <f t="shared" si="82"/>
        <v>1</v>
      </c>
      <c r="O381" s="310">
        <v>78</v>
      </c>
      <c r="P381" s="66">
        <v>3</v>
      </c>
      <c r="Q381" s="66"/>
      <c r="R381" s="66">
        <v>4</v>
      </c>
      <c r="S381" s="66">
        <v>58</v>
      </c>
      <c r="T381" s="66">
        <v>16</v>
      </c>
      <c r="U381" s="66">
        <v>0</v>
      </c>
      <c r="V381" s="66">
        <v>0</v>
      </c>
      <c r="W381" s="54">
        <v>0</v>
      </c>
      <c r="X381" s="55">
        <f>SUMIFS(Таблица3[Кол-во квартир],Таблица3[Адрес МКД],$D381)</f>
        <v>74</v>
      </c>
      <c r="Y381" s="56">
        <f t="shared" si="87"/>
        <v>7677.7999999999993</v>
      </c>
      <c r="Z381" s="253">
        <f>SUMIFS(Таблица3[Площадь жилая],Таблица3[Адрес МКД],$D381)</f>
        <v>4502.2</v>
      </c>
      <c r="AA381" s="261">
        <f>SUMIFS(Таблица3[Площадь нежилых помещений],Таблица3[Адрес МКД],$D381)</f>
        <v>887.5</v>
      </c>
      <c r="AB381" s="252">
        <f>SUMIFS(Таблица1[1],Таблица1[2],$D381)</f>
        <v>887.5</v>
      </c>
      <c r="AC381" s="57">
        <f>AE381+AK381+AO381+AS381+AW381</f>
        <v>887.5</v>
      </c>
      <c r="AD381" s="57">
        <f t="shared" si="79"/>
        <v>0</v>
      </c>
      <c r="AE381" s="58">
        <f>SUMIFS(Таблица1[8],Таблица1[2],$D381)+SUMIFS(Таблица1[18],Таблица1[2],$D381)</f>
        <v>566.19999999999993</v>
      </c>
      <c r="AF381" s="58">
        <f>SUMIFS(Таблица1[9],Таблица1[2],$D381)+SUMIFS(Таблица1[19],Таблица1[2],$D381)</f>
        <v>0</v>
      </c>
      <c r="AG381" s="59">
        <f>AJ381+AR381+AV381+AZ381+BB381</f>
        <v>2288.1</v>
      </c>
      <c r="AH381" s="59">
        <f>AJ381+AL381+AR381+AT381+AV381+AX381+BB381+BD381</f>
        <v>2288.1</v>
      </c>
      <c r="AI381" s="60">
        <f>628.4-AM381</f>
        <v>371.29999999999995</v>
      </c>
      <c r="AJ381" s="60">
        <f t="shared" si="74"/>
        <v>307.09999999999997</v>
      </c>
      <c r="AK381" s="60">
        <f>SUMIFS(Таблица1[10],Таблица1[2],$D381)</f>
        <v>64.2</v>
      </c>
      <c r="AL381" s="60">
        <f>SUMIFS(Таблица1[11],Таблица1[2],$D381)</f>
        <v>0</v>
      </c>
      <c r="AM381" s="251">
        <v>257.10000000000002</v>
      </c>
      <c r="AN381" s="249">
        <f t="shared" si="75"/>
        <v>0</v>
      </c>
      <c r="AO381" s="249">
        <f>SUMIFS(Таблица1[12],Таблица1[2],$D381)</f>
        <v>257.10000000000002</v>
      </c>
      <c r="AP381" s="249">
        <f>SUMIFS(Таблица1[13],Таблица1[2],$D381)</f>
        <v>0</v>
      </c>
      <c r="AQ381" s="61">
        <v>590.4</v>
      </c>
      <c r="AR381" s="61">
        <f t="shared" si="76"/>
        <v>590.4</v>
      </c>
      <c r="AS381" s="60">
        <f>SUMIFS(Таблица1[14],Таблица1[2],$D381)</f>
        <v>0</v>
      </c>
      <c r="AT381" s="60">
        <f>SUMIFS(Таблица1[15],Таблица1[2],$D381)</f>
        <v>0</v>
      </c>
      <c r="AU381" s="61">
        <v>1390.6</v>
      </c>
      <c r="AV381" s="61">
        <f t="shared" si="77"/>
        <v>1390.6</v>
      </c>
      <c r="AW381" s="60">
        <f>SUMIFS(Таблица1[16],Таблица1[2],$D381)</f>
        <v>0</v>
      </c>
      <c r="AX381" s="60">
        <f>SUMIFS(Таблица1[17],Таблица1[2],$D381)</f>
        <v>0</v>
      </c>
      <c r="AY381" s="263"/>
      <c r="AZ381" s="264"/>
      <c r="BA381" s="296">
        <v>25.9</v>
      </c>
      <c r="BB381" s="296">
        <f t="shared" si="86"/>
        <v>0</v>
      </c>
      <c r="BC381" s="296">
        <f>Нежилые!I2112</f>
        <v>25.9</v>
      </c>
      <c r="BD381" s="296">
        <v>0</v>
      </c>
      <c r="BE381" s="285"/>
      <c r="BF381" s="259">
        <v>3556</v>
      </c>
      <c r="BG381" s="260">
        <v>21884</v>
      </c>
      <c r="BH381" s="62" t="s">
        <v>936</v>
      </c>
      <c r="BI381" s="62" t="s">
        <v>935</v>
      </c>
      <c r="BJ381" s="62"/>
      <c r="BK381" s="267"/>
      <c r="BL381" s="267"/>
      <c r="BM381" s="267" t="s">
        <v>1649</v>
      </c>
      <c r="BN381" s="268"/>
      <c r="BO381" s="62">
        <v>33</v>
      </c>
      <c r="BP381" s="63">
        <v>28583</v>
      </c>
      <c r="BQ381" s="64" t="s">
        <v>1131</v>
      </c>
      <c r="BR381" s="372" t="s">
        <v>2747</v>
      </c>
      <c r="BS381" s="62"/>
      <c r="BT381" s="323"/>
      <c r="BU381" s="62"/>
      <c r="BV381" s="323"/>
      <c r="BW381" s="62"/>
      <c r="BX381" s="336">
        <v>39</v>
      </c>
      <c r="BY381" s="336"/>
    </row>
    <row r="382" spans="1:77" ht="13.15" hidden="1" customHeight="1" outlineLevel="1" x14ac:dyDescent="0.2">
      <c r="A382" s="50">
        <f t="shared" si="83"/>
        <v>377</v>
      </c>
      <c r="B382" s="51">
        <v>73</v>
      </c>
      <c r="C382" s="51">
        <v>121</v>
      </c>
      <c r="D382" s="18" t="s">
        <v>420</v>
      </c>
      <c r="E382" s="18">
        <v>9</v>
      </c>
      <c r="F382" s="18">
        <v>1</v>
      </c>
      <c r="G382" s="52">
        <v>1</v>
      </c>
      <c r="H382" s="237">
        <v>1</v>
      </c>
      <c r="I382" s="65">
        <v>1949</v>
      </c>
      <c r="J382" s="349">
        <v>3</v>
      </c>
      <c r="K382" s="346">
        <f t="shared" si="84"/>
        <v>4</v>
      </c>
      <c r="L382" s="346">
        <v>1</v>
      </c>
      <c r="M382" s="349">
        <v>4</v>
      </c>
      <c r="N382" s="255">
        <f t="shared" si="82"/>
        <v>0</v>
      </c>
      <c r="O382" s="310">
        <v>48</v>
      </c>
      <c r="P382" s="66">
        <v>2</v>
      </c>
      <c r="Q382" s="66"/>
      <c r="R382" s="66">
        <v>0</v>
      </c>
      <c r="S382" s="66">
        <v>36</v>
      </c>
      <c r="T382" s="66">
        <v>12</v>
      </c>
      <c r="U382" s="66">
        <v>0</v>
      </c>
      <c r="V382" s="66">
        <v>0</v>
      </c>
      <c r="W382" s="54">
        <v>0</v>
      </c>
      <c r="X382" s="55">
        <f>SUMIFS(Таблица3[Кол-во квартир],Таблица3[Адрес МКД],$D382)</f>
        <v>46</v>
      </c>
      <c r="Y382" s="56">
        <f t="shared" si="87"/>
        <v>3587.1000000000004</v>
      </c>
      <c r="Z382" s="253">
        <f>SUMIFS(Таблица3[Площадь жилая],Таблица3[Адрес МКД],$D382)</f>
        <v>1778.3</v>
      </c>
      <c r="AA382" s="261">
        <f>SUMIFS(Таблица3[Площадь нежилых помещений],Таблица3[Адрес МКД],$D382)</f>
        <v>104.9</v>
      </c>
      <c r="AB382" s="252">
        <f>SUMIFS(Таблица1[1],Таблица1[2],$D382)</f>
        <v>104.9</v>
      </c>
      <c r="AC382" s="57">
        <f t="shared" si="78"/>
        <v>104.9</v>
      </c>
      <c r="AD382" s="57">
        <f t="shared" si="79"/>
        <v>0</v>
      </c>
      <c r="AE382" s="58">
        <f>SUMIFS(Таблица1[8],Таблица1[2],$D382)+SUMIFS(Таблица1[18],Таблица1[2],$D382)</f>
        <v>104.9</v>
      </c>
      <c r="AF382" s="58">
        <f>SUMIFS(Таблица1[9],Таблица1[2],$D382)+SUMIFS(Таблица1[19],Таблица1[2],$D382)</f>
        <v>0</v>
      </c>
      <c r="AG382" s="59">
        <f t="shared" si="80"/>
        <v>1703.9</v>
      </c>
      <c r="AH382" s="59">
        <f t="shared" si="81"/>
        <v>1703.9</v>
      </c>
      <c r="AI382" s="60">
        <f>610.5-AM382</f>
        <v>610.5</v>
      </c>
      <c r="AJ382" s="60">
        <f t="shared" si="74"/>
        <v>610.5</v>
      </c>
      <c r="AK382" s="60">
        <f>SUMIFS(Таблица1[10],Таблица1[2],$D382)</f>
        <v>0</v>
      </c>
      <c r="AL382" s="60">
        <f>SUMIFS(Таблица1[11],Таблица1[2],$D382)</f>
        <v>0</v>
      </c>
      <c r="AM382" s="251">
        <v>0</v>
      </c>
      <c r="AN382" s="249">
        <f t="shared" si="75"/>
        <v>0</v>
      </c>
      <c r="AO382" s="249">
        <f>SUMIFS(Таблица1[12],Таблица1[2],$D382)</f>
        <v>0</v>
      </c>
      <c r="AP382" s="249">
        <f>SUMIFS(Таблица1[13],Таблица1[2],$D382)</f>
        <v>0</v>
      </c>
      <c r="AQ382" s="61">
        <v>264.7</v>
      </c>
      <c r="AR382" s="61">
        <f t="shared" si="76"/>
        <v>264.7</v>
      </c>
      <c r="AS382" s="60">
        <f>SUMIFS(Таблица1[14],Таблица1[2],$D382)</f>
        <v>0</v>
      </c>
      <c r="AT382" s="60">
        <f>SUMIFS(Таблица1[15],Таблица1[2],$D382)</f>
        <v>0</v>
      </c>
      <c r="AU382" s="61">
        <v>828.7</v>
      </c>
      <c r="AV382" s="61">
        <f t="shared" si="77"/>
        <v>828.7</v>
      </c>
      <c r="AW382" s="60">
        <f>SUMIFS(Таблица1[16],Таблица1[2],$D382)</f>
        <v>0</v>
      </c>
      <c r="AX382" s="60">
        <f>SUMIFS(Таблица1[17],Таблица1[2],$D382)</f>
        <v>0</v>
      </c>
      <c r="AY382" s="263"/>
      <c r="AZ382" s="264"/>
      <c r="BA382" s="296">
        <v>0</v>
      </c>
      <c r="BB382" s="296">
        <f t="shared" si="86"/>
        <v>0</v>
      </c>
      <c r="BC382" s="296">
        <v>0</v>
      </c>
      <c r="BD382" s="296">
        <v>0</v>
      </c>
      <c r="BE382" s="285"/>
      <c r="BF382" s="259">
        <v>2087</v>
      </c>
      <c r="BG382" s="260">
        <v>9474</v>
      </c>
      <c r="BH382" s="62" t="s">
        <v>936</v>
      </c>
      <c r="BI382" s="62" t="s">
        <v>935</v>
      </c>
      <c r="BJ382" s="62" t="s">
        <v>944</v>
      </c>
      <c r="BK382" s="267"/>
      <c r="BL382" s="267"/>
      <c r="BM382" s="267" t="s">
        <v>1649</v>
      </c>
      <c r="BN382" s="268"/>
      <c r="BO382" s="62">
        <v>27</v>
      </c>
      <c r="BP382" s="63">
        <v>29998</v>
      </c>
      <c r="BQ382" s="64" t="s">
        <v>1131</v>
      </c>
      <c r="BR382" s="372" t="s">
        <v>2747</v>
      </c>
      <c r="BS382" s="62"/>
      <c r="BT382" s="323"/>
      <c r="BU382" s="62"/>
      <c r="BV382" s="323"/>
      <c r="BW382" s="62"/>
      <c r="BX382" s="336">
        <v>27</v>
      </c>
      <c r="BY382" s="336" t="s">
        <v>1649</v>
      </c>
    </row>
    <row r="383" spans="1:77" ht="13.15" hidden="1" customHeight="1" outlineLevel="1" x14ac:dyDescent="0.2">
      <c r="A383" s="50">
        <f t="shared" si="83"/>
        <v>378</v>
      </c>
      <c r="B383" s="51">
        <v>74</v>
      </c>
      <c r="C383" s="51">
        <v>122</v>
      </c>
      <c r="D383" s="18" t="s">
        <v>421</v>
      </c>
      <c r="E383" s="18">
        <v>9</v>
      </c>
      <c r="F383" s="18">
        <v>1</v>
      </c>
      <c r="G383" s="52">
        <v>1</v>
      </c>
      <c r="H383" s="237">
        <v>1</v>
      </c>
      <c r="I383" s="65">
        <v>1950</v>
      </c>
      <c r="J383" s="349">
        <v>3</v>
      </c>
      <c r="K383" s="346">
        <f t="shared" si="84"/>
        <v>4</v>
      </c>
      <c r="L383" s="346">
        <v>1</v>
      </c>
      <c r="M383" s="349">
        <v>5</v>
      </c>
      <c r="N383" s="255">
        <f t="shared" si="82"/>
        <v>0</v>
      </c>
      <c r="O383" s="310">
        <v>57</v>
      </c>
      <c r="P383" s="66">
        <v>2</v>
      </c>
      <c r="Q383" s="66"/>
      <c r="R383" s="66">
        <v>13</v>
      </c>
      <c r="S383" s="66">
        <v>34</v>
      </c>
      <c r="T383" s="66">
        <v>10</v>
      </c>
      <c r="U383" s="66">
        <v>0</v>
      </c>
      <c r="V383" s="66">
        <v>0</v>
      </c>
      <c r="W383" s="54">
        <v>0</v>
      </c>
      <c r="X383" s="55">
        <f>SUMIFS(Таблица3[Кол-во квартир],Таблица3[Адрес МКД],$D383)</f>
        <v>55</v>
      </c>
      <c r="Y383" s="56">
        <f t="shared" si="87"/>
        <v>4877.3999999999996</v>
      </c>
      <c r="Z383" s="253">
        <f>SUMIFS(Таблица3[Площадь жилая],Таблица3[Адрес МКД],$D383)</f>
        <v>2791.3</v>
      </c>
      <c r="AA383" s="261">
        <f>SUMIFS(Таблица3[Площадь нежилых помещений],Таблица3[Адрес МКД],$D383)</f>
        <v>159.80000000000001</v>
      </c>
      <c r="AB383" s="252">
        <f>SUMIFS(Таблица1[1],Таблица1[2],$D383)</f>
        <v>170.9</v>
      </c>
      <c r="AC383" s="57">
        <f t="shared" si="78"/>
        <v>159.80000000000001</v>
      </c>
      <c r="AD383" s="57">
        <f t="shared" si="79"/>
        <v>11.1</v>
      </c>
      <c r="AE383" s="58">
        <f>SUMIFS(Таблица1[8],Таблица1[2],$D383)+SUMIFS(Таблица1[18],Таблица1[2],$D383)</f>
        <v>97</v>
      </c>
      <c r="AF383" s="58">
        <f>SUMIFS(Таблица1[9],Таблица1[2],$D383)+SUMIFS(Таблица1[19],Таблица1[2],$D383)</f>
        <v>0</v>
      </c>
      <c r="AG383" s="59">
        <f t="shared" si="80"/>
        <v>1915.1999999999998</v>
      </c>
      <c r="AH383" s="59">
        <f t="shared" si="81"/>
        <v>1926.3</v>
      </c>
      <c r="AI383" s="60">
        <f>385.9-AM383</f>
        <v>385.9</v>
      </c>
      <c r="AJ383" s="60">
        <f t="shared" si="74"/>
        <v>323.09999999999997</v>
      </c>
      <c r="AK383" s="60">
        <f>SUMIFS(Таблица1[10],Таблица1[2],$D383)</f>
        <v>62.8</v>
      </c>
      <c r="AL383" s="60">
        <f>SUMIFS(Таблица1[11],Таблица1[2],$D383)</f>
        <v>0</v>
      </c>
      <c r="AM383" s="251">
        <v>0</v>
      </c>
      <c r="AN383" s="249">
        <f t="shared" si="75"/>
        <v>0</v>
      </c>
      <c r="AO383" s="249">
        <f>SUMIFS(Таблица1[12],Таблица1[2],$D383)</f>
        <v>0</v>
      </c>
      <c r="AP383" s="249">
        <f>SUMIFS(Таблица1[13],Таблица1[2],$D383)</f>
        <v>0</v>
      </c>
      <c r="AQ383" s="61">
        <f>369.2</f>
        <v>369.2</v>
      </c>
      <c r="AR383" s="61">
        <f t="shared" si="76"/>
        <v>358.09999999999997</v>
      </c>
      <c r="AS383" s="60">
        <f>SUMIFS(Таблица1[14],Таблица1[2],$D383)</f>
        <v>0</v>
      </c>
      <c r="AT383" s="60">
        <f>SUMIFS(Таблица1[15],Таблица1[2],$D383)</f>
        <v>11.1</v>
      </c>
      <c r="AU383" s="61">
        <v>1234</v>
      </c>
      <c r="AV383" s="61">
        <f t="shared" si="77"/>
        <v>1234</v>
      </c>
      <c r="AW383" s="60">
        <f>SUMIFS(Таблица1[16],Таблица1[2],$D383)</f>
        <v>0</v>
      </c>
      <c r="AX383" s="60">
        <f>SUMIFS(Таблица1[17],Таблица1[2],$D383)</f>
        <v>0</v>
      </c>
      <c r="AY383" s="263"/>
      <c r="AZ383" s="264"/>
      <c r="BA383" s="296">
        <v>0</v>
      </c>
      <c r="BB383" s="296">
        <f t="shared" si="86"/>
        <v>0</v>
      </c>
      <c r="BC383" s="296">
        <v>0</v>
      </c>
      <c r="BD383" s="296">
        <v>0</v>
      </c>
      <c r="BE383" s="285"/>
      <c r="BF383" s="259">
        <v>3849</v>
      </c>
      <c r="BG383" s="260">
        <v>13715</v>
      </c>
      <c r="BH383" s="62" t="s">
        <v>936</v>
      </c>
      <c r="BI383" s="62" t="s">
        <v>935</v>
      </c>
      <c r="BJ383" s="62"/>
      <c r="BK383" s="267"/>
      <c r="BL383" s="267"/>
      <c r="BM383" s="267" t="s">
        <v>1649</v>
      </c>
      <c r="BN383" s="268"/>
      <c r="BO383" s="62">
        <v>19</v>
      </c>
      <c r="BP383" s="63">
        <v>30517</v>
      </c>
      <c r="BQ383" s="64" t="s">
        <v>1131</v>
      </c>
      <c r="BR383" s="372" t="s">
        <v>2747</v>
      </c>
      <c r="BS383" s="62"/>
      <c r="BT383" s="323"/>
      <c r="BU383" s="62"/>
      <c r="BV383" s="323"/>
      <c r="BW383" s="62"/>
      <c r="BX383" s="336">
        <v>54</v>
      </c>
      <c r="BY383" s="336" t="s">
        <v>1649</v>
      </c>
    </row>
    <row r="384" spans="1:77" ht="13.15" hidden="1" customHeight="1" outlineLevel="1" x14ac:dyDescent="0.2">
      <c r="A384" s="50">
        <f t="shared" si="83"/>
        <v>379</v>
      </c>
      <c r="B384" s="51">
        <v>75</v>
      </c>
      <c r="C384" s="51">
        <v>123</v>
      </c>
      <c r="D384" s="18" t="s">
        <v>422</v>
      </c>
      <c r="E384" s="18">
        <v>9</v>
      </c>
      <c r="F384" s="18">
        <v>1</v>
      </c>
      <c r="G384" s="52">
        <v>1</v>
      </c>
      <c r="H384" s="366">
        <v>1</v>
      </c>
      <c r="I384" s="65">
        <v>1950</v>
      </c>
      <c r="J384" s="349">
        <v>3</v>
      </c>
      <c r="K384" s="346">
        <f t="shared" si="84"/>
        <v>4</v>
      </c>
      <c r="L384" s="346">
        <v>1</v>
      </c>
      <c r="M384" s="349">
        <v>2</v>
      </c>
      <c r="N384" s="255">
        <f t="shared" si="82"/>
        <v>0</v>
      </c>
      <c r="O384" s="310">
        <v>24</v>
      </c>
      <c r="P384" s="66">
        <v>0</v>
      </c>
      <c r="Q384" s="66"/>
      <c r="R384" s="66">
        <v>6</v>
      </c>
      <c r="S384" s="66">
        <v>12</v>
      </c>
      <c r="T384" s="66">
        <v>6</v>
      </c>
      <c r="U384" s="66">
        <v>0</v>
      </c>
      <c r="V384" s="66">
        <v>0</v>
      </c>
      <c r="W384" s="54">
        <v>0</v>
      </c>
      <c r="X384" s="55">
        <f>SUMIFS(Таблица3[Кол-во квартир],Таблица3[Адрес МКД],$D384)</f>
        <v>24</v>
      </c>
      <c r="Y384" s="56">
        <f t="shared" si="87"/>
        <v>2207.9</v>
      </c>
      <c r="Z384" s="253">
        <f>SUMIFS(Таблица3[Площадь жилая],Таблица3[Адрес МКД],$D384)</f>
        <v>1160.2</v>
      </c>
      <c r="AA384" s="261">
        <f>SUMIFS(Таблица3[Площадь нежилых помещений],Таблица3[Адрес МКД],$D384)</f>
        <v>219</v>
      </c>
      <c r="AB384" s="252">
        <f>SUMIFS(Таблица1[1],Таблица1[2],$D384)</f>
        <v>219</v>
      </c>
      <c r="AC384" s="57">
        <f t="shared" si="78"/>
        <v>219</v>
      </c>
      <c r="AD384" s="57">
        <f t="shared" si="79"/>
        <v>0</v>
      </c>
      <c r="AE384" s="58">
        <f>SUMIFS(Таблица1[8],Таблица1[2],$D384)+SUMIFS(Таблица1[18],Таблица1[2],$D384)</f>
        <v>0</v>
      </c>
      <c r="AF384" s="58">
        <f>SUMIFS(Таблица1[9],Таблица1[2],$D384)+SUMIFS(Таблица1[19],Таблица1[2],$D384)</f>
        <v>0</v>
      </c>
      <c r="AG384" s="59">
        <f t="shared" si="80"/>
        <v>828.7</v>
      </c>
      <c r="AH384" s="59">
        <f t="shared" si="81"/>
        <v>828.7</v>
      </c>
      <c r="AI384" s="60">
        <f>385.9-AM384</f>
        <v>166.89999999999998</v>
      </c>
      <c r="AJ384" s="60">
        <f t="shared" ref="AJ384:AJ389" si="88">AI384-AK384-AL384</f>
        <v>166.89999999999998</v>
      </c>
      <c r="AK384" s="60">
        <f>SUMIFS(Таблица1[10],Таблица1[2],$D384)</f>
        <v>0</v>
      </c>
      <c r="AL384" s="60">
        <f>SUMIFS(Таблица1[11],Таблица1[2],$D384)</f>
        <v>0</v>
      </c>
      <c r="AM384" s="251">
        <v>219</v>
      </c>
      <c r="AN384" s="249">
        <f t="shared" ref="AN384:AN389" si="89">AM384-AO384-AP384</f>
        <v>0</v>
      </c>
      <c r="AO384" s="249">
        <f>SUMIFS(Таблица1[12],Таблица1[2],$D384)</f>
        <v>219</v>
      </c>
      <c r="AP384" s="249">
        <f>SUMIFS(Таблица1[13],Таблица1[2],$D384)</f>
        <v>0</v>
      </c>
      <c r="AQ384" s="61">
        <v>161.5</v>
      </c>
      <c r="AR384" s="61">
        <f t="shared" ref="AR384:AR389" si="90">AQ384-AS384-AT384</f>
        <v>161.5</v>
      </c>
      <c r="AS384" s="60">
        <f>SUMIFS(Таблица1[14],Таблица1[2],$D384)</f>
        <v>0</v>
      </c>
      <c r="AT384" s="60">
        <f>SUMIFS(Таблица1[15],Таблица1[2],$D384)</f>
        <v>0</v>
      </c>
      <c r="AU384" s="61">
        <v>500.3</v>
      </c>
      <c r="AV384" s="61">
        <f t="shared" ref="AV384:AV389" si="91">AU384-AW384-AX384</f>
        <v>500.3</v>
      </c>
      <c r="AW384" s="60">
        <f>SUMIFS(Таблица1[16],Таблица1[2],$D384)</f>
        <v>0</v>
      </c>
      <c r="AX384" s="60">
        <f>SUMIFS(Таблица1[17],Таблица1[2],$D384)</f>
        <v>0</v>
      </c>
      <c r="AY384" s="263"/>
      <c r="AZ384" s="264"/>
      <c r="BA384" s="296">
        <v>0</v>
      </c>
      <c r="BB384" s="296">
        <f t="shared" si="86"/>
        <v>0</v>
      </c>
      <c r="BC384" s="296">
        <v>0</v>
      </c>
      <c r="BD384" s="296">
        <v>0</v>
      </c>
      <c r="BE384" s="285"/>
      <c r="BF384" s="259">
        <v>1570</v>
      </c>
      <c r="BG384" s="260">
        <v>5570</v>
      </c>
      <c r="BH384" s="62" t="s">
        <v>936</v>
      </c>
      <c r="BI384" s="62" t="s">
        <v>935</v>
      </c>
      <c r="BJ384" s="62"/>
      <c r="BK384" s="267"/>
      <c r="BL384" s="267"/>
      <c r="BM384" s="267" t="s">
        <v>1649</v>
      </c>
      <c r="BN384" s="268"/>
      <c r="BO384" s="62">
        <v>25</v>
      </c>
      <c r="BP384" s="63">
        <v>30291</v>
      </c>
      <c r="BQ384" s="64" t="s">
        <v>1131</v>
      </c>
      <c r="BR384" s="372" t="s">
        <v>2747</v>
      </c>
      <c r="BS384" s="62"/>
      <c r="BT384" s="323"/>
      <c r="BU384" s="62"/>
      <c r="BV384" s="323"/>
      <c r="BW384" s="62"/>
      <c r="BX384" s="336">
        <v>25</v>
      </c>
      <c r="BY384" s="336"/>
    </row>
    <row r="385" spans="1:77" ht="13.15" hidden="1" customHeight="1" outlineLevel="1" x14ac:dyDescent="0.2">
      <c r="A385" s="50">
        <f t="shared" si="83"/>
        <v>380</v>
      </c>
      <c r="B385" s="51">
        <v>76</v>
      </c>
      <c r="C385" s="51">
        <v>124</v>
      </c>
      <c r="D385" s="18" t="s">
        <v>423</v>
      </c>
      <c r="E385" s="18">
        <v>9</v>
      </c>
      <c r="F385" s="18">
        <v>1</v>
      </c>
      <c r="G385" s="52">
        <v>1</v>
      </c>
      <c r="H385" s="237">
        <v>1</v>
      </c>
      <c r="I385" s="65">
        <v>1950</v>
      </c>
      <c r="J385" s="349">
        <v>3</v>
      </c>
      <c r="K385" s="346">
        <f t="shared" si="84"/>
        <v>4</v>
      </c>
      <c r="L385" s="346">
        <v>1</v>
      </c>
      <c r="M385" s="349">
        <v>3</v>
      </c>
      <c r="N385" s="255">
        <f t="shared" si="82"/>
        <v>0</v>
      </c>
      <c r="O385" s="310">
        <v>36</v>
      </c>
      <c r="P385" s="66">
        <v>4</v>
      </c>
      <c r="Q385" s="66"/>
      <c r="R385" s="66">
        <v>10</v>
      </c>
      <c r="S385" s="66">
        <v>21</v>
      </c>
      <c r="T385" s="66">
        <v>5</v>
      </c>
      <c r="U385" s="66">
        <v>0</v>
      </c>
      <c r="V385" s="66">
        <v>0</v>
      </c>
      <c r="W385" s="54">
        <v>0</v>
      </c>
      <c r="X385" s="55">
        <f>SUMIFS(Таблица3[Кол-во квартир],Таблица3[Адрес МКД],$D385)</f>
        <v>32</v>
      </c>
      <c r="Y385" s="56">
        <f t="shared" si="87"/>
        <v>3020.5</v>
      </c>
      <c r="Z385" s="253">
        <f>SUMIFS(Таблица3[Площадь жилая],Таблица3[Адрес МКД],$D385)</f>
        <v>1466.6</v>
      </c>
      <c r="AA385" s="261">
        <f>SUMIFS(Таблица3[Площадь нежилых помещений],Таблица3[Адрес МКД],$D385)</f>
        <v>383.7</v>
      </c>
      <c r="AB385" s="252">
        <f>SUMIFS(Таблица1[1],Таблица1[2],$D385)</f>
        <v>412.30000000000007</v>
      </c>
      <c r="AC385" s="57">
        <f t="shared" ref="AC385:AC389" si="92">AE385+AK385+AO385+AS385+AW385</f>
        <v>383.70000000000005</v>
      </c>
      <c r="AD385" s="57">
        <f t="shared" ref="AD385:AD389" si="93">AF385+AL385+AP385+AT385+AX385</f>
        <v>28.6</v>
      </c>
      <c r="AE385" s="58">
        <f>SUMIFS(Таблица1[8],Таблица1[2],$D385)+SUMIFS(Таблица1[18],Таблица1[2],$D385)</f>
        <v>175.3</v>
      </c>
      <c r="AF385" s="58">
        <f>SUMIFS(Таблица1[9],Таблица1[2],$D385)+SUMIFS(Таблица1[19],Таблица1[2],$D385)</f>
        <v>0</v>
      </c>
      <c r="AG385" s="59">
        <f t="shared" ref="AG385:AG388" si="94">AJ385+AR385+AV385+AZ385</f>
        <v>1141.5999999999999</v>
      </c>
      <c r="AH385" s="59">
        <f t="shared" ref="AH385:AH388" si="95">AJ385+AL385+AR385+AT385+AV385+AX385</f>
        <v>1170.2</v>
      </c>
      <c r="AI385" s="60">
        <f>440.7-AM385</f>
        <v>232.29999999999998</v>
      </c>
      <c r="AJ385" s="60">
        <f t="shared" si="88"/>
        <v>232.29999999999998</v>
      </c>
      <c r="AK385" s="60">
        <f>SUMIFS(Таблица1[10],Таблица1[2],$D385)</f>
        <v>0</v>
      </c>
      <c r="AL385" s="60">
        <f>SUMIFS(Таблица1[11],Таблица1[2],$D385)</f>
        <v>0</v>
      </c>
      <c r="AM385" s="251">
        <v>208.4</v>
      </c>
      <c r="AN385" s="249">
        <f t="shared" si="89"/>
        <v>0</v>
      </c>
      <c r="AO385" s="249">
        <f>SUMIFS(Таблица1[12],Таблица1[2],$D385)</f>
        <v>208.4</v>
      </c>
      <c r="AP385" s="249">
        <f>SUMIFS(Таблица1[13],Таблица1[2],$D385)</f>
        <v>0</v>
      </c>
      <c r="AQ385" s="61">
        <f>246.5</f>
        <v>246.5</v>
      </c>
      <c r="AR385" s="61">
        <f t="shared" si="90"/>
        <v>217.9</v>
      </c>
      <c r="AS385" s="60">
        <f>SUMIFS(Таблица1[14],Таблица1[2],$D385)</f>
        <v>0</v>
      </c>
      <c r="AT385" s="60">
        <f>SUMIFS(Таблица1[15],Таблица1[2],$D385)</f>
        <v>28.6</v>
      </c>
      <c r="AU385" s="61">
        <v>691.4</v>
      </c>
      <c r="AV385" s="61">
        <f t="shared" si="91"/>
        <v>691.4</v>
      </c>
      <c r="AW385" s="60">
        <f>SUMIFS(Таблица1[16],Таблица1[2],$D385)</f>
        <v>0</v>
      </c>
      <c r="AX385" s="60">
        <f>SUMIFS(Таблица1[17],Таблица1[2],$D385)</f>
        <v>0</v>
      </c>
      <c r="AY385" s="263"/>
      <c r="AZ385" s="264"/>
      <c r="BA385" s="296">
        <v>0</v>
      </c>
      <c r="BB385" s="296">
        <f t="shared" si="86"/>
        <v>0</v>
      </c>
      <c r="BC385" s="296">
        <v>0</v>
      </c>
      <c r="BD385" s="296">
        <v>0</v>
      </c>
      <c r="BE385" s="285"/>
      <c r="BF385" s="259">
        <v>2186</v>
      </c>
      <c r="BG385" s="260">
        <v>7727</v>
      </c>
      <c r="BH385" s="62" t="s">
        <v>936</v>
      </c>
      <c r="BI385" s="62" t="s">
        <v>935</v>
      </c>
      <c r="BJ385" s="62" t="s">
        <v>944</v>
      </c>
      <c r="BK385" s="267"/>
      <c r="BL385" s="267"/>
      <c r="BM385" s="267" t="s">
        <v>1649</v>
      </c>
      <c r="BN385" s="268"/>
      <c r="BO385" s="62">
        <v>19</v>
      </c>
      <c r="BP385" s="63">
        <v>29862</v>
      </c>
      <c r="BQ385" s="64" t="s">
        <v>1131</v>
      </c>
      <c r="BR385" s="372" t="s">
        <v>2747</v>
      </c>
      <c r="BS385" s="62"/>
      <c r="BT385" s="323"/>
      <c r="BU385" s="62"/>
      <c r="BV385" s="323"/>
      <c r="BW385" s="62"/>
      <c r="BX385" s="338"/>
      <c r="BY385" s="336"/>
    </row>
    <row r="386" spans="1:77" ht="13.15" hidden="1" customHeight="1" outlineLevel="1" x14ac:dyDescent="0.2">
      <c r="A386" s="50">
        <f t="shared" si="83"/>
        <v>381</v>
      </c>
      <c r="B386" s="51">
        <v>77</v>
      </c>
      <c r="C386" s="51">
        <v>125</v>
      </c>
      <c r="D386" s="18" t="s">
        <v>424</v>
      </c>
      <c r="E386" s="18">
        <v>9</v>
      </c>
      <c r="F386" s="18">
        <v>1</v>
      </c>
      <c r="G386" s="52">
        <v>1</v>
      </c>
      <c r="H386" s="237"/>
      <c r="I386" s="65">
        <v>1950</v>
      </c>
      <c r="J386" s="349">
        <v>3</v>
      </c>
      <c r="K386" s="346">
        <f t="shared" si="84"/>
        <v>4</v>
      </c>
      <c r="L386" s="346">
        <v>1</v>
      </c>
      <c r="M386" s="349">
        <v>2</v>
      </c>
      <c r="N386" s="255">
        <f t="shared" si="82"/>
        <v>0</v>
      </c>
      <c r="O386" s="310">
        <v>18</v>
      </c>
      <c r="P386" s="66">
        <v>0</v>
      </c>
      <c r="Q386" s="66"/>
      <c r="R386" s="66">
        <v>0</v>
      </c>
      <c r="S386" s="66">
        <v>18</v>
      </c>
      <c r="T386" s="66">
        <v>0</v>
      </c>
      <c r="U386" s="66">
        <v>0</v>
      </c>
      <c r="V386" s="66">
        <v>0</v>
      </c>
      <c r="W386" s="54">
        <v>0</v>
      </c>
      <c r="X386" s="55">
        <f>SUMIFS(Таблица3[Кол-во квартир],Таблица3[Адрес МКД],$D386)</f>
        <v>18</v>
      </c>
      <c r="Y386" s="56">
        <f t="shared" si="87"/>
        <v>2044.9</v>
      </c>
      <c r="Z386" s="253">
        <f>SUMIFS(Таблица3[Площадь жилая],Таблица3[Адрес МКД],$D386)</f>
        <v>1111.5999999999999</v>
      </c>
      <c r="AA386" s="261">
        <f>SUMIFS(Таблица3[Площадь нежилых помещений],Таблица3[Адрес МКД],$D386)</f>
        <v>0</v>
      </c>
      <c r="AB386" s="252">
        <f>SUMIFS(Таблица1[1],Таблица1[2],$D386)</f>
        <v>80.400000000000006</v>
      </c>
      <c r="AC386" s="57">
        <f t="shared" si="92"/>
        <v>80.400000000000006</v>
      </c>
      <c r="AD386" s="57">
        <f t="shared" si="93"/>
        <v>0</v>
      </c>
      <c r="AE386" s="58">
        <f>SUMIFS(Таблица1[8],Таблица1[2],$D386)+SUMIFS(Таблица1[18],Таблица1[2],$D386)</f>
        <v>0</v>
      </c>
      <c r="AF386" s="58">
        <f>SUMIFS(Таблица1[9],Таблица1[2],$D386)+SUMIFS(Таблица1[19],Таблица1[2],$D386)</f>
        <v>0</v>
      </c>
      <c r="AG386" s="59">
        <f t="shared" si="94"/>
        <v>852.90000000000009</v>
      </c>
      <c r="AH386" s="59">
        <f t="shared" si="95"/>
        <v>852.90000000000009</v>
      </c>
      <c r="AI386" s="60">
        <f>346.9-AM386</f>
        <v>346.9</v>
      </c>
      <c r="AJ386" s="60">
        <f t="shared" si="88"/>
        <v>266.5</v>
      </c>
      <c r="AK386" s="60">
        <f>SUMIFS(Таблица1[10],Таблица1[2],$D386)</f>
        <v>80.400000000000006</v>
      </c>
      <c r="AL386" s="60">
        <f>SUMIFS(Таблица1[11],Таблица1[2],$D386)</f>
        <v>0</v>
      </c>
      <c r="AM386" s="251">
        <v>0</v>
      </c>
      <c r="AN386" s="249">
        <f t="shared" si="89"/>
        <v>0</v>
      </c>
      <c r="AO386" s="249">
        <f>SUMIFS(Таблица1[12],Таблица1[2],$D386)</f>
        <v>0</v>
      </c>
      <c r="AP386" s="249">
        <f>SUMIFS(Таблица1[13],Таблица1[2],$D386)</f>
        <v>0</v>
      </c>
      <c r="AQ386" s="61">
        <v>105.3</v>
      </c>
      <c r="AR386" s="61">
        <f t="shared" si="90"/>
        <v>105.3</v>
      </c>
      <c r="AS386" s="60">
        <f>SUMIFS(Таблица1[14],Таблица1[2],$D386)</f>
        <v>0</v>
      </c>
      <c r="AT386" s="60">
        <f>SUMIFS(Таблица1[15],Таблица1[2],$D386)</f>
        <v>0</v>
      </c>
      <c r="AU386" s="61">
        <v>481.1</v>
      </c>
      <c r="AV386" s="61">
        <f t="shared" si="91"/>
        <v>481.1</v>
      </c>
      <c r="AW386" s="60">
        <f>SUMIFS(Таблица1[16],Таблица1[2],$D386)</f>
        <v>0</v>
      </c>
      <c r="AX386" s="60">
        <f>SUMIFS(Таблица1[17],Таблица1[2],$D386)</f>
        <v>0</v>
      </c>
      <c r="AY386" s="263">
        <f>Нежилые!G2035</f>
        <v>80.400000000000006</v>
      </c>
      <c r="AZ386" s="264"/>
      <c r="BA386" s="296">
        <v>0</v>
      </c>
      <c r="BB386" s="296">
        <f t="shared" si="86"/>
        <v>0</v>
      </c>
      <c r="BC386" s="296">
        <v>0</v>
      </c>
      <c r="BD386" s="296">
        <v>0</v>
      </c>
      <c r="BE386" s="285"/>
      <c r="BF386" s="259">
        <v>1531</v>
      </c>
      <c r="BG386" s="260">
        <v>5082</v>
      </c>
      <c r="BH386" s="62" t="s">
        <v>936</v>
      </c>
      <c r="BI386" s="62" t="s">
        <v>935</v>
      </c>
      <c r="BJ386" s="62"/>
      <c r="BK386" s="267"/>
      <c r="BL386" s="267"/>
      <c r="BM386" s="267" t="s">
        <v>1649</v>
      </c>
      <c r="BN386" s="268"/>
      <c r="BO386" s="62">
        <v>44</v>
      </c>
      <c r="BP386" s="63">
        <v>40799</v>
      </c>
      <c r="BQ386" s="64" t="s">
        <v>1131</v>
      </c>
      <c r="BR386" s="372" t="s">
        <v>2747</v>
      </c>
      <c r="BS386" s="62"/>
      <c r="BT386" s="323"/>
      <c r="BU386" s="62"/>
      <c r="BV386" s="323"/>
      <c r="BW386" s="62"/>
      <c r="BX386" s="336">
        <v>21</v>
      </c>
      <c r="BY386" s="336"/>
    </row>
    <row r="387" spans="1:77" ht="13.15" hidden="1" customHeight="1" outlineLevel="1" x14ac:dyDescent="0.2">
      <c r="A387" s="50">
        <f t="shared" si="83"/>
        <v>382</v>
      </c>
      <c r="B387" s="51">
        <v>78</v>
      </c>
      <c r="C387" s="51">
        <v>126</v>
      </c>
      <c r="D387" s="18" t="s">
        <v>425</v>
      </c>
      <c r="E387" s="18">
        <v>9</v>
      </c>
      <c r="F387" s="18">
        <v>1</v>
      </c>
      <c r="G387" s="52">
        <v>1</v>
      </c>
      <c r="H387" s="237">
        <v>1</v>
      </c>
      <c r="I387" s="65">
        <v>1950</v>
      </c>
      <c r="J387" s="349">
        <v>3</v>
      </c>
      <c r="K387" s="346">
        <f t="shared" si="84"/>
        <v>4</v>
      </c>
      <c r="L387" s="346">
        <v>1</v>
      </c>
      <c r="M387" s="349">
        <v>2</v>
      </c>
      <c r="N387" s="255">
        <f t="shared" ref="N387:N389" si="96">O387-P387-X387-Q387</f>
        <v>0</v>
      </c>
      <c r="O387" s="310">
        <v>24</v>
      </c>
      <c r="P387" s="66">
        <v>0</v>
      </c>
      <c r="Q387" s="66"/>
      <c r="R387" s="66">
        <v>6</v>
      </c>
      <c r="S387" s="66">
        <v>12</v>
      </c>
      <c r="T387" s="66">
        <v>6</v>
      </c>
      <c r="U387" s="66">
        <v>0</v>
      </c>
      <c r="V387" s="66">
        <v>0</v>
      </c>
      <c r="W387" s="54">
        <v>0</v>
      </c>
      <c r="X387" s="55">
        <f>SUMIFS(Таблица3[Кол-во квартир],Таблица3[Адрес МКД],$D387)</f>
        <v>24</v>
      </c>
      <c r="Y387" s="56">
        <f t="shared" si="87"/>
        <v>2098.1</v>
      </c>
      <c r="Z387" s="253">
        <f>SUMIFS(Таблица3[Площадь жилая],Таблица3[Адрес МКД],$D387)</f>
        <v>1159.8</v>
      </c>
      <c r="AA387" s="261">
        <f>SUMIFS(Таблица3[Площадь нежилых помещений],Таблица3[Адрес МКД],$D387)</f>
        <v>174.5</v>
      </c>
      <c r="AB387" s="252">
        <f>SUMIFS(Таблица1[1],Таблица1[2],$D387)</f>
        <v>174.5</v>
      </c>
      <c r="AC387" s="57">
        <f t="shared" si="92"/>
        <v>174.5</v>
      </c>
      <c r="AD387" s="57">
        <f t="shared" si="93"/>
        <v>0</v>
      </c>
      <c r="AE387" s="58">
        <f>SUMIFS(Таблица1[8],Таблица1[2],$D387)+SUMIFS(Таблица1[18],Таблица1[2],$D387)</f>
        <v>0</v>
      </c>
      <c r="AF387" s="58">
        <f>SUMIFS(Таблица1[9],Таблица1[2],$D387)+SUMIFS(Таблица1[19],Таблица1[2],$D387)</f>
        <v>0</v>
      </c>
      <c r="AG387" s="59">
        <f t="shared" si="94"/>
        <v>763.8</v>
      </c>
      <c r="AH387" s="59">
        <f t="shared" si="95"/>
        <v>763.8</v>
      </c>
      <c r="AI387" s="60">
        <f>347.5-AM387</f>
        <v>347.5</v>
      </c>
      <c r="AJ387" s="60">
        <f t="shared" si="88"/>
        <v>173</v>
      </c>
      <c r="AK387" s="60">
        <f>SUMIFS(Таблица1[10],Таблица1[2],$D387)</f>
        <v>174.5</v>
      </c>
      <c r="AL387" s="60">
        <f>SUMIFS(Таблица1[11],Таблица1[2],$D387)</f>
        <v>0</v>
      </c>
      <c r="AM387" s="251">
        <v>0</v>
      </c>
      <c r="AN387" s="249">
        <f t="shared" si="89"/>
        <v>0</v>
      </c>
      <c r="AO387" s="249">
        <f>SUMIFS(Таблица1[12],Таблица1[2],$D387)</f>
        <v>0</v>
      </c>
      <c r="AP387" s="249">
        <f>SUMIFS(Таблица1[13],Таблица1[2],$D387)</f>
        <v>0</v>
      </c>
      <c r="AQ387" s="61">
        <v>131.5</v>
      </c>
      <c r="AR387" s="61">
        <f t="shared" si="90"/>
        <v>131.5</v>
      </c>
      <c r="AS387" s="60">
        <f>SUMIFS(Таблица1[14],Таблица1[2],$D387)</f>
        <v>0</v>
      </c>
      <c r="AT387" s="60">
        <f>SUMIFS(Таблица1[15],Таблица1[2],$D387)</f>
        <v>0</v>
      </c>
      <c r="AU387" s="61">
        <v>459.3</v>
      </c>
      <c r="AV387" s="61">
        <f t="shared" si="91"/>
        <v>459.3</v>
      </c>
      <c r="AW387" s="60">
        <f>SUMIFS(Таблица1[16],Таблица1[2],$D387)</f>
        <v>0</v>
      </c>
      <c r="AX387" s="60">
        <f>SUMIFS(Таблица1[17],Таблица1[2],$D387)</f>
        <v>0</v>
      </c>
      <c r="AY387" s="263"/>
      <c r="AZ387" s="264"/>
      <c r="BA387" s="296">
        <v>0</v>
      </c>
      <c r="BB387" s="296">
        <f t="shared" si="86"/>
        <v>0</v>
      </c>
      <c r="BC387" s="296">
        <v>0</v>
      </c>
      <c r="BD387" s="296">
        <v>0</v>
      </c>
      <c r="BE387" s="285"/>
      <c r="BF387" s="259">
        <f>899+783</f>
        <v>1682</v>
      </c>
      <c r="BG387" s="260">
        <v>5654</v>
      </c>
      <c r="BH387" s="62" t="s">
        <v>936</v>
      </c>
      <c r="BI387" s="62" t="s">
        <v>935</v>
      </c>
      <c r="BJ387" s="62"/>
      <c r="BK387" s="267"/>
      <c r="BL387" s="267"/>
      <c r="BM387" s="267" t="s">
        <v>1649</v>
      </c>
      <c r="BN387" s="268"/>
      <c r="BO387" s="62">
        <v>27</v>
      </c>
      <c r="BP387" s="63">
        <v>30012</v>
      </c>
      <c r="BQ387" s="64" t="s">
        <v>1131</v>
      </c>
      <c r="BR387" s="372" t="s">
        <v>2747</v>
      </c>
      <c r="BS387" s="62"/>
      <c r="BT387" s="323"/>
      <c r="BU387" s="62"/>
      <c r="BV387" s="323"/>
      <c r="BW387" s="62"/>
      <c r="BX387" s="336">
        <v>25</v>
      </c>
      <c r="BY387" s="336"/>
    </row>
    <row r="388" spans="1:77" ht="13.15" hidden="1" customHeight="1" outlineLevel="1" x14ac:dyDescent="0.2">
      <c r="A388" s="50">
        <f t="shared" ref="A388:A389" si="97">A387+1</f>
        <v>383</v>
      </c>
      <c r="B388" s="51">
        <v>79</v>
      </c>
      <c r="C388" s="51">
        <v>127</v>
      </c>
      <c r="D388" s="18" t="s">
        <v>1323</v>
      </c>
      <c r="E388" s="18">
        <v>9</v>
      </c>
      <c r="F388" s="18">
        <v>1</v>
      </c>
      <c r="G388" s="52">
        <v>1</v>
      </c>
      <c r="H388" s="237">
        <v>1</v>
      </c>
      <c r="I388" s="65">
        <v>1949</v>
      </c>
      <c r="J388" s="349">
        <v>3</v>
      </c>
      <c r="K388" s="346">
        <f t="shared" ref="K388:K389" si="98">J388+L388</f>
        <v>4</v>
      </c>
      <c r="L388" s="346">
        <v>1</v>
      </c>
      <c r="M388" s="349">
        <v>4</v>
      </c>
      <c r="N388" s="255">
        <f t="shared" si="96"/>
        <v>0</v>
      </c>
      <c r="O388" s="310">
        <v>36</v>
      </c>
      <c r="P388" s="66">
        <v>0</v>
      </c>
      <c r="Q388" s="66"/>
      <c r="R388" s="66">
        <v>10</v>
      </c>
      <c r="S388" s="66">
        <v>19</v>
      </c>
      <c r="T388" s="66">
        <v>7</v>
      </c>
      <c r="U388" s="66">
        <v>0</v>
      </c>
      <c r="V388" s="66">
        <v>0</v>
      </c>
      <c r="W388" s="54">
        <v>0</v>
      </c>
      <c r="X388" s="55">
        <f>SUMIFS(Таблица3[Кол-во квартир],Таблица3[Адрес МКД],$D388)</f>
        <v>36</v>
      </c>
      <c r="Y388" s="56">
        <f t="shared" si="87"/>
        <v>3808.6</v>
      </c>
      <c r="Z388" s="253">
        <f>SUMIFS(Таблица3[Площадь жилая],Таблица3[Адрес МКД],$D388)</f>
        <v>2023.5</v>
      </c>
      <c r="AA388" s="261">
        <f>SUMIFS(Таблица3[Площадь нежилых помещений],Таблица3[Адрес МКД],$D388)</f>
        <v>187.1</v>
      </c>
      <c r="AB388" s="252">
        <f>SUMIFS(Таблица1[1],Таблица1[2],$D388)</f>
        <v>187.1</v>
      </c>
      <c r="AC388" s="57">
        <f t="shared" si="92"/>
        <v>187.1</v>
      </c>
      <c r="AD388" s="57">
        <f t="shared" si="93"/>
        <v>0</v>
      </c>
      <c r="AE388" s="58">
        <f>SUMIFS(Таблица1[8],Таблица1[2],$D388)+SUMIFS(Таблица1[18],Таблица1[2],$D388)</f>
        <v>0</v>
      </c>
      <c r="AF388" s="58">
        <f>SUMIFS(Таблица1[9],Таблица1[2],$D388)+SUMIFS(Таблица1[19],Таблица1[2],$D388)</f>
        <v>0</v>
      </c>
      <c r="AG388" s="59">
        <f t="shared" si="94"/>
        <v>1598</v>
      </c>
      <c r="AH388" s="59">
        <f t="shared" si="95"/>
        <v>1598</v>
      </c>
      <c r="AI388" s="60">
        <f>600.1-AM388</f>
        <v>600.1</v>
      </c>
      <c r="AJ388" s="60">
        <f t="shared" si="88"/>
        <v>413</v>
      </c>
      <c r="AK388" s="60">
        <f>SUMIFS(Таблица1[10],Таблица1[2],$D388)</f>
        <v>187.1</v>
      </c>
      <c r="AL388" s="60">
        <f>SUMIFS(Таблица1[11],Таблица1[2],$D388)</f>
        <v>0</v>
      </c>
      <c r="AM388" s="251">
        <v>0</v>
      </c>
      <c r="AN388" s="249">
        <f t="shared" si="89"/>
        <v>0</v>
      </c>
      <c r="AO388" s="249">
        <f>SUMIFS(Таблица1[12],Таблица1[2],$D388)</f>
        <v>0</v>
      </c>
      <c r="AP388" s="249">
        <f>SUMIFS(Таблица1[13],Таблица1[2],$D388)</f>
        <v>0</v>
      </c>
      <c r="AQ388" s="61">
        <v>253.4</v>
      </c>
      <c r="AR388" s="61">
        <f t="shared" si="90"/>
        <v>253.4</v>
      </c>
      <c r="AS388" s="60">
        <f>SUMIFS(Таблица1[14],Таблица1[2],$D388)</f>
        <v>0</v>
      </c>
      <c r="AT388" s="60">
        <f>SUMIFS(Таблица1[15],Таблица1[2],$D388)</f>
        <v>0</v>
      </c>
      <c r="AU388" s="61">
        <v>931.6</v>
      </c>
      <c r="AV388" s="61">
        <f t="shared" si="91"/>
        <v>931.6</v>
      </c>
      <c r="AW388" s="60">
        <f>SUMIFS(Таблица1[16],Таблица1[2],$D388)</f>
        <v>0</v>
      </c>
      <c r="AX388" s="60">
        <f>SUMIFS(Таблица1[17],Таблица1[2],$D388)</f>
        <v>0</v>
      </c>
      <c r="AY388" s="263"/>
      <c r="AZ388" s="264"/>
      <c r="BA388" s="296">
        <v>0</v>
      </c>
      <c r="BB388" s="296">
        <f t="shared" si="86"/>
        <v>0</v>
      </c>
      <c r="BC388" s="296">
        <v>0</v>
      </c>
      <c r="BD388" s="296">
        <v>0</v>
      </c>
      <c r="BE388" s="285"/>
      <c r="BF388" s="259">
        <v>2478</v>
      </c>
      <c r="BG388" s="260">
        <f>7730+1677</f>
        <v>9407</v>
      </c>
      <c r="BH388" s="62" t="s">
        <v>936</v>
      </c>
      <c r="BI388" s="62" t="s">
        <v>935</v>
      </c>
      <c r="BJ388" s="62" t="s">
        <v>944</v>
      </c>
      <c r="BK388" s="267"/>
      <c r="BL388" s="267"/>
      <c r="BM388" s="267" t="s">
        <v>1649</v>
      </c>
      <c r="BN388" s="268"/>
      <c r="BO388" s="62">
        <v>32</v>
      </c>
      <c r="BP388" s="63">
        <v>31166</v>
      </c>
      <c r="BQ388" s="64" t="s">
        <v>1131</v>
      </c>
      <c r="BR388" s="372" t="s">
        <v>2747</v>
      </c>
      <c r="BS388" s="62"/>
      <c r="BT388" s="323"/>
      <c r="BU388" s="62"/>
      <c r="BV388" s="323"/>
      <c r="BW388" s="62"/>
      <c r="BX388" s="338"/>
      <c r="BY388" s="336"/>
    </row>
    <row r="389" spans="1:77" ht="13.15" hidden="1" customHeight="1" outlineLevel="1" x14ac:dyDescent="0.2">
      <c r="A389" s="50">
        <f t="shared" si="97"/>
        <v>384</v>
      </c>
      <c r="B389" s="51">
        <v>80</v>
      </c>
      <c r="C389" s="51">
        <v>128</v>
      </c>
      <c r="D389" s="18" t="s">
        <v>426</v>
      </c>
      <c r="E389" s="18">
        <v>9</v>
      </c>
      <c r="F389" s="18">
        <v>1</v>
      </c>
      <c r="G389" s="52">
        <v>1</v>
      </c>
      <c r="H389" s="237">
        <v>1</v>
      </c>
      <c r="I389" s="65">
        <v>1952</v>
      </c>
      <c r="J389" s="349">
        <v>5</v>
      </c>
      <c r="K389" s="346">
        <f t="shared" si="98"/>
        <v>6</v>
      </c>
      <c r="L389" s="346">
        <v>1</v>
      </c>
      <c r="M389" s="349">
        <v>5</v>
      </c>
      <c r="N389" s="255">
        <f t="shared" si="96"/>
        <v>0</v>
      </c>
      <c r="O389" s="310">
        <v>61</v>
      </c>
      <c r="P389" s="66">
        <v>0</v>
      </c>
      <c r="Q389" s="66"/>
      <c r="R389" s="66">
        <v>0</v>
      </c>
      <c r="S389" s="66">
        <v>35</v>
      </c>
      <c r="T389" s="66">
        <v>21</v>
      </c>
      <c r="U389" s="66">
        <v>5</v>
      </c>
      <c r="V389" s="66">
        <v>0</v>
      </c>
      <c r="W389" s="54">
        <v>0</v>
      </c>
      <c r="X389" s="55">
        <f>SUMIFS(Таблица3[Кол-во квартир],Таблица3[Адрес МКД],$D389)</f>
        <v>61</v>
      </c>
      <c r="Y389" s="56">
        <f t="shared" si="87"/>
        <v>7020.1</v>
      </c>
      <c r="Z389" s="253">
        <f>SUMIFS(Таблица3[Площадь жилая],Таблица3[Адрес МКД],$D389)</f>
        <v>3821.2999999999997</v>
      </c>
      <c r="AA389" s="261">
        <f>SUMIFS(Таблица3[Площадь нежилых помещений],Таблица3[Адрес МКД],$D389)</f>
        <v>719.7</v>
      </c>
      <c r="AB389" s="252">
        <f>SUMIFS(Таблица1[1],Таблица1[2],$D389)</f>
        <v>719.7</v>
      </c>
      <c r="AC389" s="57">
        <f t="shared" si="92"/>
        <v>719.7</v>
      </c>
      <c r="AD389" s="57">
        <f t="shared" si="93"/>
        <v>0</v>
      </c>
      <c r="AE389" s="58">
        <f>SUMIFS(Таблица1[8],Таблица1[2],$D389)+SUMIFS(Таблица1[18],Таблица1[2],$D389)</f>
        <v>719.7</v>
      </c>
      <c r="AF389" s="58">
        <f>SUMIFS(Таблица1[9],Таблица1[2],$D389)+SUMIFS(Таблица1[19],Таблица1[2],$D389)</f>
        <v>0</v>
      </c>
      <c r="AG389" s="59">
        <f>AJ389+AR389+AV389+AZ389+BB389</f>
        <v>2479.1</v>
      </c>
      <c r="AH389" s="59">
        <f>AJ389+AL389+AR389+AT389+AV389+AX389+BB389+BD389</f>
        <v>2479.1</v>
      </c>
      <c r="AI389" s="60">
        <f>890.8-AM389</f>
        <v>890.8</v>
      </c>
      <c r="AJ389" s="60">
        <f t="shared" si="88"/>
        <v>890.8</v>
      </c>
      <c r="AK389" s="60">
        <f>SUMIFS(Таблица1[10],Таблица1[2],$D389)</f>
        <v>0</v>
      </c>
      <c r="AL389" s="60">
        <f>SUMIFS(Таблица1[11],Таблица1[2],$D389)</f>
        <v>0</v>
      </c>
      <c r="AM389" s="251">
        <v>0</v>
      </c>
      <c r="AN389" s="249">
        <f t="shared" si="89"/>
        <v>0</v>
      </c>
      <c r="AO389" s="249">
        <f>SUMIFS(Таблица1[12],Таблица1[2],$D389)</f>
        <v>0</v>
      </c>
      <c r="AP389" s="249">
        <f>SUMIFS(Таблица1[13],Таблица1[2],$D389)</f>
        <v>0</v>
      </c>
      <c r="AQ389" s="61">
        <v>516.5</v>
      </c>
      <c r="AR389" s="61">
        <f t="shared" si="90"/>
        <v>516.5</v>
      </c>
      <c r="AS389" s="60">
        <f>SUMIFS(Таблица1[14],Таблица1[2],$D389)</f>
        <v>0</v>
      </c>
      <c r="AT389" s="60">
        <f>SUMIFS(Таблица1[15],Таблица1[2],$D389)</f>
        <v>0</v>
      </c>
      <c r="AU389" s="61">
        <v>1059.3</v>
      </c>
      <c r="AV389" s="61">
        <f t="shared" si="91"/>
        <v>1059.3</v>
      </c>
      <c r="AW389" s="60">
        <f>SUMIFS(Таблица1[16],Таблица1[2],$D389)</f>
        <v>0</v>
      </c>
      <c r="AX389" s="60">
        <f>SUMIFS(Таблица1[17],Таблица1[2],$D389)</f>
        <v>0</v>
      </c>
      <c r="AY389" s="263"/>
      <c r="AZ389" s="264"/>
      <c r="BA389" s="296">
        <v>40.6</v>
      </c>
      <c r="BB389" s="296">
        <f>BA389-BC389-BD389</f>
        <v>12.5</v>
      </c>
      <c r="BC389" s="296">
        <f>Нежилые!G2044</f>
        <v>28.1</v>
      </c>
      <c r="BD389" s="296">
        <v>0</v>
      </c>
      <c r="BE389" s="285"/>
      <c r="BF389" s="259">
        <v>2879</v>
      </c>
      <c r="BG389" s="260">
        <f>7971+12056</f>
        <v>20027</v>
      </c>
      <c r="BH389" s="62" t="s">
        <v>936</v>
      </c>
      <c r="BI389" s="62" t="s">
        <v>935</v>
      </c>
      <c r="BJ389" s="62" t="s">
        <v>944</v>
      </c>
      <c r="BK389" s="267"/>
      <c r="BL389" s="267"/>
      <c r="BM389" s="267" t="s">
        <v>1649</v>
      </c>
      <c r="BN389" s="268"/>
      <c r="BO389" s="62">
        <v>28</v>
      </c>
      <c r="BP389" s="63">
        <v>30386</v>
      </c>
      <c r="BQ389" s="64" t="s">
        <v>1131</v>
      </c>
      <c r="BR389" s="372" t="s">
        <v>2747</v>
      </c>
      <c r="BS389" s="62"/>
      <c r="BT389" s="323"/>
      <c r="BU389" s="62"/>
      <c r="BV389" s="323"/>
      <c r="BW389" s="62"/>
      <c r="BX389" s="338"/>
      <c r="BY389" s="336"/>
    </row>
    <row r="390" spans="1:77" ht="13.15" customHeight="1" collapsed="1" x14ac:dyDescent="0.2">
      <c r="A390" s="71"/>
      <c r="B390" s="72"/>
      <c r="C390" s="72"/>
      <c r="D390" s="73"/>
      <c r="E390" s="73"/>
      <c r="F390" s="73"/>
      <c r="G390" s="74"/>
      <c r="H390" s="238"/>
      <c r="I390" s="75"/>
      <c r="J390" s="76"/>
      <c r="K390" s="342"/>
      <c r="L390" s="342"/>
      <c r="M390" s="77"/>
      <c r="N390" s="78"/>
      <c r="O390" s="79"/>
      <c r="P390" s="79"/>
      <c r="Q390" s="79"/>
      <c r="R390" s="79"/>
      <c r="S390" s="79"/>
      <c r="T390" s="79"/>
      <c r="U390" s="79"/>
      <c r="V390" s="79"/>
      <c r="W390" s="79"/>
      <c r="X390" s="80"/>
      <c r="Y390" s="81"/>
      <c r="Z390" s="82"/>
      <c r="AA390" s="82"/>
      <c r="AB390" s="82"/>
      <c r="AC390" s="82"/>
      <c r="AD390" s="82"/>
      <c r="AE390" s="83"/>
      <c r="AF390" s="83"/>
      <c r="AG390" s="81"/>
      <c r="AH390" s="81"/>
      <c r="AI390" s="83"/>
      <c r="AJ390" s="83"/>
      <c r="AK390" s="83"/>
      <c r="AL390" s="83"/>
      <c r="AM390" s="83"/>
      <c r="AN390" s="83"/>
      <c r="AO390" s="83"/>
      <c r="AP390" s="83"/>
      <c r="AQ390" s="82"/>
      <c r="AR390" s="82"/>
      <c r="AS390" s="83"/>
      <c r="AT390" s="83"/>
      <c r="AU390" s="82"/>
      <c r="AV390" s="82"/>
      <c r="AW390" s="83"/>
      <c r="AX390" s="83"/>
      <c r="AY390" s="83"/>
      <c r="AZ390" s="82"/>
      <c r="BA390" s="82"/>
      <c r="BB390" s="82"/>
      <c r="BC390" s="82"/>
      <c r="BD390" s="82"/>
      <c r="BE390" s="82"/>
      <c r="BF390" s="82"/>
      <c r="BG390" s="84"/>
      <c r="BH390" s="85"/>
      <c r="BI390" s="85"/>
      <c r="BJ390" s="85"/>
      <c r="BK390" s="85"/>
      <c r="BL390" s="85"/>
      <c r="BM390" s="85"/>
      <c r="BN390" s="85"/>
      <c r="BO390" s="85"/>
      <c r="BP390" s="86"/>
      <c r="BQ390" s="87"/>
      <c r="BR390" s="316"/>
    </row>
    <row r="391" spans="1:77" s="102" customFormat="1" ht="12" outlineLevel="1" x14ac:dyDescent="0.2">
      <c r="A391" s="88" t="s">
        <v>1616</v>
      </c>
      <c r="B391" s="89"/>
      <c r="C391" s="89"/>
      <c r="D391" s="89"/>
      <c r="E391" s="90"/>
      <c r="F391" s="90"/>
      <c r="G391" s="91">
        <f>SUM(G6:G389)</f>
        <v>418</v>
      </c>
      <c r="H391" s="91"/>
      <c r="I391" s="92"/>
      <c r="J391" s="93"/>
      <c r="K391" s="93"/>
      <c r="L391" s="93"/>
      <c r="M391" s="94">
        <f t="shared" ref="M391:BG391" si="99">SUM(M6:M389)</f>
        <v>1397.5</v>
      </c>
      <c r="N391" s="95">
        <f t="shared" si="99"/>
        <v>184</v>
      </c>
      <c r="O391" s="315">
        <f t="shared" si="99"/>
        <v>19680</v>
      </c>
      <c r="P391" s="312">
        <f t="shared" si="99"/>
        <v>1120</v>
      </c>
      <c r="Q391" s="312">
        <f t="shared" si="99"/>
        <v>7</v>
      </c>
      <c r="R391" s="312">
        <f t="shared" si="99"/>
        <v>4047</v>
      </c>
      <c r="S391" s="312">
        <f t="shared" si="99"/>
        <v>10503</v>
      </c>
      <c r="T391" s="312">
        <f t="shared" si="99"/>
        <v>4786</v>
      </c>
      <c r="U391" s="312">
        <f t="shared" si="99"/>
        <v>324</v>
      </c>
      <c r="V391" s="312">
        <f t="shared" si="99"/>
        <v>18</v>
      </c>
      <c r="W391" s="312">
        <f t="shared" si="99"/>
        <v>2</v>
      </c>
      <c r="X391" s="313">
        <f t="shared" si="99"/>
        <v>18369</v>
      </c>
      <c r="Y391" s="96">
        <f t="shared" si="99"/>
        <v>1779875.4400000004</v>
      </c>
      <c r="Z391" s="97">
        <f t="shared" si="99"/>
        <v>1007136.1199999999</v>
      </c>
      <c r="AA391" s="262">
        <f t="shared" si="99"/>
        <v>178063.1400000001</v>
      </c>
      <c r="AB391" s="98">
        <f t="shared" si="99"/>
        <v>185544.27</v>
      </c>
      <c r="AC391" s="98">
        <f t="shared" si="99"/>
        <v>181699.77000000002</v>
      </c>
      <c r="AD391" s="98">
        <f t="shared" si="99"/>
        <v>3844.5</v>
      </c>
      <c r="AE391" s="98">
        <f t="shared" si="99"/>
        <v>109127.90000000005</v>
      </c>
      <c r="AF391" s="98">
        <f t="shared" si="99"/>
        <v>384.9</v>
      </c>
      <c r="AG391" s="99">
        <f t="shared" si="99"/>
        <v>587119.05000000005</v>
      </c>
      <c r="AH391" s="99">
        <f t="shared" si="99"/>
        <v>590578.65000000014</v>
      </c>
      <c r="AI391" s="100">
        <f t="shared" si="99"/>
        <v>181991.70000000007</v>
      </c>
      <c r="AJ391" s="100">
        <f t="shared" si="99"/>
        <v>138978.7699999999</v>
      </c>
      <c r="AK391" s="100">
        <f t="shared" si="99"/>
        <v>40418.329999999994</v>
      </c>
      <c r="AL391" s="100">
        <f t="shared" si="99"/>
        <v>2594.6</v>
      </c>
      <c r="AM391" s="100">
        <f t="shared" si="99"/>
        <v>31998.099999999991</v>
      </c>
      <c r="AN391" s="100">
        <f t="shared" si="99"/>
        <v>76.000000000000028</v>
      </c>
      <c r="AO391" s="100">
        <f t="shared" si="99"/>
        <v>31922.1</v>
      </c>
      <c r="AP391" s="100">
        <f t="shared" si="99"/>
        <v>0</v>
      </c>
      <c r="AQ391" s="100">
        <f t="shared" si="99"/>
        <v>129726.87999999999</v>
      </c>
      <c r="AR391" s="100">
        <f t="shared" si="99"/>
        <v>128670.34000000001</v>
      </c>
      <c r="AS391" s="100">
        <f t="shared" si="99"/>
        <v>231.43999999999997</v>
      </c>
      <c r="AT391" s="100">
        <f t="shared" si="99"/>
        <v>825.0999999999998</v>
      </c>
      <c r="AU391" s="100">
        <f t="shared" si="99"/>
        <v>318256.94000000006</v>
      </c>
      <c r="AV391" s="100">
        <f t="shared" si="99"/>
        <v>318217.0400000001</v>
      </c>
      <c r="AW391" s="100">
        <f t="shared" si="99"/>
        <v>0</v>
      </c>
      <c r="AX391" s="100">
        <f t="shared" si="99"/>
        <v>39.9</v>
      </c>
      <c r="AY391" s="100">
        <f t="shared" si="99"/>
        <v>5547.8299999999981</v>
      </c>
      <c r="AZ391" s="100">
        <f t="shared" si="99"/>
        <v>1135.2</v>
      </c>
      <c r="BA391" s="100">
        <f t="shared" si="99"/>
        <v>751.9</v>
      </c>
      <c r="BB391" s="100">
        <f t="shared" si="99"/>
        <v>78.5</v>
      </c>
      <c r="BC391" s="100">
        <f t="shared" si="99"/>
        <v>673.4</v>
      </c>
      <c r="BD391" s="100">
        <f t="shared" si="99"/>
        <v>0</v>
      </c>
      <c r="BE391" s="100">
        <f t="shared" si="99"/>
        <v>39.200000000000003</v>
      </c>
      <c r="BF391" s="101">
        <f t="shared" si="99"/>
        <v>880247.84000000008</v>
      </c>
      <c r="BG391" s="101">
        <f t="shared" si="99"/>
        <v>4979059.0599999996</v>
      </c>
      <c r="BH391" s="90"/>
      <c r="BI391" s="90"/>
      <c r="BJ391" s="90"/>
      <c r="BK391" s="90"/>
      <c r="BL391" s="90"/>
      <c r="BM391" s="90"/>
      <c r="BN391" s="100">
        <f>SUM(BN6:BN389)</f>
        <v>11</v>
      </c>
      <c r="BO391" s="90"/>
      <c r="BP391" s="90"/>
      <c r="BQ391" s="89"/>
      <c r="BR391" s="317"/>
      <c r="BT391" s="106"/>
      <c r="BV391" s="106"/>
    </row>
    <row r="392" spans="1:77" s="102" customFormat="1" ht="12" x14ac:dyDescent="0.2">
      <c r="A392" s="103"/>
      <c r="B392" s="104"/>
      <c r="C392" s="104"/>
      <c r="D392" s="105"/>
      <c r="G392" s="106"/>
      <c r="H392" s="241"/>
      <c r="I392" s="107"/>
      <c r="J392" s="108"/>
      <c r="K392" s="108"/>
      <c r="L392" s="108"/>
      <c r="M392" s="108"/>
      <c r="N392" s="109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10"/>
      <c r="AE392" s="111"/>
      <c r="AF392" s="111"/>
      <c r="AG392" s="112"/>
      <c r="AH392" s="112"/>
      <c r="AI392" s="113"/>
      <c r="AJ392" s="113"/>
      <c r="AK392" s="113"/>
      <c r="AN392" s="113"/>
      <c r="AO392" s="113"/>
      <c r="BQ392" s="105"/>
      <c r="BR392" s="105"/>
      <c r="BT392" s="106"/>
      <c r="BV392" s="106"/>
    </row>
    <row r="393" spans="1:77" s="122" customFormat="1" ht="12" customHeight="1" outlineLevel="1" x14ac:dyDescent="0.2">
      <c r="A393" s="103"/>
      <c r="B393" s="114"/>
      <c r="C393" s="114"/>
      <c r="D393" s="115" t="s">
        <v>930</v>
      </c>
      <c r="E393" s="116">
        <v>9</v>
      </c>
      <c r="F393" s="114"/>
      <c r="G393" s="117"/>
      <c r="H393" s="242"/>
      <c r="I393" s="274"/>
      <c r="J393" s="118"/>
      <c r="K393" s="118"/>
      <c r="L393" s="118"/>
      <c r="M393" s="119">
        <f t="shared" ref="M393:M399" si="100">SUMIF($E$6:$E$389,E393,$M$6:$M$389)</f>
        <v>261</v>
      </c>
      <c r="N393" s="120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>
        <f t="shared" ref="X393:X399" si="101">SUMIF($E$6:$E$389,E393,$X$6:$X$389)</f>
        <v>2601</v>
      </c>
      <c r="Y393" s="121">
        <f t="shared" ref="Y393:Z399" si="102">SUMIF($E$6:$E$389,$E393,Y$6:Y$389)</f>
        <v>281708.22999999986</v>
      </c>
      <c r="Z393" s="121">
        <f t="shared" si="102"/>
        <v>149940.35</v>
      </c>
      <c r="AA393" s="121"/>
      <c r="AB393" s="121">
        <f t="shared" ref="AB393:AG399" si="103">SUMIF($E$6:$E$389,$E393,AB$6:AB$389)</f>
        <v>27980.500000000004</v>
      </c>
      <c r="AC393" s="121">
        <f t="shared" si="103"/>
        <v>27150.000000000004</v>
      </c>
      <c r="AD393" s="121">
        <f t="shared" si="103"/>
        <v>830.50000000000011</v>
      </c>
      <c r="AE393" s="121">
        <f t="shared" si="103"/>
        <v>13358.000000000004</v>
      </c>
      <c r="AF393" s="121">
        <f t="shared" si="103"/>
        <v>3.9</v>
      </c>
      <c r="AG393" s="121">
        <f t="shared" si="103"/>
        <v>103769.88000000002</v>
      </c>
      <c r="AH393" s="121"/>
      <c r="AI393" s="121">
        <f t="shared" ref="AI393:AX399" si="104">SUMIF($E$6:$E$389,$E393,AI$6:AI$389)</f>
        <v>31107.000000000007</v>
      </c>
      <c r="AJ393" s="121">
        <f t="shared" si="104"/>
        <v>23646.1</v>
      </c>
      <c r="AK393" s="121">
        <f t="shared" si="104"/>
        <v>6871.3</v>
      </c>
      <c r="AL393" s="121">
        <f t="shared" si="104"/>
        <v>589.59999999999991</v>
      </c>
      <c r="AM393" s="121">
        <f t="shared" si="104"/>
        <v>6907.1000000000013</v>
      </c>
      <c r="AN393" s="121">
        <f t="shared" si="104"/>
        <v>17.499999999999943</v>
      </c>
      <c r="AO393" s="121">
        <f t="shared" si="104"/>
        <v>6889.6000000000013</v>
      </c>
      <c r="AP393" s="121">
        <f t="shared" si="104"/>
        <v>0</v>
      </c>
      <c r="AQ393" s="121">
        <f t="shared" si="104"/>
        <v>20791.980000000003</v>
      </c>
      <c r="AR393" s="121">
        <f t="shared" si="104"/>
        <v>20552.379999999997</v>
      </c>
      <c r="AS393" s="121">
        <f t="shared" si="104"/>
        <v>31.1</v>
      </c>
      <c r="AT393" s="121">
        <f t="shared" si="104"/>
        <v>208.5</v>
      </c>
      <c r="AU393" s="121">
        <f t="shared" si="104"/>
        <v>59380.700000000012</v>
      </c>
      <c r="AV393" s="121">
        <f t="shared" si="104"/>
        <v>59352.200000000012</v>
      </c>
      <c r="AW393" s="121">
        <f t="shared" si="104"/>
        <v>0</v>
      </c>
      <c r="AX393" s="121">
        <f t="shared" si="104"/>
        <v>28.5</v>
      </c>
      <c r="AY393" s="121"/>
      <c r="AZ393" s="121">
        <f t="shared" ref="AZ393:AZ399" si="105">SUMIF($E$6:$E$389,$E393,AZ$6:AZ$389)</f>
        <v>180.40000000000003</v>
      </c>
      <c r="BA393" s="121"/>
      <c r="BB393" s="121"/>
      <c r="BC393" s="121"/>
      <c r="BD393" s="121"/>
      <c r="BE393" s="121"/>
      <c r="BF393" s="121">
        <f t="shared" ref="BF393:BG399" si="106">SUMIF($E$6:$E$389,$E393,BF$6:BF$389)</f>
        <v>160891</v>
      </c>
      <c r="BG393" s="121">
        <f t="shared" si="106"/>
        <v>768242</v>
      </c>
      <c r="BN393" s="119">
        <f t="shared" ref="BN393:BN399" si="107">SUMIF($E$6:$E$389,$E393,BN$6:BN$389)</f>
        <v>1</v>
      </c>
      <c r="BQ393" s="123"/>
      <c r="BR393" s="123"/>
      <c r="BT393" s="324"/>
      <c r="BV393" s="324"/>
    </row>
    <row r="394" spans="1:77" s="122" customFormat="1" ht="12" customHeight="1" outlineLevel="1" x14ac:dyDescent="0.2">
      <c r="A394" s="103"/>
      <c r="B394" s="114"/>
      <c r="C394" s="114"/>
      <c r="D394" s="115" t="s">
        <v>930</v>
      </c>
      <c r="E394" s="116">
        <v>10</v>
      </c>
      <c r="F394" s="114"/>
      <c r="G394" s="117"/>
      <c r="H394" s="242"/>
      <c r="I394" s="274"/>
      <c r="J394" s="118"/>
      <c r="K394" s="118"/>
      <c r="L394" s="118"/>
      <c r="M394" s="119">
        <f t="shared" si="100"/>
        <v>225.5</v>
      </c>
      <c r="N394" s="120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>
        <f t="shared" si="101"/>
        <v>2518</v>
      </c>
      <c r="Y394" s="121">
        <f t="shared" si="102"/>
        <v>290835.5500000001</v>
      </c>
      <c r="Z394" s="121">
        <f t="shared" si="102"/>
        <v>151038.65000000002</v>
      </c>
      <c r="AA394" s="121"/>
      <c r="AB394" s="121">
        <f t="shared" si="103"/>
        <v>41178.429999999986</v>
      </c>
      <c r="AC394" s="121">
        <f t="shared" si="103"/>
        <v>40770.829999999987</v>
      </c>
      <c r="AD394" s="121">
        <f t="shared" si="103"/>
        <v>407.59999999999997</v>
      </c>
      <c r="AE394" s="121">
        <f t="shared" si="103"/>
        <v>25018.69999999999</v>
      </c>
      <c r="AF394" s="121">
        <f t="shared" si="103"/>
        <v>49.5</v>
      </c>
      <c r="AG394" s="121">
        <f t="shared" si="103"/>
        <v>98570.470000000016</v>
      </c>
      <c r="AH394" s="121"/>
      <c r="AI394" s="121">
        <f t="shared" si="104"/>
        <v>28428.000000000007</v>
      </c>
      <c r="AJ394" s="121">
        <f t="shared" si="104"/>
        <v>20635.96999999999</v>
      </c>
      <c r="AK394" s="121">
        <f t="shared" si="104"/>
        <v>7634.630000000001</v>
      </c>
      <c r="AL394" s="121">
        <f t="shared" si="104"/>
        <v>157.4</v>
      </c>
      <c r="AM394" s="121">
        <f t="shared" si="104"/>
        <v>8128.5</v>
      </c>
      <c r="AN394" s="121">
        <f t="shared" si="104"/>
        <v>47.999999999999957</v>
      </c>
      <c r="AO394" s="121">
        <f t="shared" si="104"/>
        <v>8080.4999999999991</v>
      </c>
      <c r="AP394" s="121">
        <f t="shared" si="104"/>
        <v>0</v>
      </c>
      <c r="AQ394" s="121">
        <f t="shared" si="104"/>
        <v>23118.499999999996</v>
      </c>
      <c r="AR394" s="121">
        <f t="shared" si="104"/>
        <v>22892.199999999997</v>
      </c>
      <c r="AS394" s="121">
        <f t="shared" si="104"/>
        <v>37</v>
      </c>
      <c r="AT394" s="121">
        <f t="shared" si="104"/>
        <v>189.29999999999998</v>
      </c>
      <c r="AU394" s="121">
        <f t="shared" si="104"/>
        <v>54956.2</v>
      </c>
      <c r="AV394" s="121">
        <f t="shared" si="104"/>
        <v>54944.799999999996</v>
      </c>
      <c r="AW394" s="121">
        <f t="shared" si="104"/>
        <v>0</v>
      </c>
      <c r="AX394" s="121">
        <f t="shared" si="104"/>
        <v>11.4</v>
      </c>
      <c r="AY394" s="121"/>
      <c r="AZ394" s="121">
        <f t="shared" si="105"/>
        <v>97.5</v>
      </c>
      <c r="BA394" s="121"/>
      <c r="BB394" s="121"/>
      <c r="BC394" s="121"/>
      <c r="BD394" s="121"/>
      <c r="BE394" s="121"/>
      <c r="BF394" s="121">
        <f t="shared" si="106"/>
        <v>161354</v>
      </c>
      <c r="BG394" s="121">
        <f t="shared" si="106"/>
        <v>807663</v>
      </c>
      <c r="BN394" s="119">
        <f t="shared" si="107"/>
        <v>2</v>
      </c>
      <c r="BQ394" s="123"/>
      <c r="BR394" s="123"/>
      <c r="BT394" s="324"/>
      <c r="BV394" s="324"/>
    </row>
    <row r="395" spans="1:77" s="122" customFormat="1" ht="12" customHeight="1" outlineLevel="1" x14ac:dyDescent="0.2">
      <c r="A395" s="103"/>
      <c r="B395" s="114"/>
      <c r="C395" s="114"/>
      <c r="D395" s="115" t="s">
        <v>930</v>
      </c>
      <c r="E395" s="116">
        <v>11</v>
      </c>
      <c r="F395" s="114"/>
      <c r="G395" s="117"/>
      <c r="H395" s="242"/>
      <c r="I395" s="274"/>
      <c r="J395" s="118"/>
      <c r="K395" s="118"/>
      <c r="L395" s="118"/>
      <c r="M395" s="119">
        <f t="shared" si="100"/>
        <v>213</v>
      </c>
      <c r="N395" s="120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>
        <f t="shared" si="101"/>
        <v>2805</v>
      </c>
      <c r="Y395" s="121">
        <f t="shared" si="102"/>
        <v>317506.79000000004</v>
      </c>
      <c r="Z395" s="121">
        <f t="shared" si="102"/>
        <v>180266.06000000003</v>
      </c>
      <c r="AA395" s="121"/>
      <c r="AB395" s="121">
        <f t="shared" si="103"/>
        <v>40808.099999999991</v>
      </c>
      <c r="AC395" s="121">
        <f t="shared" si="103"/>
        <v>40510.499999999993</v>
      </c>
      <c r="AD395" s="121">
        <f t="shared" si="103"/>
        <v>297.60000000000002</v>
      </c>
      <c r="AE395" s="121">
        <f t="shared" si="103"/>
        <v>21634</v>
      </c>
      <c r="AF395" s="121">
        <f t="shared" si="103"/>
        <v>65.400000000000006</v>
      </c>
      <c r="AG395" s="121">
        <f t="shared" si="103"/>
        <v>96435.23000000001</v>
      </c>
      <c r="AH395" s="121"/>
      <c r="AI395" s="121">
        <f t="shared" si="104"/>
        <v>22364.799999999996</v>
      </c>
      <c r="AJ395" s="121">
        <f t="shared" si="104"/>
        <v>13258.500000000004</v>
      </c>
      <c r="AK395" s="121">
        <f t="shared" si="104"/>
        <v>9063.9</v>
      </c>
      <c r="AL395" s="121">
        <f t="shared" si="104"/>
        <v>42.4</v>
      </c>
      <c r="AM395" s="121">
        <f t="shared" si="104"/>
        <v>9663.9000000000015</v>
      </c>
      <c r="AN395" s="121">
        <f t="shared" si="104"/>
        <v>-2.5999999999998664</v>
      </c>
      <c r="AO395" s="121">
        <f t="shared" si="104"/>
        <v>9666.5000000000018</v>
      </c>
      <c r="AP395" s="121">
        <f t="shared" si="104"/>
        <v>0</v>
      </c>
      <c r="AQ395" s="121">
        <f t="shared" si="104"/>
        <v>24943.099999999995</v>
      </c>
      <c r="AR395" s="121">
        <f t="shared" si="104"/>
        <v>24607.200000000001</v>
      </c>
      <c r="AS395" s="121">
        <f t="shared" si="104"/>
        <v>146.1</v>
      </c>
      <c r="AT395" s="121">
        <f t="shared" si="104"/>
        <v>189.79999999999998</v>
      </c>
      <c r="AU395" s="121">
        <f t="shared" si="104"/>
        <v>58320.329999999994</v>
      </c>
      <c r="AV395" s="121">
        <f t="shared" si="104"/>
        <v>58320.329999999994</v>
      </c>
      <c r="AW395" s="121">
        <f t="shared" si="104"/>
        <v>0</v>
      </c>
      <c r="AX395" s="121">
        <f t="shared" si="104"/>
        <v>0</v>
      </c>
      <c r="AY395" s="121"/>
      <c r="AZ395" s="121">
        <f t="shared" si="105"/>
        <v>189.4</v>
      </c>
      <c r="BA395" s="121"/>
      <c r="BB395" s="121"/>
      <c r="BC395" s="121"/>
      <c r="BD395" s="121"/>
      <c r="BE395" s="121"/>
      <c r="BF395" s="121">
        <f t="shared" si="106"/>
        <v>148991</v>
      </c>
      <c r="BG395" s="121">
        <f t="shared" si="106"/>
        <v>938177</v>
      </c>
      <c r="BN395" s="119">
        <f t="shared" si="107"/>
        <v>6</v>
      </c>
      <c r="BQ395" s="123"/>
      <c r="BR395" s="123"/>
      <c r="BT395" s="324"/>
      <c r="BV395" s="324"/>
    </row>
    <row r="396" spans="1:77" s="122" customFormat="1" ht="12" customHeight="1" outlineLevel="1" x14ac:dyDescent="0.2">
      <c r="A396" s="103"/>
      <c r="B396" s="114"/>
      <c r="C396" s="114"/>
      <c r="D396" s="115" t="s">
        <v>930</v>
      </c>
      <c r="E396" s="116">
        <v>12</v>
      </c>
      <c r="F396" s="114"/>
      <c r="G396" s="117"/>
      <c r="H396" s="242"/>
      <c r="I396" s="274"/>
      <c r="J396" s="118"/>
      <c r="K396" s="118"/>
      <c r="L396" s="118"/>
      <c r="M396" s="119">
        <f t="shared" si="100"/>
        <v>235</v>
      </c>
      <c r="N396" s="120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>
        <f t="shared" si="101"/>
        <v>3516</v>
      </c>
      <c r="Y396" s="121">
        <f t="shared" si="102"/>
        <v>293981.27</v>
      </c>
      <c r="Z396" s="121">
        <f t="shared" si="102"/>
        <v>172348.75</v>
      </c>
      <c r="AA396" s="121"/>
      <c r="AB396" s="121">
        <f t="shared" si="103"/>
        <v>24839.740000000005</v>
      </c>
      <c r="AC396" s="121">
        <f t="shared" si="103"/>
        <v>24381.839999999997</v>
      </c>
      <c r="AD396" s="121">
        <f t="shared" si="103"/>
        <v>457.9</v>
      </c>
      <c r="AE396" s="121">
        <f t="shared" si="103"/>
        <v>18023</v>
      </c>
      <c r="AF396" s="121">
        <f t="shared" si="103"/>
        <v>215.6</v>
      </c>
      <c r="AG396" s="121">
        <f t="shared" si="103"/>
        <v>96798.480000000025</v>
      </c>
      <c r="AH396" s="121"/>
      <c r="AI396" s="121">
        <f t="shared" si="104"/>
        <v>31565.900000000009</v>
      </c>
      <c r="AJ396" s="121">
        <f t="shared" si="104"/>
        <v>27433.7</v>
      </c>
      <c r="AK396" s="121">
        <f t="shared" si="104"/>
        <v>3952.2999999999993</v>
      </c>
      <c r="AL396" s="121">
        <f t="shared" si="104"/>
        <v>179.9</v>
      </c>
      <c r="AM396" s="121">
        <f t="shared" si="104"/>
        <v>2383.6</v>
      </c>
      <c r="AN396" s="121">
        <f t="shared" si="104"/>
        <v>-5.6999999999999886</v>
      </c>
      <c r="AO396" s="121">
        <f t="shared" si="104"/>
        <v>2389.2999999999997</v>
      </c>
      <c r="AP396" s="121">
        <f t="shared" si="104"/>
        <v>0</v>
      </c>
      <c r="AQ396" s="121">
        <f t="shared" si="104"/>
        <v>19786.500000000007</v>
      </c>
      <c r="AR396" s="121">
        <f t="shared" si="104"/>
        <v>19706.860000000008</v>
      </c>
      <c r="AS396" s="121">
        <f t="shared" si="104"/>
        <v>17.239999999999998</v>
      </c>
      <c r="AT396" s="121">
        <f t="shared" si="104"/>
        <v>62.4</v>
      </c>
      <c r="AU396" s="121">
        <f t="shared" si="104"/>
        <v>49226.719999999987</v>
      </c>
      <c r="AV396" s="121">
        <f t="shared" si="104"/>
        <v>49226.719999999987</v>
      </c>
      <c r="AW396" s="121">
        <f t="shared" si="104"/>
        <v>0</v>
      </c>
      <c r="AX396" s="121">
        <f t="shared" si="104"/>
        <v>0</v>
      </c>
      <c r="AY396" s="121"/>
      <c r="AZ396" s="121">
        <f t="shared" si="105"/>
        <v>431.2</v>
      </c>
      <c r="BA396" s="121"/>
      <c r="BB396" s="121"/>
      <c r="BC396" s="121"/>
      <c r="BD396" s="121"/>
      <c r="BE396" s="121"/>
      <c r="BF396" s="121">
        <f t="shared" si="106"/>
        <v>135692</v>
      </c>
      <c r="BG396" s="121">
        <f t="shared" si="106"/>
        <v>785999</v>
      </c>
      <c r="BN396" s="119">
        <f t="shared" si="107"/>
        <v>1</v>
      </c>
      <c r="BQ396" s="123"/>
      <c r="BR396" s="123"/>
      <c r="BT396" s="324"/>
      <c r="BV396" s="324"/>
    </row>
    <row r="397" spans="1:77" s="122" customFormat="1" ht="12" customHeight="1" outlineLevel="1" x14ac:dyDescent="0.2">
      <c r="A397" s="103"/>
      <c r="B397" s="114"/>
      <c r="C397" s="114"/>
      <c r="D397" s="115" t="s">
        <v>930</v>
      </c>
      <c r="E397" s="116">
        <v>14</v>
      </c>
      <c r="F397" s="114"/>
      <c r="G397" s="117"/>
      <c r="H397" s="242"/>
      <c r="I397" s="274"/>
      <c r="J397" s="118"/>
      <c r="K397" s="118"/>
      <c r="L397" s="118"/>
      <c r="M397" s="119">
        <f t="shared" si="100"/>
        <v>226</v>
      </c>
      <c r="N397" s="120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>
        <f t="shared" si="101"/>
        <v>3543</v>
      </c>
      <c r="Y397" s="121">
        <f t="shared" si="102"/>
        <v>317754.48</v>
      </c>
      <c r="Z397" s="121">
        <f t="shared" si="102"/>
        <v>191846.18000000008</v>
      </c>
      <c r="AA397" s="121"/>
      <c r="AB397" s="121">
        <f t="shared" si="103"/>
        <v>26945.400000000005</v>
      </c>
      <c r="AC397" s="121">
        <f t="shared" si="103"/>
        <v>26212.100000000002</v>
      </c>
      <c r="AD397" s="121">
        <f t="shared" si="103"/>
        <v>733.3</v>
      </c>
      <c r="AE397" s="121">
        <f t="shared" si="103"/>
        <v>12737.000000000002</v>
      </c>
      <c r="AF397" s="121">
        <f t="shared" si="103"/>
        <v>0</v>
      </c>
      <c r="AG397" s="121">
        <f t="shared" si="103"/>
        <v>98944.10000000002</v>
      </c>
      <c r="AH397" s="121"/>
      <c r="AI397" s="121">
        <f t="shared" si="104"/>
        <v>34063.800000000003</v>
      </c>
      <c r="AJ397" s="121">
        <f t="shared" si="104"/>
        <v>24861.100000000002</v>
      </c>
      <c r="AK397" s="121">
        <f t="shared" si="104"/>
        <v>8578.9000000000015</v>
      </c>
      <c r="AL397" s="121">
        <f t="shared" si="104"/>
        <v>623.79999999999995</v>
      </c>
      <c r="AM397" s="121">
        <f t="shared" si="104"/>
        <v>4915.0000000000018</v>
      </c>
      <c r="AN397" s="121">
        <f t="shared" si="104"/>
        <v>18.799999999999983</v>
      </c>
      <c r="AO397" s="121">
        <f t="shared" si="104"/>
        <v>4896.2000000000007</v>
      </c>
      <c r="AP397" s="121">
        <f t="shared" si="104"/>
        <v>0</v>
      </c>
      <c r="AQ397" s="121">
        <f t="shared" si="104"/>
        <v>22861.199999999993</v>
      </c>
      <c r="AR397" s="121">
        <f t="shared" si="104"/>
        <v>22751.699999999993</v>
      </c>
      <c r="AS397" s="121">
        <f t="shared" si="104"/>
        <v>0</v>
      </c>
      <c r="AT397" s="121">
        <f t="shared" si="104"/>
        <v>109.50000000000001</v>
      </c>
      <c r="AU397" s="121">
        <f t="shared" si="104"/>
        <v>51186.5</v>
      </c>
      <c r="AV397" s="121">
        <f t="shared" si="104"/>
        <v>51186.5</v>
      </c>
      <c r="AW397" s="121">
        <f t="shared" si="104"/>
        <v>0</v>
      </c>
      <c r="AX397" s="121">
        <f t="shared" si="104"/>
        <v>0</v>
      </c>
      <c r="AY397" s="121"/>
      <c r="AZ397" s="121">
        <f t="shared" si="105"/>
        <v>125.7</v>
      </c>
      <c r="BA397" s="121"/>
      <c r="BB397" s="121"/>
      <c r="BC397" s="121"/>
      <c r="BD397" s="121"/>
      <c r="BE397" s="121"/>
      <c r="BF397" s="121">
        <f t="shared" si="106"/>
        <v>141243.84</v>
      </c>
      <c r="BG397" s="121">
        <f t="shared" si="106"/>
        <v>937498.06</v>
      </c>
      <c r="BN397" s="119">
        <f t="shared" si="107"/>
        <v>1</v>
      </c>
      <c r="BQ397" s="123"/>
      <c r="BR397" s="123"/>
      <c r="BT397" s="324"/>
      <c r="BV397" s="324"/>
    </row>
    <row r="398" spans="1:77" s="122" customFormat="1" ht="12" customHeight="1" outlineLevel="1" x14ac:dyDescent="0.2">
      <c r="A398" s="103"/>
      <c r="B398" s="114"/>
      <c r="C398" s="114"/>
      <c r="D398" s="115" t="s">
        <v>930</v>
      </c>
      <c r="E398" s="116">
        <v>16</v>
      </c>
      <c r="F398" s="114"/>
      <c r="G398" s="117"/>
      <c r="H398" s="242"/>
      <c r="I398" s="274"/>
      <c r="J398" s="118"/>
      <c r="K398" s="118"/>
      <c r="L398" s="118"/>
      <c r="M398" s="119">
        <f t="shared" si="100"/>
        <v>218</v>
      </c>
      <c r="N398" s="120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>
        <f t="shared" si="101"/>
        <v>3247</v>
      </c>
      <c r="Y398" s="121">
        <f t="shared" si="102"/>
        <v>268158.93</v>
      </c>
      <c r="Z398" s="121">
        <f t="shared" si="102"/>
        <v>156827.53</v>
      </c>
      <c r="AA398" s="121"/>
      <c r="AB398" s="121">
        <f t="shared" si="103"/>
        <v>23580.2</v>
      </c>
      <c r="AC398" s="121">
        <f t="shared" si="103"/>
        <v>22462.6</v>
      </c>
      <c r="AD398" s="121">
        <f t="shared" si="103"/>
        <v>1117.6000000000001</v>
      </c>
      <c r="AE398" s="121">
        <f t="shared" si="103"/>
        <v>18207.099999999999</v>
      </c>
      <c r="AF398" s="121">
        <f t="shared" si="103"/>
        <v>50.5</v>
      </c>
      <c r="AG398" s="121">
        <f t="shared" si="103"/>
        <v>87751.200000000012</v>
      </c>
      <c r="AH398" s="121"/>
      <c r="AI398" s="121">
        <f t="shared" si="104"/>
        <v>33067.599999999999</v>
      </c>
      <c r="AJ398" s="121">
        <f t="shared" si="104"/>
        <v>27810.6</v>
      </c>
      <c r="AK398" s="121">
        <f t="shared" si="104"/>
        <v>4255.5</v>
      </c>
      <c r="AL398" s="121">
        <f t="shared" si="104"/>
        <v>1001.5</v>
      </c>
      <c r="AM398" s="121">
        <f t="shared" si="104"/>
        <v>0</v>
      </c>
      <c r="AN398" s="121">
        <f t="shared" si="104"/>
        <v>0</v>
      </c>
      <c r="AO398" s="121">
        <f t="shared" si="104"/>
        <v>0</v>
      </c>
      <c r="AP398" s="121">
        <f t="shared" si="104"/>
        <v>0</v>
      </c>
      <c r="AQ398" s="121">
        <f t="shared" si="104"/>
        <v>17768.900000000005</v>
      </c>
      <c r="AR398" s="121">
        <f t="shared" si="104"/>
        <v>17703.300000000003</v>
      </c>
      <c r="AS398" s="121">
        <f t="shared" si="104"/>
        <v>0</v>
      </c>
      <c r="AT398" s="121">
        <f t="shared" si="104"/>
        <v>65.599999999999994</v>
      </c>
      <c r="AU398" s="121">
        <f t="shared" si="104"/>
        <v>42206.499999999993</v>
      </c>
      <c r="AV398" s="121">
        <f t="shared" si="104"/>
        <v>42206.499999999993</v>
      </c>
      <c r="AW398" s="121">
        <f t="shared" si="104"/>
        <v>0</v>
      </c>
      <c r="AX398" s="121">
        <f t="shared" si="104"/>
        <v>0</v>
      </c>
      <c r="AY398" s="121"/>
      <c r="AZ398" s="121">
        <f t="shared" si="105"/>
        <v>30.8</v>
      </c>
      <c r="BA398" s="121"/>
      <c r="BB398" s="121"/>
      <c r="BC398" s="121"/>
      <c r="BD398" s="121"/>
      <c r="BE398" s="121"/>
      <c r="BF398" s="121">
        <f t="shared" si="106"/>
        <v>124529</v>
      </c>
      <c r="BG398" s="121">
        <f t="shared" si="106"/>
        <v>718054</v>
      </c>
      <c r="BN398" s="119">
        <f t="shared" si="107"/>
        <v>0</v>
      </c>
      <c r="BQ398" s="123"/>
      <c r="BR398" s="123"/>
      <c r="BT398" s="324"/>
      <c r="BV398" s="324"/>
    </row>
    <row r="399" spans="1:77" s="122" customFormat="1" ht="12" customHeight="1" outlineLevel="1" x14ac:dyDescent="0.2">
      <c r="A399" s="103"/>
      <c r="B399" s="114"/>
      <c r="C399" s="114"/>
      <c r="D399" s="115" t="s">
        <v>930</v>
      </c>
      <c r="E399" s="116" t="s">
        <v>931</v>
      </c>
      <c r="F399" s="114"/>
      <c r="G399" s="117"/>
      <c r="H399" s="242"/>
      <c r="I399" s="274"/>
      <c r="J399" s="118"/>
      <c r="K399" s="118"/>
      <c r="L399" s="118"/>
      <c r="M399" s="119">
        <f t="shared" si="100"/>
        <v>19</v>
      </c>
      <c r="N399" s="120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>
        <f t="shared" si="101"/>
        <v>139</v>
      </c>
      <c r="Y399" s="121">
        <f t="shared" si="102"/>
        <v>9930.19</v>
      </c>
      <c r="Z399" s="121">
        <f t="shared" si="102"/>
        <v>4868.6000000000004</v>
      </c>
      <c r="AA399" s="121"/>
      <c r="AB399" s="121">
        <f t="shared" si="103"/>
        <v>211.89999999999998</v>
      </c>
      <c r="AC399" s="121">
        <f t="shared" si="103"/>
        <v>211.89999999999998</v>
      </c>
      <c r="AD399" s="121">
        <f t="shared" si="103"/>
        <v>0</v>
      </c>
      <c r="AE399" s="121">
        <f t="shared" si="103"/>
        <v>150.1</v>
      </c>
      <c r="AF399" s="121">
        <f t="shared" si="103"/>
        <v>0</v>
      </c>
      <c r="AG399" s="121">
        <f t="shared" si="103"/>
        <v>4849.6899999999996</v>
      </c>
      <c r="AH399" s="121"/>
      <c r="AI399" s="121">
        <f t="shared" si="104"/>
        <v>1394.6</v>
      </c>
      <c r="AJ399" s="121">
        <f t="shared" si="104"/>
        <v>1332.8</v>
      </c>
      <c r="AK399" s="121">
        <f t="shared" si="104"/>
        <v>61.8</v>
      </c>
      <c r="AL399" s="121">
        <f t="shared" si="104"/>
        <v>0</v>
      </c>
      <c r="AM399" s="121">
        <f t="shared" si="104"/>
        <v>0</v>
      </c>
      <c r="AN399" s="121">
        <f t="shared" si="104"/>
        <v>0</v>
      </c>
      <c r="AO399" s="121">
        <f t="shared" si="104"/>
        <v>0</v>
      </c>
      <c r="AP399" s="121">
        <f t="shared" si="104"/>
        <v>0</v>
      </c>
      <c r="AQ399" s="121">
        <f t="shared" si="104"/>
        <v>456.7</v>
      </c>
      <c r="AR399" s="121">
        <f t="shared" si="104"/>
        <v>456.7</v>
      </c>
      <c r="AS399" s="121">
        <f t="shared" si="104"/>
        <v>0</v>
      </c>
      <c r="AT399" s="121">
        <f t="shared" si="104"/>
        <v>0</v>
      </c>
      <c r="AU399" s="121">
        <f t="shared" si="104"/>
        <v>2979.9900000000002</v>
      </c>
      <c r="AV399" s="121">
        <f t="shared" si="104"/>
        <v>2979.9900000000002</v>
      </c>
      <c r="AW399" s="121">
        <f t="shared" si="104"/>
        <v>0</v>
      </c>
      <c r="AX399" s="121">
        <f t="shared" si="104"/>
        <v>0</v>
      </c>
      <c r="AY399" s="121"/>
      <c r="AZ399" s="121">
        <f t="shared" si="105"/>
        <v>80.2</v>
      </c>
      <c r="BA399" s="121"/>
      <c r="BB399" s="121"/>
      <c r="BC399" s="121"/>
      <c r="BD399" s="121"/>
      <c r="BE399" s="121"/>
      <c r="BF399" s="121">
        <f t="shared" si="106"/>
        <v>7547</v>
      </c>
      <c r="BG399" s="121">
        <f t="shared" si="106"/>
        <v>23426</v>
      </c>
      <c r="BN399" s="119">
        <f t="shared" si="107"/>
        <v>0</v>
      </c>
      <c r="BQ399" s="123"/>
      <c r="BR399" s="123"/>
      <c r="BT399" s="324"/>
      <c r="BV399" s="324"/>
    </row>
    <row r="400" spans="1:77" s="223" customFormat="1" ht="12" x14ac:dyDescent="0.2">
      <c r="A400" s="215"/>
      <c r="B400" s="216"/>
      <c r="C400" s="216"/>
      <c r="D400" s="216"/>
      <c r="E400" s="217"/>
      <c r="F400" s="216"/>
      <c r="G400" s="218"/>
      <c r="H400" s="243"/>
      <c r="I400" s="275"/>
      <c r="J400" s="219"/>
      <c r="K400" s="219"/>
      <c r="L400" s="219"/>
      <c r="M400" s="219"/>
      <c r="N400" s="128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20"/>
      <c r="Z400" s="220">
        <f>Z406-Z391</f>
        <v>0</v>
      </c>
      <c r="AA400" s="220">
        <f>AA406-AA391</f>
        <v>-159696.1400000001</v>
      </c>
      <c r="AB400" s="220">
        <f>AB406-AB391</f>
        <v>0</v>
      </c>
      <c r="AC400" s="220">
        <f>Нежилые!G2125-МКД!AC391</f>
        <v>0</v>
      </c>
      <c r="AD400" s="220">
        <f>Нежилые!H2125-МКД!AD391</f>
        <v>0</v>
      </c>
      <c r="AE400" s="221">
        <f>Нежилые!I2125+Нежилые!S2125-МКД!AE391</f>
        <v>0</v>
      </c>
      <c r="AF400" s="221">
        <f>Нежилые!J2125+Нежилые!T2125-МКД!AF391</f>
        <v>0</v>
      </c>
      <c r="AG400" s="220"/>
      <c r="AH400" s="220"/>
      <c r="AI400" s="220"/>
      <c r="AJ400" s="220"/>
      <c r="AK400" s="220">
        <f>Нежилые!K2125-МКД!AK391</f>
        <v>0</v>
      </c>
      <c r="AL400" s="220">
        <f>Нежилые!L2125-МКД!AL391</f>
        <v>0</v>
      </c>
      <c r="AM400" s="220"/>
      <c r="AN400" s="220"/>
      <c r="AO400" s="220">
        <f>Нежилые!M2125-МКД!AO391</f>
        <v>0</v>
      </c>
      <c r="AP400" s="220">
        <f>Нежилые!N2125-МКД!AP391</f>
        <v>0</v>
      </c>
      <c r="AQ400" s="220"/>
      <c r="AR400" s="220"/>
      <c r="AS400" s="220">
        <f>Нежилые!O2125-МКД!AS391</f>
        <v>0</v>
      </c>
      <c r="AT400" s="220">
        <f>Нежилые!P2125-МКД!AT391</f>
        <v>0</v>
      </c>
      <c r="AU400" s="220"/>
      <c r="AV400" s="220"/>
      <c r="AW400" s="220">
        <f>Нежилые!Q2125-МКД!AW391</f>
        <v>0</v>
      </c>
      <c r="AX400" s="220">
        <f>Нежилые!R2125-МКД!AX391</f>
        <v>0</v>
      </c>
      <c r="AY400" s="220"/>
      <c r="AZ400" s="220"/>
      <c r="BA400" s="220"/>
      <c r="BB400" s="220"/>
      <c r="BC400" s="220"/>
      <c r="BD400" s="220"/>
      <c r="BE400" s="220"/>
      <c r="BF400" s="222"/>
      <c r="BG400" s="222"/>
      <c r="BQ400" s="216"/>
      <c r="BR400" s="216"/>
      <c r="BT400" s="325"/>
      <c r="BV400" s="325"/>
    </row>
    <row r="401" spans="1:74" s="122" customFormat="1" ht="12" customHeight="1" outlineLevel="1" x14ac:dyDescent="0.2">
      <c r="A401" s="103"/>
      <c r="B401" s="114"/>
      <c r="C401" s="114"/>
      <c r="D401" s="115" t="s">
        <v>1050</v>
      </c>
      <c r="E401" s="116">
        <v>1</v>
      </c>
      <c r="F401" s="114"/>
      <c r="G401" s="117"/>
      <c r="H401" s="242"/>
      <c r="I401" s="274"/>
      <c r="J401" s="118"/>
      <c r="K401" s="118"/>
      <c r="L401" s="118"/>
      <c r="M401" s="119">
        <f>SUMIF($F$6:$F$389,$E401,M$6:M$389)</f>
        <v>406.5</v>
      </c>
      <c r="N401" s="120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>
        <f t="shared" ref="X401:Z405" si="108">SUMIF($F$6:$F$389,$E401,X$6:X$389)</f>
        <v>4135</v>
      </c>
      <c r="Y401" s="121">
        <f t="shared" si="108"/>
        <v>457036.49000000005</v>
      </c>
      <c r="Z401" s="121">
        <f t="shared" si="108"/>
        <v>238321.00999999995</v>
      </c>
      <c r="AA401" s="121"/>
      <c r="AB401" s="121">
        <f t="shared" ref="AB401:AG405" si="109">SUMIF($F$6:$F$389,$E401,AB$6:AB$389)</f>
        <v>50463.249999999993</v>
      </c>
      <c r="AC401" s="121">
        <f t="shared" si="109"/>
        <v>49419.549999999988</v>
      </c>
      <c r="AD401" s="121">
        <f t="shared" si="109"/>
        <v>1043.6999999999998</v>
      </c>
      <c r="AE401" s="121">
        <f t="shared" si="109"/>
        <v>27815.599999999991</v>
      </c>
      <c r="AF401" s="121">
        <f t="shared" si="109"/>
        <v>3.9</v>
      </c>
      <c r="AG401" s="121">
        <f t="shared" si="109"/>
        <v>168199.32999999996</v>
      </c>
      <c r="AH401" s="121"/>
      <c r="AI401" s="121">
        <f t="shared" ref="AI401:AX405" si="110">SUMIF($F$6:$F$389,$E401,AI$6:AI$389)</f>
        <v>51303.8</v>
      </c>
      <c r="AJ401" s="121">
        <f t="shared" si="110"/>
        <v>39886.250000000007</v>
      </c>
      <c r="AK401" s="121">
        <f t="shared" si="110"/>
        <v>10737.750000000004</v>
      </c>
      <c r="AL401" s="121">
        <f t="shared" si="110"/>
        <v>679.80000000000007</v>
      </c>
      <c r="AM401" s="121">
        <f t="shared" si="110"/>
        <v>10888.000000000002</v>
      </c>
      <c r="AN401" s="121">
        <f t="shared" si="110"/>
        <v>52.899999999999878</v>
      </c>
      <c r="AO401" s="121">
        <f t="shared" si="110"/>
        <v>10835.100000000002</v>
      </c>
      <c r="AP401" s="121">
        <f t="shared" si="110"/>
        <v>0</v>
      </c>
      <c r="AQ401" s="121">
        <f t="shared" si="110"/>
        <v>34925.280000000006</v>
      </c>
      <c r="AR401" s="121">
        <f t="shared" si="110"/>
        <v>34562.680000000008</v>
      </c>
      <c r="AS401" s="121">
        <f t="shared" si="110"/>
        <v>31.1</v>
      </c>
      <c r="AT401" s="121">
        <f t="shared" si="110"/>
        <v>331.5</v>
      </c>
      <c r="AU401" s="121">
        <f t="shared" si="110"/>
        <v>93462.200000000012</v>
      </c>
      <c r="AV401" s="121">
        <f t="shared" si="110"/>
        <v>93433.700000000012</v>
      </c>
      <c r="AW401" s="121">
        <f t="shared" si="110"/>
        <v>0</v>
      </c>
      <c r="AX401" s="121">
        <f t="shared" si="110"/>
        <v>28.5</v>
      </c>
      <c r="AY401" s="121"/>
      <c r="AZ401" s="121">
        <f>SUMIF($F$6:$F$389,$E401,AZ$6:AZ$389)</f>
        <v>277.90000000000003</v>
      </c>
      <c r="BA401" s="121"/>
      <c r="BB401" s="121"/>
      <c r="BC401" s="121"/>
      <c r="BD401" s="121"/>
      <c r="BE401" s="121"/>
      <c r="BF401" s="121">
        <f t="shared" ref="BF401:BG405" si="111">SUMIF($F$6:$F$389,$E401,BF$6:BF$389)</f>
        <v>266815</v>
      </c>
      <c r="BG401" s="121">
        <f t="shared" si="111"/>
        <v>1230717</v>
      </c>
      <c r="BQ401" s="115"/>
      <c r="BR401" s="123"/>
      <c r="BT401" s="324"/>
      <c r="BV401" s="324"/>
    </row>
    <row r="402" spans="1:74" s="122" customFormat="1" ht="12" customHeight="1" outlineLevel="1" x14ac:dyDescent="0.2">
      <c r="A402" s="103"/>
      <c r="B402" s="114"/>
      <c r="C402" s="114"/>
      <c r="D402" s="115" t="s">
        <v>1050</v>
      </c>
      <c r="E402" s="116">
        <v>2</v>
      </c>
      <c r="F402" s="114"/>
      <c r="G402" s="117"/>
      <c r="H402" s="242"/>
      <c r="I402" s="274"/>
      <c r="J402" s="118"/>
      <c r="K402" s="118"/>
      <c r="L402" s="118"/>
      <c r="M402" s="119">
        <f>SUMIF($F$6:$F$389,$E402,M$6:M$389)</f>
        <v>293</v>
      </c>
      <c r="N402" s="120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>
        <f t="shared" si="108"/>
        <v>3789</v>
      </c>
      <c r="Y402" s="121">
        <f t="shared" si="108"/>
        <v>433014.08</v>
      </c>
      <c r="Z402" s="121">
        <f t="shared" si="108"/>
        <v>242924.05000000002</v>
      </c>
      <c r="AA402" s="121"/>
      <c r="AB402" s="121">
        <f t="shared" si="109"/>
        <v>59503.779999999992</v>
      </c>
      <c r="AC402" s="121">
        <f t="shared" si="109"/>
        <v>59011.779999999984</v>
      </c>
      <c r="AD402" s="121">
        <f t="shared" si="109"/>
        <v>492</v>
      </c>
      <c r="AE402" s="121">
        <f t="shared" si="109"/>
        <v>32195.100000000006</v>
      </c>
      <c r="AF402" s="121">
        <f t="shared" si="109"/>
        <v>114.9</v>
      </c>
      <c r="AG402" s="121">
        <f t="shared" si="109"/>
        <v>130576.25000000001</v>
      </c>
      <c r="AH402" s="121"/>
      <c r="AI402" s="121">
        <f t="shared" si="110"/>
        <v>30595.999999999985</v>
      </c>
      <c r="AJ402" s="121">
        <f t="shared" si="110"/>
        <v>17654.32</v>
      </c>
      <c r="AK402" s="121">
        <f t="shared" si="110"/>
        <v>12832.080000000002</v>
      </c>
      <c r="AL402" s="121">
        <f t="shared" si="110"/>
        <v>109.6</v>
      </c>
      <c r="AM402" s="121">
        <f t="shared" si="110"/>
        <v>13811.5</v>
      </c>
      <c r="AN402" s="121">
        <f t="shared" si="110"/>
        <v>10.000000000000156</v>
      </c>
      <c r="AO402" s="121">
        <f t="shared" si="110"/>
        <v>13801.500000000002</v>
      </c>
      <c r="AP402" s="121">
        <f t="shared" si="110"/>
        <v>0</v>
      </c>
      <c r="AQ402" s="121">
        <f t="shared" si="110"/>
        <v>33928.299999999996</v>
      </c>
      <c r="AR402" s="121">
        <f t="shared" si="110"/>
        <v>33489.100000000006</v>
      </c>
      <c r="AS402" s="121">
        <f t="shared" si="110"/>
        <v>183.1</v>
      </c>
      <c r="AT402" s="121">
        <f t="shared" si="110"/>
        <v>256.10000000000002</v>
      </c>
      <c r="AU402" s="121">
        <f t="shared" si="110"/>
        <v>79195.029999999955</v>
      </c>
      <c r="AV402" s="121">
        <f t="shared" si="110"/>
        <v>79183.629999999961</v>
      </c>
      <c r="AW402" s="121">
        <f t="shared" si="110"/>
        <v>0</v>
      </c>
      <c r="AX402" s="121">
        <f t="shared" si="110"/>
        <v>11.4</v>
      </c>
      <c r="AY402" s="121"/>
      <c r="AZ402" s="121">
        <f>SUMIF($F$6:$F$389,$E402,AZ$6:AZ$389)</f>
        <v>189.4</v>
      </c>
      <c r="BA402" s="121"/>
      <c r="BB402" s="121"/>
      <c r="BC402" s="121"/>
      <c r="BD402" s="121"/>
      <c r="BE402" s="121"/>
      <c r="BF402" s="121">
        <f t="shared" si="111"/>
        <v>204421</v>
      </c>
      <c r="BG402" s="121">
        <f t="shared" si="111"/>
        <v>1283365</v>
      </c>
      <c r="BQ402" s="115"/>
      <c r="BR402" s="123"/>
      <c r="BT402" s="324"/>
      <c r="BV402" s="324"/>
    </row>
    <row r="403" spans="1:74" s="122" customFormat="1" ht="12" customHeight="1" outlineLevel="1" x14ac:dyDescent="0.2">
      <c r="A403" s="103"/>
      <c r="B403" s="114"/>
      <c r="C403" s="114"/>
      <c r="D403" s="115" t="s">
        <v>1050</v>
      </c>
      <c r="E403" s="116">
        <v>3</v>
      </c>
      <c r="F403" s="114"/>
      <c r="G403" s="117"/>
      <c r="H403" s="242"/>
      <c r="I403" s="274"/>
      <c r="J403" s="118"/>
      <c r="K403" s="118"/>
      <c r="L403" s="118"/>
      <c r="M403" s="119">
        <f>SUMIF($F$6:$F$389,$E403,M$6:M$389)</f>
        <v>354</v>
      </c>
      <c r="N403" s="120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>
        <f t="shared" si="108"/>
        <v>5733</v>
      </c>
      <c r="Y403" s="121">
        <f t="shared" si="108"/>
        <v>475366.74999999994</v>
      </c>
      <c r="Z403" s="121">
        <f t="shared" si="108"/>
        <v>286551.75000000006</v>
      </c>
      <c r="AA403" s="121"/>
      <c r="AB403" s="121">
        <f t="shared" si="109"/>
        <v>38799.100000000006</v>
      </c>
      <c r="AC403" s="121">
        <f t="shared" si="109"/>
        <v>37384.19999999999</v>
      </c>
      <c r="AD403" s="121">
        <f t="shared" si="109"/>
        <v>1414.8999999999999</v>
      </c>
      <c r="AE403" s="121">
        <f t="shared" si="109"/>
        <v>21629.099999999995</v>
      </c>
      <c r="AF403" s="121">
        <f t="shared" si="109"/>
        <v>39</v>
      </c>
      <c r="AG403" s="121">
        <f t="shared" si="109"/>
        <v>149997.1</v>
      </c>
      <c r="AH403" s="121"/>
      <c r="AI403" s="121">
        <f t="shared" si="110"/>
        <v>53147.999999999993</v>
      </c>
      <c r="AJ403" s="121">
        <f t="shared" si="110"/>
        <v>41055.999999999993</v>
      </c>
      <c r="AK403" s="121">
        <f t="shared" si="110"/>
        <v>10858.900000000003</v>
      </c>
      <c r="AL403" s="121">
        <f t="shared" si="110"/>
        <v>1233.0999999999999</v>
      </c>
      <c r="AM403" s="121">
        <f t="shared" si="110"/>
        <v>4915.0000000000018</v>
      </c>
      <c r="AN403" s="121">
        <f t="shared" si="110"/>
        <v>18.799999999999983</v>
      </c>
      <c r="AO403" s="121">
        <f t="shared" si="110"/>
        <v>4896.2000000000007</v>
      </c>
      <c r="AP403" s="121">
        <f t="shared" si="110"/>
        <v>0</v>
      </c>
      <c r="AQ403" s="121">
        <f t="shared" si="110"/>
        <v>32674.499999999996</v>
      </c>
      <c r="AR403" s="121">
        <f t="shared" si="110"/>
        <v>32531.699999999993</v>
      </c>
      <c r="AS403" s="121">
        <f t="shared" si="110"/>
        <v>0</v>
      </c>
      <c r="AT403" s="121">
        <f t="shared" si="110"/>
        <v>142.80000000000001</v>
      </c>
      <c r="AU403" s="121">
        <f t="shared" si="110"/>
        <v>76264.599999999991</v>
      </c>
      <c r="AV403" s="121">
        <f t="shared" si="110"/>
        <v>76264.599999999991</v>
      </c>
      <c r="AW403" s="121">
        <f t="shared" si="110"/>
        <v>0</v>
      </c>
      <c r="AX403" s="121">
        <f t="shared" si="110"/>
        <v>0</v>
      </c>
      <c r="AY403" s="121"/>
      <c r="AZ403" s="121">
        <f>SUMIF($F$6:$F$389,$E403,AZ$6:AZ$389)</f>
        <v>125.7</v>
      </c>
      <c r="BA403" s="121"/>
      <c r="BB403" s="121"/>
      <c r="BC403" s="121"/>
      <c r="BD403" s="121"/>
      <c r="BE403" s="121"/>
      <c r="BF403" s="121">
        <f t="shared" si="111"/>
        <v>209245.83999999997</v>
      </c>
      <c r="BG403" s="121">
        <f t="shared" si="111"/>
        <v>1374974.0599999998</v>
      </c>
      <c r="BQ403" s="115"/>
      <c r="BR403" s="123"/>
      <c r="BT403" s="324"/>
      <c r="BV403" s="324"/>
    </row>
    <row r="404" spans="1:74" s="122" customFormat="1" ht="12" customHeight="1" outlineLevel="1" x14ac:dyDescent="0.2">
      <c r="A404" s="103"/>
      <c r="B404" s="114"/>
      <c r="C404" s="114"/>
      <c r="D404" s="115" t="s">
        <v>1050</v>
      </c>
      <c r="E404" s="116">
        <v>4</v>
      </c>
      <c r="F404" s="114"/>
      <c r="G404" s="117"/>
      <c r="H404" s="242"/>
      <c r="I404" s="274"/>
      <c r="J404" s="118"/>
      <c r="K404" s="118"/>
      <c r="L404" s="118"/>
      <c r="M404" s="119">
        <f>SUMIF($F$6:$F$389,$E404,M$6:M$389)</f>
        <v>325</v>
      </c>
      <c r="N404" s="120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>
        <f t="shared" si="108"/>
        <v>4573</v>
      </c>
      <c r="Y404" s="121">
        <f t="shared" si="108"/>
        <v>404527.93</v>
      </c>
      <c r="Z404" s="121">
        <f t="shared" si="108"/>
        <v>234470.71</v>
      </c>
      <c r="AA404" s="121"/>
      <c r="AB404" s="121">
        <f t="shared" si="109"/>
        <v>36566.239999999998</v>
      </c>
      <c r="AC404" s="121">
        <f t="shared" si="109"/>
        <v>35672.339999999997</v>
      </c>
      <c r="AD404" s="121">
        <f t="shared" si="109"/>
        <v>893.89999999999986</v>
      </c>
      <c r="AE404" s="121">
        <f t="shared" si="109"/>
        <v>27338.000000000011</v>
      </c>
      <c r="AF404" s="121">
        <f t="shared" si="109"/>
        <v>227.1</v>
      </c>
      <c r="AG404" s="121">
        <f t="shared" si="109"/>
        <v>133496.68000000002</v>
      </c>
      <c r="AH404" s="121"/>
      <c r="AI404" s="121">
        <f t="shared" si="110"/>
        <v>45549.3</v>
      </c>
      <c r="AJ404" s="121">
        <f t="shared" si="110"/>
        <v>39049.399999999987</v>
      </c>
      <c r="AK404" s="121">
        <f t="shared" si="110"/>
        <v>5927.8</v>
      </c>
      <c r="AL404" s="121">
        <f t="shared" si="110"/>
        <v>572.1</v>
      </c>
      <c r="AM404" s="121">
        <f t="shared" si="110"/>
        <v>2383.6</v>
      </c>
      <c r="AN404" s="121">
        <f t="shared" si="110"/>
        <v>-5.6999999999999886</v>
      </c>
      <c r="AO404" s="121">
        <f t="shared" si="110"/>
        <v>2389.2999999999997</v>
      </c>
      <c r="AP404" s="121">
        <f t="shared" si="110"/>
        <v>0</v>
      </c>
      <c r="AQ404" s="121">
        <f t="shared" si="110"/>
        <v>27742.100000000002</v>
      </c>
      <c r="AR404" s="121">
        <f t="shared" si="110"/>
        <v>27630.160000000003</v>
      </c>
      <c r="AS404" s="121">
        <f t="shared" si="110"/>
        <v>17.239999999999998</v>
      </c>
      <c r="AT404" s="121">
        <f t="shared" si="110"/>
        <v>94.700000000000017</v>
      </c>
      <c r="AU404" s="121">
        <f t="shared" si="110"/>
        <v>66355.12000000001</v>
      </c>
      <c r="AV404" s="121">
        <f t="shared" si="110"/>
        <v>66355.12000000001</v>
      </c>
      <c r="AW404" s="121">
        <f t="shared" si="110"/>
        <v>0</v>
      </c>
      <c r="AX404" s="121">
        <f t="shared" si="110"/>
        <v>0</v>
      </c>
      <c r="AY404" s="121"/>
      <c r="AZ404" s="121">
        <f>SUMIF($F$6:$F$389,$E404,AZ$6:AZ$389)</f>
        <v>462</v>
      </c>
      <c r="BA404" s="121"/>
      <c r="BB404" s="121"/>
      <c r="BC404" s="121"/>
      <c r="BD404" s="121"/>
      <c r="BE404" s="121"/>
      <c r="BF404" s="121">
        <f t="shared" si="111"/>
        <v>192219</v>
      </c>
      <c r="BG404" s="121">
        <f t="shared" si="111"/>
        <v>1066577</v>
      </c>
      <c r="BQ404" s="115"/>
      <c r="BR404" s="123"/>
      <c r="BT404" s="324"/>
      <c r="BV404" s="324"/>
    </row>
    <row r="405" spans="1:74" s="122" customFormat="1" ht="12" customHeight="1" outlineLevel="1" x14ac:dyDescent="0.2">
      <c r="A405" s="103"/>
      <c r="B405" s="114"/>
      <c r="C405" s="114"/>
      <c r="D405" s="115" t="s">
        <v>1050</v>
      </c>
      <c r="E405" s="116">
        <v>5</v>
      </c>
      <c r="F405" s="114"/>
      <c r="G405" s="117"/>
      <c r="H405" s="242"/>
      <c r="I405" s="274"/>
      <c r="J405" s="118"/>
      <c r="K405" s="118"/>
      <c r="L405" s="118"/>
      <c r="M405" s="119">
        <f>SUMIF($F$6:$F$389,$E405,M$6:M$389)</f>
        <v>19</v>
      </c>
      <c r="N405" s="120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>
        <f t="shared" si="108"/>
        <v>139</v>
      </c>
      <c r="Y405" s="121">
        <f t="shared" si="108"/>
        <v>9930.19</v>
      </c>
      <c r="Z405" s="121">
        <f t="shared" si="108"/>
        <v>4868.6000000000004</v>
      </c>
      <c r="AA405" s="121"/>
      <c r="AB405" s="121">
        <f t="shared" si="109"/>
        <v>211.89999999999998</v>
      </c>
      <c r="AC405" s="121">
        <f t="shared" si="109"/>
        <v>211.89999999999998</v>
      </c>
      <c r="AD405" s="121">
        <f t="shared" si="109"/>
        <v>0</v>
      </c>
      <c r="AE405" s="121">
        <f t="shared" si="109"/>
        <v>150.1</v>
      </c>
      <c r="AF405" s="121">
        <f t="shared" si="109"/>
        <v>0</v>
      </c>
      <c r="AG405" s="121">
        <f t="shared" si="109"/>
        <v>4849.6899999999996</v>
      </c>
      <c r="AH405" s="121"/>
      <c r="AI405" s="121">
        <f t="shared" si="110"/>
        <v>1394.6</v>
      </c>
      <c r="AJ405" s="121">
        <f t="shared" si="110"/>
        <v>1332.8</v>
      </c>
      <c r="AK405" s="121">
        <f t="shared" si="110"/>
        <v>61.8</v>
      </c>
      <c r="AL405" s="121">
        <f t="shared" si="110"/>
        <v>0</v>
      </c>
      <c r="AM405" s="121">
        <f t="shared" si="110"/>
        <v>0</v>
      </c>
      <c r="AN405" s="121">
        <f t="shared" si="110"/>
        <v>0</v>
      </c>
      <c r="AO405" s="121">
        <f t="shared" si="110"/>
        <v>0</v>
      </c>
      <c r="AP405" s="121">
        <f t="shared" si="110"/>
        <v>0</v>
      </c>
      <c r="AQ405" s="121">
        <f t="shared" si="110"/>
        <v>456.7</v>
      </c>
      <c r="AR405" s="121">
        <f t="shared" si="110"/>
        <v>456.7</v>
      </c>
      <c r="AS405" s="121">
        <f t="shared" si="110"/>
        <v>0</v>
      </c>
      <c r="AT405" s="121">
        <f t="shared" si="110"/>
        <v>0</v>
      </c>
      <c r="AU405" s="121">
        <f t="shared" si="110"/>
        <v>2979.9900000000002</v>
      </c>
      <c r="AV405" s="121">
        <f t="shared" si="110"/>
        <v>2979.9900000000002</v>
      </c>
      <c r="AW405" s="121">
        <f t="shared" si="110"/>
        <v>0</v>
      </c>
      <c r="AX405" s="121">
        <f t="shared" si="110"/>
        <v>0</v>
      </c>
      <c r="AY405" s="121"/>
      <c r="AZ405" s="121">
        <f>SUMIF($F$6:$F$389,$E405,AZ$6:AZ$389)</f>
        <v>80.2</v>
      </c>
      <c r="BA405" s="121"/>
      <c r="BB405" s="121"/>
      <c r="BC405" s="121"/>
      <c r="BD405" s="121"/>
      <c r="BE405" s="121"/>
      <c r="BF405" s="121">
        <f t="shared" si="111"/>
        <v>7547</v>
      </c>
      <c r="BG405" s="121">
        <f t="shared" si="111"/>
        <v>23426</v>
      </c>
      <c r="BQ405" s="115"/>
      <c r="BR405" s="123"/>
      <c r="BT405" s="324"/>
      <c r="BV405" s="324"/>
    </row>
    <row r="406" spans="1:74" s="131" customFormat="1" ht="12" x14ac:dyDescent="0.2">
      <c r="A406" s="103"/>
      <c r="B406" s="124"/>
      <c r="C406" s="124"/>
      <c r="D406" s="9"/>
      <c r="E406" s="125"/>
      <c r="F406" s="125"/>
      <c r="G406" s="126"/>
      <c r="H406" s="244"/>
      <c r="I406" s="275"/>
      <c r="J406" s="127"/>
      <c r="K406" s="127"/>
      <c r="L406" s="127"/>
      <c r="M406" s="127"/>
      <c r="N406" s="128"/>
      <c r="O406" s="127"/>
      <c r="P406" s="127"/>
      <c r="Q406" s="127"/>
      <c r="R406" s="127"/>
      <c r="S406" s="127"/>
      <c r="T406" s="127"/>
      <c r="U406" s="127"/>
      <c r="V406" s="127"/>
      <c r="W406" s="127"/>
      <c r="X406" s="227">
        <f>ЕРКЦ!L386</f>
        <v>0</v>
      </c>
      <c r="Y406" s="129"/>
      <c r="Z406" s="129">
        <f>ЕРКЦ!F386</f>
        <v>1007136.1199999999</v>
      </c>
      <c r="AA406" s="129">
        <f>ЕРКЦ!K386</f>
        <v>18367</v>
      </c>
      <c r="AB406" s="129">
        <f>Нежилые!G2126</f>
        <v>185544.26999999996</v>
      </c>
      <c r="AC406" s="129">
        <f>Нежилые!G2125</f>
        <v>181699.76999999996</v>
      </c>
      <c r="AD406" s="129">
        <f>Нежилые!H2125</f>
        <v>3844.5</v>
      </c>
      <c r="AE406" s="130">
        <f>Нежилые!I2125+Нежилые!S2125</f>
        <v>109127.9</v>
      </c>
      <c r="AF406" s="130">
        <f>Нежилые!J2125+Нежилые!T2125</f>
        <v>384.9</v>
      </c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32"/>
      <c r="BG406" s="132"/>
      <c r="BQ406" s="9"/>
      <c r="BR406" s="9"/>
      <c r="BT406" s="326"/>
      <c r="BV406" s="326"/>
    </row>
    <row r="407" spans="1:74" s="131" customFormat="1" ht="12" x14ac:dyDescent="0.2">
      <c r="A407" s="103"/>
      <c r="B407" s="124"/>
      <c r="C407" s="124"/>
      <c r="D407" s="9"/>
      <c r="E407" s="125"/>
      <c r="F407" s="125"/>
      <c r="G407" s="126"/>
      <c r="H407" s="244"/>
      <c r="I407" s="275"/>
      <c r="J407" s="127"/>
      <c r="K407" s="127"/>
      <c r="L407" s="127"/>
      <c r="M407" s="127"/>
      <c r="N407" s="128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33"/>
      <c r="Z407" s="127"/>
      <c r="AA407" s="233">
        <f>AA406-AB406</f>
        <v>-167177.26999999996</v>
      </c>
      <c r="AB407" s="234" t="s">
        <v>1371</v>
      </c>
      <c r="AC407" s="129"/>
      <c r="AD407" s="129"/>
      <c r="AE407" s="130"/>
      <c r="AF407" s="130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32"/>
      <c r="BG407" s="132"/>
      <c r="BQ407" s="9"/>
      <c r="BR407" s="9"/>
      <c r="BT407" s="326"/>
      <c r="BV407" s="326"/>
    </row>
    <row r="408" spans="1:74" ht="13.15" customHeight="1" x14ac:dyDescent="0.2">
      <c r="A408" s="103"/>
    </row>
    <row r="409" spans="1:74" ht="13.15" customHeight="1" x14ac:dyDescent="0.2">
      <c r="A409" s="103"/>
    </row>
    <row r="410" spans="1:74" ht="13.15" customHeight="1" x14ac:dyDescent="0.2">
      <c r="A410" s="103"/>
    </row>
    <row r="411" spans="1:74" ht="13.15" customHeight="1" x14ac:dyDescent="0.2">
      <c r="A411" s="103"/>
    </row>
    <row r="412" spans="1:74" ht="13.15" customHeight="1" x14ac:dyDescent="0.2">
      <c r="A412" s="103"/>
    </row>
    <row r="413" spans="1:74" ht="13.15" customHeight="1" x14ac:dyDescent="0.2">
      <c r="A413" s="103"/>
    </row>
    <row r="414" spans="1:74" ht="13.15" customHeight="1" x14ac:dyDescent="0.2">
      <c r="A414" s="103"/>
    </row>
    <row r="415" spans="1:74" ht="13.15" customHeight="1" x14ac:dyDescent="0.2">
      <c r="A415" s="103"/>
    </row>
    <row r="416" spans="1:74" ht="13.15" customHeight="1" x14ac:dyDescent="0.2">
      <c r="A416" s="103"/>
    </row>
    <row r="417" spans="1:1" ht="13.15" customHeight="1" x14ac:dyDescent="0.2">
      <c r="A417" s="103"/>
    </row>
    <row r="418" spans="1:1" ht="13.15" customHeight="1" x14ac:dyDescent="0.2">
      <c r="A418" s="103"/>
    </row>
    <row r="419" spans="1:1" ht="13.15" customHeight="1" x14ac:dyDescent="0.2">
      <c r="A419" s="103"/>
    </row>
    <row r="420" spans="1:1" ht="13.15" customHeight="1" x14ac:dyDescent="0.2">
      <c r="A420" s="103"/>
    </row>
    <row r="421" spans="1:1" ht="13.15" customHeight="1" x14ac:dyDescent="0.2">
      <c r="A421" s="103"/>
    </row>
    <row r="422" spans="1:1" ht="13.15" customHeight="1" x14ac:dyDescent="0.2">
      <c r="A422" s="103"/>
    </row>
    <row r="423" spans="1:1" ht="13.15" customHeight="1" x14ac:dyDescent="0.2">
      <c r="A423" s="103"/>
    </row>
    <row r="424" spans="1:1" ht="13.15" customHeight="1" x14ac:dyDescent="0.2">
      <c r="A424" s="103"/>
    </row>
    <row r="425" spans="1:1" ht="13.15" customHeight="1" x14ac:dyDescent="0.2">
      <c r="A425" s="103"/>
    </row>
    <row r="426" spans="1:1" ht="13.15" customHeight="1" x14ac:dyDescent="0.2">
      <c r="A426" s="103"/>
    </row>
    <row r="427" spans="1:1" ht="13.15" customHeight="1" x14ac:dyDescent="0.2">
      <c r="A427" s="103"/>
    </row>
    <row r="428" spans="1:1" ht="13.15" customHeight="1" x14ac:dyDescent="0.2">
      <c r="A428" s="103"/>
    </row>
    <row r="429" spans="1:1" ht="13.15" customHeight="1" x14ac:dyDescent="0.2">
      <c r="A429" s="103"/>
    </row>
    <row r="430" spans="1:1" ht="13.15" customHeight="1" x14ac:dyDescent="0.2">
      <c r="A430" s="103"/>
    </row>
    <row r="431" spans="1:1" ht="13.15" customHeight="1" x14ac:dyDescent="0.2">
      <c r="A431" s="103"/>
    </row>
    <row r="432" spans="1:1" ht="13.15" customHeight="1" x14ac:dyDescent="0.2">
      <c r="A432" s="103"/>
    </row>
    <row r="433" spans="1:1" ht="13.15" customHeight="1" x14ac:dyDescent="0.2">
      <c r="A433" s="103"/>
    </row>
    <row r="434" spans="1:1" ht="13.15" customHeight="1" x14ac:dyDescent="0.2">
      <c r="A434" s="103"/>
    </row>
    <row r="435" spans="1:1" ht="13.15" customHeight="1" x14ac:dyDescent="0.2">
      <c r="A435" s="103"/>
    </row>
    <row r="436" spans="1:1" ht="13.15" customHeight="1" x14ac:dyDescent="0.2">
      <c r="A436" s="103"/>
    </row>
    <row r="437" spans="1:1" ht="13.15" customHeight="1" x14ac:dyDescent="0.2">
      <c r="A437" s="103"/>
    </row>
    <row r="438" spans="1:1" ht="13.15" customHeight="1" x14ac:dyDescent="0.2">
      <c r="A438" s="103"/>
    </row>
    <row r="439" spans="1:1" ht="13.15" customHeight="1" x14ac:dyDescent="0.2">
      <c r="A439" s="103"/>
    </row>
    <row r="440" spans="1:1" ht="13.15" customHeight="1" x14ac:dyDescent="0.2">
      <c r="A440" s="103"/>
    </row>
    <row r="441" spans="1:1" ht="13.15" customHeight="1" x14ac:dyDescent="0.2">
      <c r="A441" s="103"/>
    </row>
    <row r="442" spans="1:1" ht="13.15" customHeight="1" x14ac:dyDescent="0.2">
      <c r="A442" s="103"/>
    </row>
    <row r="443" spans="1:1" ht="13.15" customHeight="1" x14ac:dyDescent="0.2">
      <c r="A443" s="103"/>
    </row>
    <row r="444" spans="1:1" ht="13.15" customHeight="1" x14ac:dyDescent="0.2">
      <c r="A444" s="103"/>
    </row>
    <row r="445" spans="1:1" ht="13.15" customHeight="1" x14ac:dyDescent="0.2">
      <c r="A445" s="103"/>
    </row>
    <row r="446" spans="1:1" ht="13.15" customHeight="1" x14ac:dyDescent="0.2">
      <c r="A446" s="103"/>
    </row>
    <row r="447" spans="1:1" ht="13.15" customHeight="1" x14ac:dyDescent="0.2">
      <c r="A447" s="103"/>
    </row>
    <row r="448" spans="1:1" ht="13.15" customHeight="1" x14ac:dyDescent="0.2">
      <c r="A448" s="103"/>
    </row>
    <row r="449" spans="1:1" ht="13.15" customHeight="1" x14ac:dyDescent="0.2">
      <c r="A449" s="103"/>
    </row>
    <row r="450" spans="1:1" ht="13.15" customHeight="1" x14ac:dyDescent="0.2">
      <c r="A450" s="103"/>
    </row>
    <row r="451" spans="1:1" ht="13.15" customHeight="1" x14ac:dyDescent="0.2">
      <c r="A451" s="103"/>
    </row>
    <row r="452" spans="1:1" ht="13.15" customHeight="1" x14ac:dyDescent="0.2">
      <c r="A452" s="103"/>
    </row>
    <row r="453" spans="1:1" ht="13.15" customHeight="1" x14ac:dyDescent="0.2">
      <c r="A453" s="103"/>
    </row>
    <row r="454" spans="1:1" ht="13.15" customHeight="1" x14ac:dyDescent="0.2">
      <c r="A454" s="103"/>
    </row>
    <row r="455" spans="1:1" ht="13.15" customHeight="1" x14ac:dyDescent="0.2">
      <c r="A455" s="103"/>
    </row>
    <row r="456" spans="1:1" ht="13.15" customHeight="1" x14ac:dyDescent="0.2">
      <c r="A456" s="103"/>
    </row>
    <row r="457" spans="1:1" ht="13.15" customHeight="1" x14ac:dyDescent="0.2">
      <c r="A457" s="103"/>
    </row>
    <row r="458" spans="1:1" ht="13.15" customHeight="1" x14ac:dyDescent="0.2">
      <c r="A458" s="103"/>
    </row>
    <row r="459" spans="1:1" ht="13.15" customHeight="1" x14ac:dyDescent="0.2">
      <c r="A459" s="103"/>
    </row>
    <row r="460" spans="1:1" ht="13.15" customHeight="1" x14ac:dyDescent="0.2">
      <c r="A460" s="103"/>
    </row>
    <row r="461" spans="1:1" ht="13.15" customHeight="1" x14ac:dyDescent="0.2">
      <c r="A461" s="103"/>
    </row>
    <row r="462" spans="1:1" ht="13.15" customHeight="1" x14ac:dyDescent="0.2">
      <c r="A462" s="103"/>
    </row>
    <row r="463" spans="1:1" ht="13.15" customHeight="1" x14ac:dyDescent="0.2">
      <c r="A463" s="103"/>
    </row>
    <row r="464" spans="1:1" ht="13.15" customHeight="1" x14ac:dyDescent="0.2">
      <c r="A464" s="103"/>
    </row>
    <row r="465" spans="1:1" ht="13.15" customHeight="1" x14ac:dyDescent="0.2">
      <c r="A465" s="103"/>
    </row>
    <row r="466" spans="1:1" ht="13.15" customHeight="1" x14ac:dyDescent="0.2">
      <c r="A466" s="103"/>
    </row>
    <row r="467" spans="1:1" ht="13.15" customHeight="1" x14ac:dyDescent="0.2">
      <c r="A467" s="103"/>
    </row>
    <row r="468" spans="1:1" ht="13.15" customHeight="1" x14ac:dyDescent="0.2">
      <c r="A468" s="103"/>
    </row>
    <row r="469" spans="1:1" ht="13.15" customHeight="1" x14ac:dyDescent="0.2">
      <c r="A469" s="103"/>
    </row>
    <row r="470" spans="1:1" ht="13.15" customHeight="1" x14ac:dyDescent="0.2">
      <c r="A470" s="103"/>
    </row>
    <row r="471" spans="1:1" ht="13.15" customHeight="1" x14ac:dyDescent="0.2">
      <c r="A471" s="103"/>
    </row>
    <row r="472" spans="1:1" ht="13.15" customHeight="1" x14ac:dyDescent="0.2">
      <c r="A472" s="103"/>
    </row>
    <row r="473" spans="1:1" ht="13.15" customHeight="1" x14ac:dyDescent="0.2">
      <c r="A473" s="103"/>
    </row>
    <row r="474" spans="1:1" ht="13.15" customHeight="1" x14ac:dyDescent="0.2">
      <c r="A474" s="103"/>
    </row>
    <row r="475" spans="1:1" ht="13.15" customHeight="1" x14ac:dyDescent="0.2">
      <c r="A475" s="103"/>
    </row>
    <row r="476" spans="1:1" ht="13.15" customHeight="1" x14ac:dyDescent="0.2">
      <c r="A476" s="103"/>
    </row>
    <row r="477" spans="1:1" ht="13.15" customHeight="1" x14ac:dyDescent="0.2">
      <c r="A477" s="103"/>
    </row>
    <row r="478" spans="1:1" ht="13.15" customHeight="1" x14ac:dyDescent="0.2">
      <c r="A478" s="103"/>
    </row>
    <row r="479" spans="1:1" ht="13.15" customHeight="1" x14ac:dyDescent="0.2">
      <c r="A479" s="103"/>
    </row>
    <row r="480" spans="1:1" ht="13.15" customHeight="1" x14ac:dyDescent="0.2">
      <c r="A480" s="103"/>
    </row>
    <row r="481" spans="1:1" ht="13.15" customHeight="1" x14ac:dyDescent="0.2">
      <c r="A481" s="103"/>
    </row>
    <row r="482" spans="1:1" ht="13.15" customHeight="1" x14ac:dyDescent="0.2">
      <c r="A482" s="103"/>
    </row>
    <row r="483" spans="1:1" ht="13.15" customHeight="1" x14ac:dyDescent="0.2">
      <c r="A483" s="103"/>
    </row>
    <row r="484" spans="1:1" ht="13.15" customHeight="1" x14ac:dyDescent="0.2">
      <c r="A484" s="103"/>
    </row>
    <row r="485" spans="1:1" ht="13.15" customHeight="1" x14ac:dyDescent="0.2">
      <c r="A485" s="103"/>
    </row>
    <row r="486" spans="1:1" ht="13.15" customHeight="1" x14ac:dyDescent="0.2">
      <c r="A486" s="103"/>
    </row>
    <row r="487" spans="1:1" ht="13.15" customHeight="1" x14ac:dyDescent="0.2">
      <c r="A487" s="103"/>
    </row>
    <row r="488" spans="1:1" ht="13.15" customHeight="1" x14ac:dyDescent="0.2">
      <c r="A488" s="103"/>
    </row>
    <row r="489" spans="1:1" ht="13.15" customHeight="1" x14ac:dyDescent="0.2">
      <c r="A489" s="103"/>
    </row>
    <row r="490" spans="1:1" ht="13.15" customHeight="1" x14ac:dyDescent="0.2">
      <c r="A490" s="103"/>
    </row>
    <row r="491" spans="1:1" ht="13.15" customHeight="1" x14ac:dyDescent="0.2">
      <c r="A491" s="103"/>
    </row>
    <row r="492" spans="1:1" ht="13.15" customHeight="1" x14ac:dyDescent="0.2">
      <c r="A492" s="103"/>
    </row>
    <row r="493" spans="1:1" ht="13.15" customHeight="1" x14ac:dyDescent="0.2">
      <c r="A493" s="103"/>
    </row>
    <row r="494" spans="1:1" ht="13.15" customHeight="1" x14ac:dyDescent="0.2">
      <c r="A494" s="103"/>
    </row>
    <row r="495" spans="1:1" ht="13.15" customHeight="1" x14ac:dyDescent="0.2">
      <c r="A495" s="103"/>
    </row>
    <row r="496" spans="1:1" ht="13.15" customHeight="1" x14ac:dyDescent="0.2">
      <c r="A496" s="103"/>
    </row>
    <row r="497" spans="1:1" ht="13.15" customHeight="1" x14ac:dyDescent="0.2">
      <c r="A497" s="103"/>
    </row>
    <row r="498" spans="1:1" ht="13.15" customHeight="1" x14ac:dyDescent="0.2">
      <c r="A498" s="103"/>
    </row>
    <row r="499" spans="1:1" ht="13.15" customHeight="1" x14ac:dyDescent="0.2">
      <c r="A499" s="103"/>
    </row>
    <row r="500" spans="1:1" ht="13.15" customHeight="1" x14ac:dyDescent="0.2">
      <c r="A500" s="103"/>
    </row>
    <row r="501" spans="1:1" ht="13.15" customHeight="1" x14ac:dyDescent="0.2">
      <c r="A501" s="103"/>
    </row>
    <row r="502" spans="1:1" ht="13.15" customHeight="1" x14ac:dyDescent="0.2">
      <c r="A502" s="103"/>
    </row>
    <row r="503" spans="1:1" ht="13.15" customHeight="1" x14ac:dyDescent="0.2">
      <c r="A503" s="103"/>
    </row>
    <row r="504" spans="1:1" ht="13.15" customHeight="1" x14ac:dyDescent="0.2">
      <c r="A504" s="103"/>
    </row>
    <row r="505" spans="1:1" ht="13.15" customHeight="1" x14ac:dyDescent="0.2">
      <c r="A505" s="103"/>
    </row>
    <row r="506" spans="1:1" ht="13.15" customHeight="1" x14ac:dyDescent="0.2">
      <c r="A506" s="103"/>
    </row>
    <row r="507" spans="1:1" ht="13.15" customHeight="1" x14ac:dyDescent="0.2">
      <c r="A507" s="103"/>
    </row>
    <row r="508" spans="1:1" ht="13.15" customHeight="1" x14ac:dyDescent="0.2">
      <c r="A508" s="103"/>
    </row>
    <row r="509" spans="1:1" ht="13.15" customHeight="1" x14ac:dyDescent="0.2">
      <c r="A509" s="103"/>
    </row>
    <row r="510" spans="1:1" ht="13.15" customHeight="1" x14ac:dyDescent="0.2">
      <c r="A510" s="103"/>
    </row>
    <row r="511" spans="1:1" ht="13.15" customHeight="1" x14ac:dyDescent="0.2">
      <c r="A511" s="103"/>
    </row>
    <row r="512" spans="1:1" ht="13.15" customHeight="1" x14ac:dyDescent="0.2">
      <c r="A512" s="103"/>
    </row>
    <row r="513" spans="1:1" ht="13.15" customHeight="1" x14ac:dyDescent="0.2">
      <c r="A513" s="103"/>
    </row>
    <row r="514" spans="1:1" ht="13.15" customHeight="1" x14ac:dyDescent="0.2">
      <c r="A514" s="103"/>
    </row>
    <row r="515" spans="1:1" ht="13.15" customHeight="1" x14ac:dyDescent="0.2">
      <c r="A515" s="103"/>
    </row>
    <row r="516" spans="1:1" ht="13.15" customHeight="1" x14ac:dyDescent="0.2">
      <c r="A516" s="103"/>
    </row>
    <row r="517" spans="1:1" ht="13.15" customHeight="1" x14ac:dyDescent="0.2">
      <c r="A517" s="103"/>
    </row>
    <row r="518" spans="1:1" ht="13.15" customHeight="1" x14ac:dyDescent="0.2">
      <c r="A518" s="103"/>
    </row>
    <row r="519" spans="1:1" ht="13.15" customHeight="1" x14ac:dyDescent="0.2">
      <c r="A519" s="103"/>
    </row>
    <row r="520" spans="1:1" ht="13.15" customHeight="1" x14ac:dyDescent="0.2">
      <c r="A520" s="103"/>
    </row>
    <row r="521" spans="1:1" ht="13.15" customHeight="1" x14ac:dyDescent="0.2">
      <c r="A521" s="103"/>
    </row>
    <row r="522" spans="1:1" ht="13.15" customHeight="1" x14ac:dyDescent="0.2">
      <c r="A522" s="103"/>
    </row>
    <row r="523" spans="1:1" ht="13.15" customHeight="1" x14ac:dyDescent="0.2">
      <c r="A523" s="103"/>
    </row>
    <row r="524" spans="1:1" ht="13.15" customHeight="1" x14ac:dyDescent="0.2">
      <c r="A524" s="103"/>
    </row>
    <row r="525" spans="1:1" ht="13.15" customHeight="1" x14ac:dyDescent="0.2">
      <c r="A525" s="103"/>
    </row>
    <row r="526" spans="1:1" ht="13.15" customHeight="1" x14ac:dyDescent="0.2">
      <c r="A526" s="103"/>
    </row>
    <row r="527" spans="1:1" ht="13.15" customHeight="1" x14ac:dyDescent="0.2">
      <c r="A527" s="103"/>
    </row>
    <row r="528" spans="1:1" ht="13.15" customHeight="1" x14ac:dyDescent="0.2">
      <c r="A528" s="103"/>
    </row>
    <row r="529" spans="1:1" ht="13.15" customHeight="1" x14ac:dyDescent="0.2">
      <c r="A529" s="103"/>
    </row>
    <row r="530" spans="1:1" ht="13.15" customHeight="1" x14ac:dyDescent="0.2">
      <c r="A530" s="103"/>
    </row>
    <row r="531" spans="1:1" ht="13.15" customHeight="1" x14ac:dyDescent="0.2">
      <c r="A531" s="103"/>
    </row>
    <row r="532" spans="1:1" ht="13.15" customHeight="1" x14ac:dyDescent="0.2">
      <c r="A532" s="103"/>
    </row>
    <row r="533" spans="1:1" ht="13.15" customHeight="1" x14ac:dyDescent="0.2">
      <c r="A533" s="103"/>
    </row>
    <row r="534" spans="1:1" ht="13.15" customHeight="1" x14ac:dyDescent="0.2">
      <c r="A534" s="103"/>
    </row>
    <row r="535" spans="1:1" ht="13.15" customHeight="1" x14ac:dyDescent="0.2">
      <c r="A535" s="103"/>
    </row>
    <row r="536" spans="1:1" ht="13.15" customHeight="1" x14ac:dyDescent="0.2">
      <c r="A536" s="103"/>
    </row>
    <row r="537" spans="1:1" ht="13.15" customHeight="1" x14ac:dyDescent="0.2">
      <c r="A537" s="103"/>
    </row>
    <row r="538" spans="1:1" ht="13.15" customHeight="1" x14ac:dyDescent="0.2">
      <c r="A538" s="103"/>
    </row>
    <row r="539" spans="1:1" ht="13.15" customHeight="1" x14ac:dyDescent="0.2">
      <c r="A539" s="103"/>
    </row>
    <row r="540" spans="1:1" ht="13.15" customHeight="1" x14ac:dyDescent="0.2">
      <c r="A540" s="103"/>
    </row>
    <row r="541" spans="1:1" ht="13.15" customHeight="1" x14ac:dyDescent="0.2">
      <c r="A541" s="103"/>
    </row>
    <row r="542" spans="1:1" ht="13.15" customHeight="1" x14ac:dyDescent="0.2">
      <c r="A542" s="103"/>
    </row>
    <row r="543" spans="1:1" ht="13.15" customHeight="1" x14ac:dyDescent="0.2">
      <c r="A543" s="103"/>
    </row>
    <row r="544" spans="1:1" ht="13.15" customHeight="1" x14ac:dyDescent="0.2">
      <c r="A544" s="103"/>
    </row>
    <row r="545" spans="1:1" ht="13.15" customHeight="1" x14ac:dyDescent="0.2">
      <c r="A545" s="103"/>
    </row>
    <row r="546" spans="1:1" ht="13.15" customHeight="1" x14ac:dyDescent="0.2">
      <c r="A546" s="103"/>
    </row>
    <row r="547" spans="1:1" ht="13.15" customHeight="1" x14ac:dyDescent="0.2">
      <c r="A547" s="103"/>
    </row>
    <row r="548" spans="1:1" ht="13.15" customHeight="1" x14ac:dyDescent="0.2">
      <c r="A548" s="103"/>
    </row>
    <row r="549" spans="1:1" ht="13.15" customHeight="1" x14ac:dyDescent="0.2">
      <c r="A549" s="103"/>
    </row>
    <row r="550" spans="1:1" ht="13.15" customHeight="1" x14ac:dyDescent="0.2">
      <c r="A550" s="103"/>
    </row>
    <row r="551" spans="1:1" ht="13.15" customHeight="1" x14ac:dyDescent="0.2">
      <c r="A551" s="103"/>
    </row>
    <row r="552" spans="1:1" ht="13.15" customHeight="1" x14ac:dyDescent="0.2">
      <c r="A552" s="103"/>
    </row>
    <row r="553" spans="1:1" ht="13.15" customHeight="1" x14ac:dyDescent="0.2">
      <c r="A553" s="103"/>
    </row>
    <row r="554" spans="1:1" ht="13.15" customHeight="1" x14ac:dyDescent="0.2">
      <c r="A554" s="103"/>
    </row>
    <row r="555" spans="1:1" ht="13.15" customHeight="1" x14ac:dyDescent="0.2">
      <c r="A555" s="103"/>
    </row>
    <row r="556" spans="1:1" ht="13.15" customHeight="1" x14ac:dyDescent="0.2">
      <c r="A556" s="103"/>
    </row>
    <row r="557" spans="1:1" ht="13.15" customHeight="1" x14ac:dyDescent="0.2">
      <c r="A557" s="103"/>
    </row>
    <row r="558" spans="1:1" ht="13.15" customHeight="1" x14ac:dyDescent="0.2">
      <c r="A558" s="103"/>
    </row>
    <row r="559" spans="1:1" ht="13.15" customHeight="1" x14ac:dyDescent="0.2">
      <c r="A559" s="103"/>
    </row>
    <row r="560" spans="1:1" ht="13.15" customHeight="1" x14ac:dyDescent="0.2">
      <c r="A560" s="103"/>
    </row>
    <row r="561" spans="1:1" ht="13.15" customHeight="1" x14ac:dyDescent="0.2">
      <c r="A561" s="103"/>
    </row>
    <row r="562" spans="1:1" ht="13.15" customHeight="1" x14ac:dyDescent="0.2">
      <c r="A562" s="103"/>
    </row>
    <row r="563" spans="1:1" ht="13.15" customHeight="1" x14ac:dyDescent="0.2">
      <c r="A563" s="103"/>
    </row>
    <row r="564" spans="1:1" ht="13.15" customHeight="1" x14ac:dyDescent="0.2">
      <c r="A564" s="103"/>
    </row>
    <row r="565" spans="1:1" ht="13.15" customHeight="1" x14ac:dyDescent="0.2">
      <c r="A565" s="103"/>
    </row>
    <row r="566" spans="1:1" ht="13.15" customHeight="1" x14ac:dyDescent="0.2">
      <c r="A566" s="103"/>
    </row>
    <row r="567" spans="1:1" ht="13.15" customHeight="1" x14ac:dyDescent="0.2">
      <c r="A567" s="103"/>
    </row>
    <row r="568" spans="1:1" ht="13.15" customHeight="1" x14ac:dyDescent="0.2">
      <c r="A568" s="103"/>
    </row>
    <row r="569" spans="1:1" ht="13.15" customHeight="1" x14ac:dyDescent="0.2">
      <c r="A569" s="103"/>
    </row>
    <row r="570" spans="1:1" ht="13.15" customHeight="1" x14ac:dyDescent="0.2">
      <c r="A570" s="103"/>
    </row>
    <row r="571" spans="1:1" ht="13.15" customHeight="1" x14ac:dyDescent="0.2">
      <c r="A571" s="103"/>
    </row>
    <row r="572" spans="1:1" ht="13.15" customHeight="1" x14ac:dyDescent="0.2">
      <c r="A572" s="103"/>
    </row>
    <row r="573" spans="1:1" ht="13.15" customHeight="1" x14ac:dyDescent="0.2">
      <c r="A573" s="103"/>
    </row>
    <row r="574" spans="1:1" ht="13.15" customHeight="1" x14ac:dyDescent="0.2">
      <c r="A574" s="103"/>
    </row>
    <row r="575" spans="1:1" ht="13.15" customHeight="1" x14ac:dyDescent="0.2">
      <c r="A575" s="103"/>
    </row>
    <row r="576" spans="1:1" ht="13.15" customHeight="1" x14ac:dyDescent="0.2">
      <c r="A576" s="103"/>
    </row>
    <row r="577" spans="1:1" ht="13.15" customHeight="1" x14ac:dyDescent="0.2">
      <c r="A577" s="103"/>
    </row>
    <row r="578" spans="1:1" ht="13.15" customHeight="1" x14ac:dyDescent="0.2">
      <c r="A578" s="103"/>
    </row>
    <row r="579" spans="1:1" ht="13.15" customHeight="1" x14ac:dyDescent="0.2">
      <c r="A579" s="103"/>
    </row>
    <row r="580" spans="1:1" ht="13.15" customHeight="1" x14ac:dyDescent="0.2">
      <c r="A580" s="103"/>
    </row>
    <row r="581" spans="1:1" ht="13.15" customHeight="1" x14ac:dyDescent="0.2">
      <c r="A581" s="103"/>
    </row>
    <row r="582" spans="1:1" ht="13.15" customHeight="1" x14ac:dyDescent="0.2">
      <c r="A582" s="103"/>
    </row>
    <row r="583" spans="1:1" ht="13.15" customHeight="1" x14ac:dyDescent="0.2">
      <c r="A583" s="103"/>
    </row>
    <row r="584" spans="1:1" ht="13.15" customHeight="1" x14ac:dyDescent="0.2">
      <c r="A584" s="103"/>
    </row>
    <row r="585" spans="1:1" ht="13.15" customHeight="1" x14ac:dyDescent="0.2">
      <c r="A585" s="103"/>
    </row>
    <row r="586" spans="1:1" ht="13.15" customHeight="1" x14ac:dyDescent="0.2">
      <c r="A586" s="103"/>
    </row>
    <row r="587" spans="1:1" ht="13.15" customHeight="1" x14ac:dyDescent="0.2">
      <c r="A587" s="103"/>
    </row>
    <row r="588" spans="1:1" ht="13.15" customHeight="1" x14ac:dyDescent="0.2">
      <c r="A588" s="103"/>
    </row>
    <row r="589" spans="1:1" ht="13.15" customHeight="1" x14ac:dyDescent="0.2">
      <c r="A589" s="103"/>
    </row>
    <row r="590" spans="1:1" ht="13.15" customHeight="1" x14ac:dyDescent="0.2">
      <c r="A590" s="103"/>
    </row>
    <row r="591" spans="1:1" ht="13.15" customHeight="1" x14ac:dyDescent="0.2">
      <c r="A591" s="103"/>
    </row>
    <row r="592" spans="1:1" ht="13.15" customHeight="1" x14ac:dyDescent="0.2">
      <c r="A592" s="103"/>
    </row>
    <row r="593" spans="1:1" ht="13.15" customHeight="1" x14ac:dyDescent="0.2">
      <c r="A593" s="103"/>
    </row>
    <row r="594" spans="1:1" ht="13.15" customHeight="1" x14ac:dyDescent="0.2">
      <c r="A594" s="103"/>
    </row>
    <row r="595" spans="1:1" ht="13.15" customHeight="1" x14ac:dyDescent="0.2">
      <c r="A595" s="103"/>
    </row>
    <row r="596" spans="1:1" ht="13.15" customHeight="1" x14ac:dyDescent="0.2">
      <c r="A596" s="103"/>
    </row>
    <row r="597" spans="1:1" ht="13.15" customHeight="1" x14ac:dyDescent="0.2">
      <c r="A597" s="103"/>
    </row>
    <row r="598" spans="1:1" ht="13.15" customHeight="1" x14ac:dyDescent="0.2">
      <c r="A598" s="103"/>
    </row>
    <row r="599" spans="1:1" ht="13.15" customHeight="1" x14ac:dyDescent="0.2">
      <c r="A599" s="103"/>
    </row>
    <row r="600" spans="1:1" ht="13.15" customHeight="1" x14ac:dyDescent="0.2">
      <c r="A600" s="103"/>
    </row>
    <row r="601" spans="1:1" ht="13.15" customHeight="1" x14ac:dyDescent="0.2">
      <c r="A601" s="103"/>
    </row>
    <row r="602" spans="1:1" ht="13.15" customHeight="1" x14ac:dyDescent="0.2">
      <c r="A602" s="103"/>
    </row>
    <row r="603" spans="1:1" ht="13.15" customHeight="1" x14ac:dyDescent="0.2">
      <c r="A603" s="103"/>
    </row>
    <row r="604" spans="1:1" ht="13.15" customHeight="1" x14ac:dyDescent="0.2">
      <c r="A604" s="103"/>
    </row>
    <row r="605" spans="1:1" ht="13.15" customHeight="1" x14ac:dyDescent="0.2">
      <c r="A605" s="103"/>
    </row>
    <row r="606" spans="1:1" ht="13.15" customHeight="1" x14ac:dyDescent="0.2">
      <c r="A606" s="103"/>
    </row>
    <row r="607" spans="1:1" ht="13.15" customHeight="1" x14ac:dyDescent="0.2">
      <c r="A607" s="103"/>
    </row>
    <row r="608" spans="1:1" ht="13.15" customHeight="1" x14ac:dyDescent="0.2">
      <c r="A608" s="103"/>
    </row>
    <row r="609" spans="1:1" ht="13.15" customHeight="1" x14ac:dyDescent="0.2">
      <c r="A609" s="103"/>
    </row>
    <row r="610" spans="1:1" ht="13.15" customHeight="1" x14ac:dyDescent="0.2">
      <c r="A610" s="103"/>
    </row>
    <row r="611" spans="1:1" ht="13.15" customHeight="1" x14ac:dyDescent="0.2">
      <c r="A611" s="103"/>
    </row>
    <row r="612" spans="1:1" ht="13.15" customHeight="1" x14ac:dyDescent="0.2">
      <c r="A612" s="103"/>
    </row>
    <row r="613" spans="1:1" ht="13.15" customHeight="1" x14ac:dyDescent="0.2">
      <c r="A613" s="103"/>
    </row>
    <row r="614" spans="1:1" ht="13.15" customHeight="1" x14ac:dyDescent="0.2">
      <c r="A614" s="103"/>
    </row>
    <row r="615" spans="1:1" ht="13.15" customHeight="1" x14ac:dyDescent="0.2">
      <c r="A615" s="103"/>
    </row>
    <row r="616" spans="1:1" ht="13.15" customHeight="1" x14ac:dyDescent="0.2">
      <c r="A616" s="103"/>
    </row>
    <row r="617" spans="1:1" ht="13.15" customHeight="1" x14ac:dyDescent="0.2">
      <c r="A617" s="103"/>
    </row>
    <row r="618" spans="1:1" ht="13.15" customHeight="1" x14ac:dyDescent="0.2">
      <c r="A618" s="103"/>
    </row>
    <row r="619" spans="1:1" ht="13.15" customHeight="1" x14ac:dyDescent="0.2">
      <c r="A619" s="103"/>
    </row>
    <row r="620" spans="1:1" ht="13.15" customHeight="1" x14ac:dyDescent="0.2">
      <c r="A620" s="103"/>
    </row>
    <row r="621" spans="1:1" ht="13.15" customHeight="1" x14ac:dyDescent="0.2">
      <c r="A621" s="103"/>
    </row>
    <row r="622" spans="1:1" ht="13.15" customHeight="1" x14ac:dyDescent="0.2">
      <c r="A622" s="103"/>
    </row>
    <row r="623" spans="1:1" ht="13.15" customHeight="1" x14ac:dyDescent="0.2">
      <c r="A623" s="103"/>
    </row>
    <row r="624" spans="1:1" ht="13.15" customHeight="1" x14ac:dyDescent="0.2">
      <c r="A624" s="103"/>
    </row>
    <row r="625" spans="1:1" ht="13.15" customHeight="1" x14ac:dyDescent="0.2">
      <c r="A625" s="103"/>
    </row>
    <row r="626" spans="1:1" ht="13.15" customHeight="1" x14ac:dyDescent="0.2">
      <c r="A626" s="103"/>
    </row>
    <row r="627" spans="1:1" ht="13.15" customHeight="1" x14ac:dyDescent="0.2">
      <c r="A627" s="103"/>
    </row>
    <row r="628" spans="1:1" ht="13.15" customHeight="1" x14ac:dyDescent="0.2">
      <c r="A628" s="103"/>
    </row>
    <row r="629" spans="1:1" ht="13.15" customHeight="1" x14ac:dyDescent="0.2">
      <c r="A629" s="103"/>
    </row>
    <row r="630" spans="1:1" ht="13.15" customHeight="1" x14ac:dyDescent="0.2">
      <c r="A630" s="103"/>
    </row>
    <row r="631" spans="1:1" ht="13.15" customHeight="1" x14ac:dyDescent="0.2">
      <c r="A631" s="103"/>
    </row>
    <row r="632" spans="1:1" ht="13.15" customHeight="1" x14ac:dyDescent="0.2">
      <c r="A632" s="103"/>
    </row>
    <row r="633" spans="1:1" ht="13.15" customHeight="1" x14ac:dyDescent="0.2">
      <c r="A633" s="103"/>
    </row>
    <row r="634" spans="1:1" ht="13.15" customHeight="1" x14ac:dyDescent="0.2">
      <c r="A634" s="103"/>
    </row>
    <row r="635" spans="1:1" ht="13.15" customHeight="1" x14ac:dyDescent="0.2">
      <c r="A635" s="103"/>
    </row>
    <row r="636" spans="1:1" ht="13.15" customHeight="1" x14ac:dyDescent="0.2">
      <c r="A636" s="103"/>
    </row>
    <row r="637" spans="1:1" ht="13.15" customHeight="1" x14ac:dyDescent="0.2">
      <c r="A637" s="103"/>
    </row>
    <row r="638" spans="1:1" ht="13.15" customHeight="1" x14ac:dyDescent="0.2">
      <c r="A638" s="103"/>
    </row>
    <row r="639" spans="1:1" ht="13.15" customHeight="1" x14ac:dyDescent="0.2">
      <c r="A639" s="103"/>
    </row>
    <row r="640" spans="1:1" ht="13.15" customHeight="1" x14ac:dyDescent="0.2">
      <c r="A640" s="103"/>
    </row>
    <row r="641" spans="1:1" ht="13.15" customHeight="1" x14ac:dyDescent="0.2">
      <c r="A641" s="103"/>
    </row>
    <row r="642" spans="1:1" ht="13.15" customHeight="1" x14ac:dyDescent="0.2">
      <c r="A642" s="103"/>
    </row>
    <row r="643" spans="1:1" ht="13.15" customHeight="1" x14ac:dyDescent="0.2">
      <c r="A643" s="103"/>
    </row>
    <row r="644" spans="1:1" ht="13.15" customHeight="1" x14ac:dyDescent="0.2">
      <c r="A644" s="103"/>
    </row>
    <row r="645" spans="1:1" ht="13.15" customHeight="1" x14ac:dyDescent="0.2">
      <c r="A645" s="103"/>
    </row>
    <row r="646" spans="1:1" ht="13.15" customHeight="1" x14ac:dyDescent="0.2">
      <c r="A646" s="103"/>
    </row>
    <row r="647" spans="1:1" ht="13.15" customHeight="1" x14ac:dyDescent="0.2">
      <c r="A647" s="103"/>
    </row>
    <row r="648" spans="1:1" ht="13.15" customHeight="1" x14ac:dyDescent="0.2">
      <c r="A648" s="103"/>
    </row>
    <row r="649" spans="1:1" ht="13.15" customHeight="1" x14ac:dyDescent="0.2">
      <c r="A649" s="103"/>
    </row>
    <row r="650" spans="1:1" ht="13.15" customHeight="1" x14ac:dyDescent="0.2">
      <c r="A650" s="103"/>
    </row>
    <row r="651" spans="1:1" ht="13.15" customHeight="1" x14ac:dyDescent="0.2">
      <c r="A651" s="103"/>
    </row>
    <row r="652" spans="1:1" ht="13.15" customHeight="1" x14ac:dyDescent="0.2">
      <c r="A652" s="103"/>
    </row>
    <row r="653" spans="1:1" ht="13.15" customHeight="1" x14ac:dyDescent="0.2">
      <c r="A653" s="103"/>
    </row>
    <row r="654" spans="1:1" ht="13.15" customHeight="1" x14ac:dyDescent="0.2">
      <c r="A654" s="103"/>
    </row>
    <row r="655" spans="1:1" ht="13.15" customHeight="1" x14ac:dyDescent="0.2">
      <c r="A655" s="103"/>
    </row>
    <row r="656" spans="1:1" ht="13.15" customHeight="1" x14ac:dyDescent="0.2">
      <c r="A656" s="103"/>
    </row>
    <row r="657" spans="1:1" ht="13.15" customHeight="1" x14ac:dyDescent="0.2">
      <c r="A657" s="103"/>
    </row>
    <row r="658" spans="1:1" ht="13.15" customHeight="1" x14ac:dyDescent="0.2">
      <c r="A658" s="103"/>
    </row>
    <row r="659" spans="1:1" ht="13.15" customHeight="1" x14ac:dyDescent="0.2">
      <c r="A659" s="103"/>
    </row>
    <row r="660" spans="1:1" ht="13.15" customHeight="1" x14ac:dyDescent="0.2">
      <c r="A660" s="103"/>
    </row>
    <row r="661" spans="1:1" ht="13.15" customHeight="1" x14ac:dyDescent="0.2">
      <c r="A661" s="103"/>
    </row>
    <row r="662" spans="1:1" ht="13.15" customHeight="1" x14ac:dyDescent="0.2">
      <c r="A662" s="103"/>
    </row>
    <row r="663" spans="1:1" ht="13.15" customHeight="1" x14ac:dyDescent="0.2">
      <c r="A663" s="103"/>
    </row>
    <row r="664" spans="1:1" ht="13.15" customHeight="1" x14ac:dyDescent="0.2">
      <c r="A664" s="103"/>
    </row>
    <row r="665" spans="1:1" ht="13.15" customHeight="1" x14ac:dyDescent="0.2">
      <c r="A665" s="103"/>
    </row>
    <row r="666" spans="1:1" ht="13.15" customHeight="1" x14ac:dyDescent="0.2">
      <c r="A666" s="103"/>
    </row>
    <row r="667" spans="1:1" ht="13.15" customHeight="1" x14ac:dyDescent="0.2">
      <c r="A667" s="103"/>
    </row>
    <row r="668" spans="1:1" ht="13.15" customHeight="1" x14ac:dyDescent="0.2">
      <c r="A668" s="103"/>
    </row>
    <row r="669" spans="1:1" ht="13.15" customHeight="1" x14ac:dyDescent="0.2">
      <c r="A669" s="103"/>
    </row>
    <row r="670" spans="1:1" ht="13.15" customHeight="1" x14ac:dyDescent="0.2">
      <c r="A670" s="103"/>
    </row>
    <row r="671" spans="1:1" ht="13.15" customHeight="1" x14ac:dyDescent="0.2">
      <c r="A671" s="103"/>
    </row>
    <row r="672" spans="1:1" ht="13.15" customHeight="1" x14ac:dyDescent="0.2">
      <c r="A672" s="103"/>
    </row>
    <row r="673" spans="1:1" ht="13.15" customHeight="1" x14ac:dyDescent="0.2">
      <c r="A673" s="103"/>
    </row>
    <row r="674" spans="1:1" ht="13.15" customHeight="1" x14ac:dyDescent="0.2">
      <c r="A674" s="103"/>
    </row>
    <row r="675" spans="1:1" ht="13.15" customHeight="1" x14ac:dyDescent="0.2">
      <c r="A675" s="103"/>
    </row>
    <row r="676" spans="1:1" ht="13.15" customHeight="1" x14ac:dyDescent="0.2">
      <c r="A676" s="103"/>
    </row>
    <row r="677" spans="1:1" ht="13.15" customHeight="1" x14ac:dyDescent="0.2">
      <c r="A677" s="103"/>
    </row>
    <row r="678" spans="1:1" ht="13.15" customHeight="1" x14ac:dyDescent="0.2">
      <c r="A678" s="103"/>
    </row>
    <row r="679" spans="1:1" ht="13.15" customHeight="1" x14ac:dyDescent="0.2">
      <c r="A679" s="103"/>
    </row>
    <row r="680" spans="1:1" ht="13.15" customHeight="1" x14ac:dyDescent="0.2">
      <c r="A680" s="103"/>
    </row>
    <row r="681" spans="1:1" ht="13.15" customHeight="1" x14ac:dyDescent="0.2">
      <c r="A681" s="103"/>
    </row>
    <row r="682" spans="1:1" ht="13.15" customHeight="1" x14ac:dyDescent="0.2">
      <c r="A682" s="103"/>
    </row>
    <row r="683" spans="1:1" ht="13.15" customHeight="1" x14ac:dyDescent="0.2">
      <c r="A683" s="103"/>
    </row>
    <row r="684" spans="1:1" ht="13.15" customHeight="1" x14ac:dyDescent="0.2">
      <c r="A684" s="103"/>
    </row>
    <row r="685" spans="1:1" ht="13.15" customHeight="1" x14ac:dyDescent="0.2">
      <c r="A685" s="103"/>
    </row>
    <row r="686" spans="1:1" ht="13.15" customHeight="1" x14ac:dyDescent="0.2">
      <c r="A686" s="103"/>
    </row>
    <row r="687" spans="1:1" ht="13.15" customHeight="1" x14ac:dyDescent="0.2">
      <c r="A687" s="103"/>
    </row>
    <row r="688" spans="1:1" ht="13.15" customHeight="1" x14ac:dyDescent="0.2">
      <c r="A688" s="103"/>
    </row>
    <row r="689" spans="1:1" ht="13.15" customHeight="1" x14ac:dyDescent="0.2">
      <c r="A689" s="103"/>
    </row>
    <row r="690" spans="1:1" ht="13.15" customHeight="1" x14ac:dyDescent="0.2">
      <c r="A690" s="103"/>
    </row>
    <row r="691" spans="1:1" ht="13.15" customHeight="1" x14ac:dyDescent="0.2">
      <c r="A691" s="103"/>
    </row>
    <row r="692" spans="1:1" ht="13.15" customHeight="1" x14ac:dyDescent="0.2">
      <c r="A692" s="103"/>
    </row>
    <row r="693" spans="1:1" ht="13.15" customHeight="1" x14ac:dyDescent="0.2">
      <c r="A693" s="103"/>
    </row>
    <row r="694" spans="1:1" ht="13.15" customHeight="1" x14ac:dyDescent="0.2">
      <c r="A694" s="103"/>
    </row>
    <row r="695" spans="1:1" ht="13.15" customHeight="1" x14ac:dyDescent="0.2">
      <c r="A695" s="103"/>
    </row>
    <row r="696" spans="1:1" ht="13.15" customHeight="1" x14ac:dyDescent="0.2">
      <c r="A696" s="103"/>
    </row>
    <row r="697" spans="1:1" ht="13.15" customHeight="1" x14ac:dyDescent="0.2">
      <c r="A697" s="103"/>
    </row>
    <row r="698" spans="1:1" ht="13.15" customHeight="1" x14ac:dyDescent="0.2">
      <c r="A698" s="103"/>
    </row>
    <row r="699" spans="1:1" ht="13.15" customHeight="1" x14ac:dyDescent="0.2">
      <c r="A699" s="103"/>
    </row>
    <row r="700" spans="1:1" ht="13.15" customHeight="1" x14ac:dyDescent="0.2">
      <c r="A700" s="103"/>
    </row>
    <row r="701" spans="1:1" ht="13.15" customHeight="1" x14ac:dyDescent="0.2">
      <c r="A701" s="103"/>
    </row>
    <row r="702" spans="1:1" ht="13.15" customHeight="1" x14ac:dyDescent="0.2">
      <c r="A702" s="103"/>
    </row>
    <row r="703" spans="1:1" ht="13.15" customHeight="1" x14ac:dyDescent="0.2">
      <c r="A703" s="103"/>
    </row>
    <row r="704" spans="1:1" ht="13.15" customHeight="1" x14ac:dyDescent="0.2">
      <c r="A704" s="103"/>
    </row>
    <row r="705" spans="1:1" ht="13.15" customHeight="1" x14ac:dyDescent="0.2">
      <c r="A705" s="103"/>
    </row>
    <row r="706" spans="1:1" ht="13.15" customHeight="1" x14ac:dyDescent="0.2">
      <c r="A706" s="103"/>
    </row>
    <row r="707" spans="1:1" ht="13.15" customHeight="1" x14ac:dyDescent="0.2">
      <c r="A707" s="103"/>
    </row>
    <row r="708" spans="1:1" ht="13.15" customHeight="1" x14ac:dyDescent="0.2">
      <c r="A708" s="103"/>
    </row>
    <row r="709" spans="1:1" ht="13.15" customHeight="1" x14ac:dyDescent="0.2">
      <c r="A709" s="103"/>
    </row>
    <row r="710" spans="1:1" ht="13.15" customHeight="1" x14ac:dyDescent="0.2">
      <c r="A710" s="103"/>
    </row>
    <row r="711" spans="1:1" ht="13.15" customHeight="1" x14ac:dyDescent="0.2">
      <c r="A711" s="103"/>
    </row>
    <row r="712" spans="1:1" ht="13.15" customHeight="1" x14ac:dyDescent="0.2">
      <c r="A712" s="103"/>
    </row>
    <row r="713" spans="1:1" ht="13.15" customHeight="1" x14ac:dyDescent="0.2">
      <c r="A713" s="103"/>
    </row>
    <row r="714" spans="1:1" ht="13.15" customHeight="1" x14ac:dyDescent="0.2">
      <c r="A714" s="103"/>
    </row>
    <row r="715" spans="1:1" ht="13.15" customHeight="1" x14ac:dyDescent="0.2">
      <c r="A715" s="103"/>
    </row>
    <row r="716" spans="1:1" ht="13.15" customHeight="1" x14ac:dyDescent="0.2">
      <c r="A716" s="103"/>
    </row>
    <row r="717" spans="1:1" ht="13.15" customHeight="1" x14ac:dyDescent="0.2">
      <c r="A717" s="103"/>
    </row>
    <row r="718" spans="1:1" ht="13.15" customHeight="1" x14ac:dyDescent="0.2">
      <c r="A718" s="103"/>
    </row>
    <row r="719" spans="1:1" ht="13.15" customHeight="1" x14ac:dyDescent="0.2">
      <c r="A719" s="103"/>
    </row>
    <row r="720" spans="1:1" ht="13.15" customHeight="1" x14ac:dyDescent="0.2">
      <c r="A720" s="103"/>
    </row>
    <row r="721" spans="1:1" ht="13.15" customHeight="1" x14ac:dyDescent="0.2">
      <c r="A721" s="103"/>
    </row>
    <row r="722" spans="1:1" ht="13.15" customHeight="1" x14ac:dyDescent="0.2">
      <c r="A722" s="103"/>
    </row>
    <row r="723" spans="1:1" ht="13.15" customHeight="1" x14ac:dyDescent="0.2">
      <c r="A723" s="103"/>
    </row>
    <row r="724" spans="1:1" ht="13.15" customHeight="1" x14ac:dyDescent="0.2">
      <c r="A724" s="103"/>
    </row>
    <row r="725" spans="1:1" ht="13.15" customHeight="1" x14ac:dyDescent="0.2">
      <c r="A725" s="103"/>
    </row>
    <row r="726" spans="1:1" ht="13.15" customHeight="1" x14ac:dyDescent="0.2">
      <c r="A726" s="103"/>
    </row>
    <row r="727" spans="1:1" ht="13.15" customHeight="1" x14ac:dyDescent="0.2">
      <c r="A727" s="103"/>
    </row>
    <row r="728" spans="1:1" ht="13.15" customHeight="1" x14ac:dyDescent="0.2">
      <c r="A728" s="103"/>
    </row>
    <row r="729" spans="1:1" ht="13.15" customHeight="1" x14ac:dyDescent="0.2">
      <c r="A729" s="103"/>
    </row>
    <row r="730" spans="1:1" ht="13.15" customHeight="1" x14ac:dyDescent="0.2">
      <c r="A730" s="103"/>
    </row>
    <row r="731" spans="1:1" ht="13.15" customHeight="1" x14ac:dyDescent="0.2">
      <c r="A731" s="103"/>
    </row>
    <row r="732" spans="1:1" ht="13.15" customHeight="1" x14ac:dyDescent="0.2">
      <c r="A732" s="103"/>
    </row>
    <row r="733" spans="1:1" ht="13.15" customHeight="1" x14ac:dyDescent="0.2">
      <c r="A733" s="103"/>
    </row>
    <row r="734" spans="1:1" ht="13.15" customHeight="1" x14ac:dyDescent="0.2">
      <c r="A734" s="103"/>
    </row>
    <row r="735" spans="1:1" ht="13.15" customHeight="1" x14ac:dyDescent="0.2">
      <c r="A735" s="103"/>
    </row>
    <row r="736" spans="1:1" ht="13.15" customHeight="1" x14ac:dyDescent="0.2">
      <c r="A736" s="103"/>
    </row>
    <row r="737" spans="1:1" ht="13.15" customHeight="1" x14ac:dyDescent="0.2">
      <c r="A737" s="103"/>
    </row>
    <row r="738" spans="1:1" ht="13.15" customHeight="1" x14ac:dyDescent="0.2">
      <c r="A738" s="103"/>
    </row>
    <row r="739" spans="1:1" ht="13.15" customHeight="1" x14ac:dyDescent="0.2">
      <c r="A739" s="103"/>
    </row>
    <row r="740" spans="1:1" ht="13.15" customHeight="1" x14ac:dyDescent="0.2">
      <c r="A740" s="103"/>
    </row>
    <row r="741" spans="1:1" ht="13.15" customHeight="1" x14ac:dyDescent="0.2">
      <c r="A741" s="103"/>
    </row>
    <row r="742" spans="1:1" ht="13.15" customHeight="1" x14ac:dyDescent="0.2">
      <c r="A742" s="103"/>
    </row>
    <row r="743" spans="1:1" ht="13.15" customHeight="1" x14ac:dyDescent="0.2">
      <c r="A743" s="103"/>
    </row>
    <row r="744" spans="1:1" ht="13.15" customHeight="1" x14ac:dyDescent="0.2">
      <c r="A744" s="103"/>
    </row>
    <row r="745" spans="1:1" ht="13.15" customHeight="1" x14ac:dyDescent="0.2">
      <c r="A745" s="103"/>
    </row>
    <row r="746" spans="1:1" ht="13.15" customHeight="1" x14ac:dyDescent="0.2">
      <c r="A746" s="103"/>
    </row>
    <row r="747" spans="1:1" ht="13.15" customHeight="1" x14ac:dyDescent="0.2">
      <c r="A747" s="103"/>
    </row>
    <row r="748" spans="1:1" ht="13.15" customHeight="1" x14ac:dyDescent="0.2">
      <c r="A748" s="103"/>
    </row>
    <row r="749" spans="1:1" ht="13.15" customHeight="1" x14ac:dyDescent="0.2">
      <c r="A749" s="103"/>
    </row>
    <row r="750" spans="1:1" ht="13.15" customHeight="1" x14ac:dyDescent="0.2">
      <c r="A750" s="103"/>
    </row>
    <row r="751" spans="1:1" ht="13.15" customHeight="1" x14ac:dyDescent="0.2">
      <c r="A751" s="103"/>
    </row>
    <row r="752" spans="1:1" ht="13.15" customHeight="1" x14ac:dyDescent="0.2">
      <c r="A752" s="103"/>
    </row>
    <row r="753" spans="1:1" ht="13.15" customHeight="1" x14ac:dyDescent="0.2">
      <c r="A753" s="103"/>
    </row>
    <row r="754" spans="1:1" ht="13.15" customHeight="1" x14ac:dyDescent="0.2">
      <c r="A754" s="103"/>
    </row>
    <row r="755" spans="1:1" ht="13.15" customHeight="1" x14ac:dyDescent="0.2">
      <c r="A755" s="103"/>
    </row>
    <row r="756" spans="1:1" ht="13.15" customHeight="1" x14ac:dyDescent="0.2">
      <c r="A756" s="103"/>
    </row>
    <row r="757" spans="1:1" ht="13.15" customHeight="1" x14ac:dyDescent="0.2">
      <c r="A757" s="103"/>
    </row>
    <row r="758" spans="1:1" ht="13.15" customHeight="1" x14ac:dyDescent="0.2">
      <c r="A758" s="103"/>
    </row>
    <row r="759" spans="1:1" ht="13.15" customHeight="1" x14ac:dyDescent="0.2">
      <c r="A759" s="103"/>
    </row>
    <row r="760" spans="1:1" ht="13.15" customHeight="1" x14ac:dyDescent="0.2">
      <c r="A760" s="103"/>
    </row>
    <row r="761" spans="1:1" ht="13.15" customHeight="1" x14ac:dyDescent="0.2">
      <c r="A761" s="103"/>
    </row>
    <row r="762" spans="1:1" ht="13.15" customHeight="1" x14ac:dyDescent="0.2">
      <c r="A762" s="103"/>
    </row>
    <row r="763" spans="1:1" ht="13.15" customHeight="1" x14ac:dyDescent="0.2">
      <c r="A763" s="103"/>
    </row>
    <row r="764" spans="1:1" ht="13.15" customHeight="1" x14ac:dyDescent="0.2">
      <c r="A764" s="103"/>
    </row>
    <row r="765" spans="1:1" ht="13.15" customHeight="1" x14ac:dyDescent="0.2">
      <c r="A765" s="103"/>
    </row>
    <row r="766" spans="1:1" ht="13.15" customHeight="1" x14ac:dyDescent="0.2">
      <c r="A766" s="103"/>
    </row>
    <row r="767" spans="1:1" ht="13.15" customHeight="1" x14ac:dyDescent="0.2">
      <c r="A767" s="103"/>
    </row>
    <row r="768" spans="1:1" ht="13.15" customHeight="1" x14ac:dyDescent="0.2">
      <c r="A768" s="103"/>
    </row>
    <row r="769" spans="1:1" ht="13.15" customHeight="1" x14ac:dyDescent="0.2">
      <c r="A769" s="103"/>
    </row>
    <row r="770" spans="1:1" ht="13.15" customHeight="1" x14ac:dyDescent="0.2">
      <c r="A770" s="103"/>
    </row>
    <row r="771" spans="1:1" ht="13.15" customHeight="1" x14ac:dyDescent="0.2">
      <c r="A771" s="103"/>
    </row>
    <row r="772" spans="1:1" ht="13.15" customHeight="1" x14ac:dyDescent="0.2">
      <c r="A772" s="103"/>
    </row>
    <row r="773" spans="1:1" ht="13.15" customHeight="1" x14ac:dyDescent="0.2">
      <c r="A773" s="103"/>
    </row>
    <row r="774" spans="1:1" ht="13.15" customHeight="1" x14ac:dyDescent="0.2">
      <c r="A774" s="103"/>
    </row>
    <row r="775" spans="1:1" ht="13.15" customHeight="1" x14ac:dyDescent="0.2">
      <c r="A775" s="103"/>
    </row>
    <row r="776" spans="1:1" ht="13.15" customHeight="1" x14ac:dyDescent="0.2">
      <c r="A776" s="103"/>
    </row>
    <row r="777" spans="1:1" ht="13.15" customHeight="1" x14ac:dyDescent="0.2">
      <c r="A777" s="103"/>
    </row>
    <row r="778" spans="1:1" ht="13.15" customHeight="1" x14ac:dyDescent="0.2">
      <c r="A778" s="103"/>
    </row>
    <row r="779" spans="1:1" ht="13.15" customHeight="1" x14ac:dyDescent="0.2">
      <c r="A779" s="103"/>
    </row>
    <row r="780" spans="1:1" ht="13.15" customHeight="1" x14ac:dyDescent="0.2">
      <c r="A780" s="103"/>
    </row>
    <row r="781" spans="1:1" ht="13.15" customHeight="1" x14ac:dyDescent="0.2">
      <c r="A781" s="103"/>
    </row>
    <row r="782" spans="1:1" ht="13.15" customHeight="1" x14ac:dyDescent="0.2">
      <c r="A782" s="103"/>
    </row>
    <row r="783" spans="1:1" ht="13.15" customHeight="1" x14ac:dyDescent="0.2">
      <c r="A783" s="103"/>
    </row>
    <row r="784" spans="1:1" ht="13.15" customHeight="1" x14ac:dyDescent="0.2">
      <c r="A784" s="103"/>
    </row>
    <row r="785" spans="1:1" ht="13.15" customHeight="1" x14ac:dyDescent="0.2">
      <c r="A785" s="103"/>
    </row>
    <row r="786" spans="1:1" ht="13.15" customHeight="1" x14ac:dyDescent="0.2">
      <c r="A786" s="103"/>
    </row>
    <row r="787" spans="1:1" ht="13.15" customHeight="1" x14ac:dyDescent="0.2">
      <c r="A787" s="103"/>
    </row>
    <row r="788" spans="1:1" ht="13.15" customHeight="1" x14ac:dyDescent="0.2">
      <c r="A788" s="103"/>
    </row>
    <row r="789" spans="1:1" ht="13.15" customHeight="1" x14ac:dyDescent="0.2">
      <c r="A789" s="103"/>
    </row>
    <row r="790" spans="1:1" ht="13.15" customHeight="1" x14ac:dyDescent="0.2">
      <c r="A790" s="103"/>
    </row>
    <row r="791" spans="1:1" ht="13.15" customHeight="1" x14ac:dyDescent="0.2">
      <c r="A791" s="103"/>
    </row>
    <row r="792" spans="1:1" ht="13.15" customHeight="1" x14ac:dyDescent="0.2">
      <c r="A792" s="103"/>
    </row>
    <row r="793" spans="1:1" ht="13.15" customHeight="1" x14ac:dyDescent="0.2">
      <c r="A793" s="103"/>
    </row>
    <row r="794" spans="1:1" ht="13.15" customHeight="1" x14ac:dyDescent="0.2">
      <c r="A794" s="103"/>
    </row>
    <row r="795" spans="1:1" ht="13.15" customHeight="1" x14ac:dyDescent="0.2">
      <c r="A795" s="103"/>
    </row>
    <row r="796" spans="1:1" ht="13.15" customHeight="1" x14ac:dyDescent="0.2">
      <c r="A796" s="103"/>
    </row>
    <row r="797" spans="1:1" ht="13.15" customHeight="1" x14ac:dyDescent="0.2">
      <c r="A797" s="103"/>
    </row>
    <row r="798" spans="1:1" ht="13.15" customHeight="1" x14ac:dyDescent="0.2">
      <c r="A798" s="103"/>
    </row>
    <row r="799" spans="1:1" ht="13.15" customHeight="1" x14ac:dyDescent="0.2">
      <c r="A799" s="103"/>
    </row>
    <row r="800" spans="1:1" ht="13.15" customHeight="1" x14ac:dyDescent="0.2">
      <c r="A800" s="103"/>
    </row>
    <row r="801" spans="1:1" ht="13.15" customHeight="1" x14ac:dyDescent="0.2">
      <c r="A801" s="103"/>
    </row>
    <row r="802" spans="1:1" ht="13.15" customHeight="1" x14ac:dyDescent="0.2">
      <c r="A802" s="103"/>
    </row>
    <row r="803" spans="1:1" ht="13.15" customHeight="1" x14ac:dyDescent="0.2">
      <c r="A803" s="103"/>
    </row>
    <row r="804" spans="1:1" ht="13.15" customHeight="1" x14ac:dyDescent="0.2">
      <c r="A804" s="103"/>
    </row>
    <row r="805" spans="1:1" ht="13.15" customHeight="1" x14ac:dyDescent="0.2">
      <c r="A805" s="103"/>
    </row>
    <row r="806" spans="1:1" ht="13.15" customHeight="1" x14ac:dyDescent="0.2">
      <c r="A806" s="103"/>
    </row>
    <row r="807" spans="1:1" ht="13.15" customHeight="1" x14ac:dyDescent="0.2">
      <c r="A807" s="103"/>
    </row>
    <row r="808" spans="1:1" ht="13.15" customHeight="1" x14ac:dyDescent="0.2">
      <c r="A808" s="103"/>
    </row>
    <row r="809" spans="1:1" ht="13.15" customHeight="1" x14ac:dyDescent="0.2">
      <c r="A809" s="103"/>
    </row>
    <row r="810" spans="1:1" ht="13.15" customHeight="1" x14ac:dyDescent="0.2">
      <c r="A810" s="103"/>
    </row>
    <row r="811" spans="1:1" ht="13.15" customHeight="1" x14ac:dyDescent="0.2">
      <c r="A811" s="103"/>
    </row>
    <row r="812" spans="1:1" ht="13.15" customHeight="1" x14ac:dyDescent="0.2">
      <c r="A812" s="103"/>
    </row>
    <row r="813" spans="1:1" ht="13.15" customHeight="1" x14ac:dyDescent="0.2">
      <c r="A813" s="103"/>
    </row>
    <row r="814" spans="1:1" ht="13.15" customHeight="1" x14ac:dyDescent="0.2">
      <c r="A814" s="103"/>
    </row>
    <row r="815" spans="1:1" ht="13.15" customHeight="1" x14ac:dyDescent="0.2">
      <c r="A815" s="103"/>
    </row>
    <row r="816" spans="1:1" ht="13.15" customHeight="1" x14ac:dyDescent="0.2">
      <c r="A816" s="103"/>
    </row>
    <row r="817" spans="1:1" ht="13.15" customHeight="1" x14ac:dyDescent="0.2">
      <c r="A817" s="103"/>
    </row>
    <row r="818" spans="1:1" ht="13.15" customHeight="1" x14ac:dyDescent="0.2">
      <c r="A818" s="103"/>
    </row>
    <row r="819" spans="1:1" ht="13.15" customHeight="1" x14ac:dyDescent="0.2">
      <c r="A819" s="103"/>
    </row>
    <row r="820" spans="1:1" ht="13.15" customHeight="1" x14ac:dyDescent="0.2">
      <c r="A820" s="103"/>
    </row>
    <row r="821" spans="1:1" ht="13.15" customHeight="1" x14ac:dyDescent="0.2">
      <c r="A821" s="103"/>
    </row>
    <row r="822" spans="1:1" ht="13.15" customHeight="1" x14ac:dyDescent="0.2">
      <c r="A822" s="103"/>
    </row>
    <row r="823" spans="1:1" ht="13.15" customHeight="1" x14ac:dyDescent="0.2">
      <c r="A823" s="103"/>
    </row>
    <row r="824" spans="1:1" ht="13.15" customHeight="1" x14ac:dyDescent="0.2">
      <c r="A824" s="103"/>
    </row>
    <row r="825" spans="1:1" ht="13.15" customHeight="1" x14ac:dyDescent="0.2">
      <c r="A825" s="103"/>
    </row>
    <row r="826" spans="1:1" ht="13.15" customHeight="1" x14ac:dyDescent="0.2">
      <c r="A826" s="103"/>
    </row>
    <row r="827" spans="1:1" ht="13.15" customHeight="1" x14ac:dyDescent="0.2">
      <c r="A827" s="103"/>
    </row>
    <row r="828" spans="1:1" ht="13.15" customHeight="1" x14ac:dyDescent="0.2">
      <c r="A828" s="103"/>
    </row>
    <row r="829" spans="1:1" ht="13.15" customHeight="1" x14ac:dyDescent="0.2">
      <c r="A829" s="103"/>
    </row>
    <row r="830" spans="1:1" ht="13.15" customHeight="1" x14ac:dyDescent="0.2">
      <c r="A830" s="103"/>
    </row>
    <row r="831" spans="1:1" ht="13.15" customHeight="1" x14ac:dyDescent="0.2">
      <c r="A831" s="103"/>
    </row>
    <row r="832" spans="1:1" ht="13.15" customHeight="1" x14ac:dyDescent="0.2">
      <c r="A832" s="103"/>
    </row>
    <row r="833" spans="1:1" ht="13.15" customHeight="1" x14ac:dyDescent="0.2">
      <c r="A833" s="103"/>
    </row>
    <row r="834" spans="1:1" ht="13.15" customHeight="1" x14ac:dyDescent="0.2">
      <c r="A834" s="103"/>
    </row>
    <row r="835" spans="1:1" ht="13.15" customHeight="1" x14ac:dyDescent="0.2">
      <c r="A835" s="103"/>
    </row>
    <row r="836" spans="1:1" ht="13.15" customHeight="1" x14ac:dyDescent="0.2">
      <c r="A836" s="103"/>
    </row>
    <row r="837" spans="1:1" ht="13.15" customHeight="1" x14ac:dyDescent="0.2">
      <c r="A837" s="103"/>
    </row>
    <row r="838" spans="1:1" ht="13.15" customHeight="1" x14ac:dyDescent="0.2">
      <c r="A838" s="103"/>
    </row>
    <row r="839" spans="1:1" ht="13.15" customHeight="1" x14ac:dyDescent="0.2">
      <c r="A839" s="103"/>
    </row>
    <row r="840" spans="1:1" ht="13.15" customHeight="1" x14ac:dyDescent="0.2">
      <c r="A840" s="103"/>
    </row>
    <row r="841" spans="1:1" ht="13.15" customHeight="1" x14ac:dyDescent="0.2">
      <c r="A841" s="103"/>
    </row>
    <row r="842" spans="1:1" ht="13.15" customHeight="1" x14ac:dyDescent="0.2">
      <c r="A842" s="103"/>
    </row>
    <row r="843" spans="1:1" ht="13.15" customHeight="1" x14ac:dyDescent="0.2">
      <c r="A843" s="103"/>
    </row>
    <row r="844" spans="1:1" ht="13.15" customHeight="1" x14ac:dyDescent="0.2">
      <c r="A844" s="103"/>
    </row>
    <row r="845" spans="1:1" ht="13.15" customHeight="1" x14ac:dyDescent="0.2">
      <c r="A845" s="103"/>
    </row>
    <row r="846" spans="1:1" ht="13.15" customHeight="1" x14ac:dyDescent="0.2">
      <c r="A846" s="103"/>
    </row>
    <row r="847" spans="1:1" ht="13.15" customHeight="1" x14ac:dyDescent="0.2">
      <c r="A847" s="103"/>
    </row>
    <row r="848" spans="1:1" ht="13.15" customHeight="1" x14ac:dyDescent="0.2">
      <c r="A848" s="103"/>
    </row>
    <row r="849" spans="1:1" ht="13.15" customHeight="1" x14ac:dyDescent="0.2">
      <c r="A849" s="103"/>
    </row>
    <row r="850" spans="1:1" ht="13.15" customHeight="1" x14ac:dyDescent="0.2">
      <c r="A850" s="103"/>
    </row>
    <row r="851" spans="1:1" ht="13.15" customHeight="1" x14ac:dyDescent="0.2">
      <c r="A851" s="103"/>
    </row>
    <row r="852" spans="1:1" ht="13.15" customHeight="1" x14ac:dyDescent="0.2">
      <c r="A852" s="103"/>
    </row>
    <row r="853" spans="1:1" ht="13.15" customHeight="1" x14ac:dyDescent="0.2">
      <c r="A853" s="103"/>
    </row>
    <row r="854" spans="1:1" ht="13.15" customHeight="1" x14ac:dyDescent="0.2">
      <c r="A854" s="103"/>
    </row>
    <row r="855" spans="1:1" ht="13.15" customHeight="1" x14ac:dyDescent="0.2">
      <c r="A855" s="103"/>
    </row>
    <row r="856" spans="1:1" ht="13.15" customHeight="1" x14ac:dyDescent="0.2">
      <c r="A856" s="103"/>
    </row>
    <row r="857" spans="1:1" ht="13.15" customHeight="1" x14ac:dyDescent="0.2">
      <c r="A857" s="103"/>
    </row>
    <row r="858" spans="1:1" ht="13.15" customHeight="1" x14ac:dyDescent="0.2">
      <c r="A858" s="103"/>
    </row>
    <row r="859" spans="1:1" ht="13.15" customHeight="1" x14ac:dyDescent="0.2">
      <c r="A859" s="103"/>
    </row>
    <row r="860" spans="1:1" ht="13.15" customHeight="1" x14ac:dyDescent="0.2">
      <c r="A860" s="103"/>
    </row>
    <row r="861" spans="1:1" ht="13.15" customHeight="1" x14ac:dyDescent="0.2">
      <c r="A861" s="103"/>
    </row>
    <row r="862" spans="1:1" ht="13.15" customHeight="1" x14ac:dyDescent="0.2">
      <c r="A862" s="103"/>
    </row>
    <row r="863" spans="1:1" ht="13.15" customHeight="1" x14ac:dyDescent="0.2">
      <c r="A863" s="103"/>
    </row>
    <row r="864" spans="1:1" ht="13.15" customHeight="1" x14ac:dyDescent="0.2">
      <c r="A864" s="103"/>
    </row>
    <row r="865" spans="1:1" ht="13.15" customHeight="1" x14ac:dyDescent="0.2">
      <c r="A865" s="103"/>
    </row>
    <row r="866" spans="1:1" ht="13.15" customHeight="1" x14ac:dyDescent="0.2">
      <c r="A866" s="103"/>
    </row>
    <row r="867" spans="1:1" ht="13.15" customHeight="1" x14ac:dyDescent="0.2">
      <c r="A867" s="103"/>
    </row>
    <row r="868" spans="1:1" ht="13.15" customHeight="1" x14ac:dyDescent="0.2">
      <c r="A868" s="103"/>
    </row>
    <row r="869" spans="1:1" ht="13.15" customHeight="1" x14ac:dyDescent="0.2">
      <c r="A869" s="103"/>
    </row>
    <row r="870" spans="1:1" ht="13.15" customHeight="1" x14ac:dyDescent="0.2">
      <c r="A870" s="103"/>
    </row>
    <row r="871" spans="1:1" ht="13.15" customHeight="1" x14ac:dyDescent="0.2">
      <c r="A871" s="103"/>
    </row>
    <row r="872" spans="1:1" ht="13.15" customHeight="1" x14ac:dyDescent="0.2">
      <c r="A872" s="103"/>
    </row>
    <row r="873" spans="1:1" ht="13.15" customHeight="1" x14ac:dyDescent="0.2">
      <c r="A873" s="103"/>
    </row>
    <row r="874" spans="1:1" ht="13.15" customHeight="1" x14ac:dyDescent="0.2">
      <c r="A874" s="103"/>
    </row>
    <row r="875" spans="1:1" ht="13.15" customHeight="1" x14ac:dyDescent="0.2">
      <c r="A875" s="103"/>
    </row>
    <row r="876" spans="1:1" ht="13.15" customHeight="1" x14ac:dyDescent="0.2">
      <c r="A876" s="103"/>
    </row>
    <row r="877" spans="1:1" ht="13.15" customHeight="1" x14ac:dyDescent="0.2">
      <c r="A877" s="103"/>
    </row>
    <row r="878" spans="1:1" ht="13.15" customHeight="1" x14ac:dyDescent="0.2">
      <c r="A878" s="103"/>
    </row>
    <row r="879" spans="1:1" ht="13.15" customHeight="1" x14ac:dyDescent="0.2">
      <c r="A879" s="103"/>
    </row>
    <row r="880" spans="1:1" ht="13.15" customHeight="1" x14ac:dyDescent="0.2">
      <c r="A880" s="103"/>
    </row>
    <row r="881" spans="1:1" ht="13.15" customHeight="1" x14ac:dyDescent="0.2">
      <c r="A881" s="103"/>
    </row>
    <row r="882" spans="1:1" ht="13.15" customHeight="1" x14ac:dyDescent="0.2">
      <c r="A882" s="103"/>
    </row>
    <row r="883" spans="1:1" ht="13.15" customHeight="1" x14ac:dyDescent="0.2">
      <c r="A883" s="103"/>
    </row>
    <row r="884" spans="1:1" ht="13.15" customHeight="1" x14ac:dyDescent="0.2">
      <c r="A884" s="103"/>
    </row>
    <row r="885" spans="1:1" ht="13.15" customHeight="1" x14ac:dyDescent="0.2">
      <c r="A885" s="103"/>
    </row>
    <row r="886" spans="1:1" ht="13.15" customHeight="1" x14ac:dyDescent="0.2">
      <c r="A886" s="103"/>
    </row>
    <row r="887" spans="1:1" ht="13.15" customHeight="1" x14ac:dyDescent="0.2">
      <c r="A887" s="103"/>
    </row>
    <row r="888" spans="1:1" ht="13.15" customHeight="1" x14ac:dyDescent="0.2">
      <c r="A888" s="103"/>
    </row>
    <row r="889" spans="1:1" ht="13.15" customHeight="1" x14ac:dyDescent="0.2">
      <c r="A889" s="103"/>
    </row>
    <row r="890" spans="1:1" ht="13.15" customHeight="1" x14ac:dyDescent="0.2">
      <c r="A890" s="103"/>
    </row>
    <row r="891" spans="1:1" ht="13.15" customHeight="1" x14ac:dyDescent="0.2">
      <c r="A891" s="103"/>
    </row>
    <row r="892" spans="1:1" ht="13.15" customHeight="1" x14ac:dyDescent="0.2">
      <c r="A892" s="103"/>
    </row>
    <row r="893" spans="1:1" ht="13.15" customHeight="1" x14ac:dyDescent="0.2">
      <c r="A893" s="103"/>
    </row>
    <row r="894" spans="1:1" ht="13.15" customHeight="1" x14ac:dyDescent="0.2">
      <c r="A894" s="103"/>
    </row>
    <row r="895" spans="1:1" ht="13.15" customHeight="1" x14ac:dyDescent="0.2">
      <c r="A895" s="103"/>
    </row>
    <row r="896" spans="1:1" ht="13.15" customHeight="1" x14ac:dyDescent="0.2">
      <c r="A896" s="103"/>
    </row>
    <row r="897" spans="1:1" ht="13.15" customHeight="1" x14ac:dyDescent="0.2">
      <c r="A897" s="103"/>
    </row>
    <row r="898" spans="1:1" ht="13.15" customHeight="1" x14ac:dyDescent="0.2">
      <c r="A898" s="103"/>
    </row>
    <row r="899" spans="1:1" ht="13.15" customHeight="1" x14ac:dyDescent="0.2">
      <c r="A899" s="103"/>
    </row>
    <row r="900" spans="1:1" ht="13.15" customHeight="1" x14ac:dyDescent="0.2">
      <c r="A900" s="103"/>
    </row>
    <row r="901" spans="1:1" ht="13.15" customHeight="1" x14ac:dyDescent="0.2">
      <c r="A901" s="103"/>
    </row>
    <row r="902" spans="1:1" ht="13.15" customHeight="1" x14ac:dyDescent="0.2">
      <c r="A902" s="103"/>
    </row>
    <row r="903" spans="1:1" ht="13.15" customHeight="1" x14ac:dyDescent="0.2">
      <c r="A903" s="103"/>
    </row>
    <row r="904" spans="1:1" ht="13.15" customHeight="1" x14ac:dyDescent="0.2">
      <c r="A904" s="103"/>
    </row>
    <row r="905" spans="1:1" ht="13.15" customHeight="1" x14ac:dyDescent="0.2">
      <c r="A905" s="103"/>
    </row>
    <row r="906" spans="1:1" ht="13.15" customHeight="1" x14ac:dyDescent="0.2">
      <c r="A906" s="103"/>
    </row>
    <row r="907" spans="1:1" ht="13.15" customHeight="1" x14ac:dyDescent="0.2">
      <c r="A907" s="103"/>
    </row>
    <row r="908" spans="1:1" ht="13.15" customHeight="1" x14ac:dyDescent="0.2">
      <c r="A908" s="103"/>
    </row>
    <row r="909" spans="1:1" ht="13.15" customHeight="1" x14ac:dyDescent="0.2">
      <c r="A909" s="103"/>
    </row>
    <row r="910" spans="1:1" ht="13.15" customHeight="1" x14ac:dyDescent="0.2">
      <c r="A910" s="103"/>
    </row>
    <row r="911" spans="1:1" ht="13.15" customHeight="1" x14ac:dyDescent="0.2">
      <c r="A911" s="103"/>
    </row>
    <row r="912" spans="1:1" ht="13.15" customHeight="1" x14ac:dyDescent="0.2">
      <c r="A912" s="103"/>
    </row>
    <row r="913" spans="1:1" ht="13.15" customHeight="1" x14ac:dyDescent="0.2">
      <c r="A913" s="103"/>
    </row>
    <row r="914" spans="1:1" ht="13.15" customHeight="1" x14ac:dyDescent="0.2">
      <c r="A914" s="103"/>
    </row>
    <row r="915" spans="1:1" ht="13.15" customHeight="1" x14ac:dyDescent="0.2">
      <c r="A915" s="103"/>
    </row>
    <row r="916" spans="1:1" ht="13.15" customHeight="1" x14ac:dyDescent="0.2">
      <c r="A916" s="103"/>
    </row>
    <row r="917" spans="1:1" ht="13.15" customHeight="1" x14ac:dyDescent="0.2">
      <c r="A917" s="103"/>
    </row>
    <row r="918" spans="1:1" ht="13.15" customHeight="1" x14ac:dyDescent="0.2">
      <c r="A918" s="103"/>
    </row>
    <row r="919" spans="1:1" ht="13.15" customHeight="1" x14ac:dyDescent="0.2">
      <c r="A919" s="103"/>
    </row>
    <row r="920" spans="1:1" ht="13.15" customHeight="1" x14ac:dyDescent="0.2">
      <c r="A920" s="103"/>
    </row>
    <row r="921" spans="1:1" ht="13.15" customHeight="1" x14ac:dyDescent="0.2">
      <c r="A921" s="103"/>
    </row>
    <row r="922" spans="1:1" ht="13.15" customHeight="1" x14ac:dyDescent="0.2">
      <c r="A922" s="103"/>
    </row>
    <row r="923" spans="1:1" ht="13.15" customHeight="1" x14ac:dyDescent="0.2">
      <c r="A923" s="103"/>
    </row>
    <row r="924" spans="1:1" ht="13.15" customHeight="1" x14ac:dyDescent="0.2">
      <c r="A924" s="103"/>
    </row>
    <row r="925" spans="1:1" ht="13.15" customHeight="1" x14ac:dyDescent="0.2">
      <c r="A925" s="103"/>
    </row>
    <row r="926" spans="1:1" ht="13.15" customHeight="1" x14ac:dyDescent="0.2">
      <c r="A926" s="103"/>
    </row>
    <row r="927" spans="1:1" ht="13.15" customHeight="1" x14ac:dyDescent="0.2">
      <c r="A927" s="103"/>
    </row>
    <row r="928" spans="1:1" ht="13.15" customHeight="1" x14ac:dyDescent="0.2">
      <c r="A928" s="103"/>
    </row>
    <row r="929" spans="1:1" ht="13.15" customHeight="1" x14ac:dyDescent="0.2">
      <c r="A929" s="103"/>
    </row>
    <row r="930" spans="1:1" ht="13.15" customHeight="1" x14ac:dyDescent="0.2">
      <c r="A930" s="103"/>
    </row>
    <row r="931" spans="1:1" ht="13.15" customHeight="1" x14ac:dyDescent="0.2">
      <c r="A931" s="103"/>
    </row>
    <row r="932" spans="1:1" ht="13.15" customHeight="1" x14ac:dyDescent="0.2">
      <c r="A932" s="103"/>
    </row>
    <row r="933" spans="1:1" ht="13.15" customHeight="1" x14ac:dyDescent="0.2">
      <c r="A933" s="103"/>
    </row>
    <row r="934" spans="1:1" ht="13.15" customHeight="1" x14ac:dyDescent="0.2">
      <c r="A934" s="103"/>
    </row>
    <row r="935" spans="1:1" ht="13.15" customHeight="1" x14ac:dyDescent="0.2">
      <c r="A935" s="103"/>
    </row>
    <row r="936" spans="1:1" ht="13.15" customHeight="1" x14ac:dyDescent="0.2">
      <c r="A936" s="103"/>
    </row>
    <row r="937" spans="1:1" ht="13.15" customHeight="1" x14ac:dyDescent="0.2">
      <c r="A937" s="103"/>
    </row>
    <row r="938" spans="1:1" ht="13.15" customHeight="1" x14ac:dyDescent="0.2">
      <c r="A938" s="103"/>
    </row>
    <row r="939" spans="1:1" ht="13.15" customHeight="1" x14ac:dyDescent="0.2">
      <c r="A939" s="103"/>
    </row>
    <row r="940" spans="1:1" ht="13.15" customHeight="1" x14ac:dyDescent="0.2">
      <c r="A940" s="103"/>
    </row>
    <row r="941" spans="1:1" ht="13.15" customHeight="1" x14ac:dyDescent="0.2">
      <c r="A941" s="103"/>
    </row>
    <row r="942" spans="1:1" ht="13.15" customHeight="1" x14ac:dyDescent="0.2">
      <c r="A942" s="103"/>
    </row>
    <row r="943" spans="1:1" ht="13.15" customHeight="1" x14ac:dyDescent="0.2">
      <c r="A943" s="103"/>
    </row>
    <row r="944" spans="1:1" ht="13.15" customHeight="1" x14ac:dyDescent="0.2">
      <c r="A944" s="103"/>
    </row>
    <row r="945" spans="1:1" ht="13.15" customHeight="1" x14ac:dyDescent="0.2">
      <c r="A945" s="103"/>
    </row>
    <row r="946" spans="1:1" ht="13.15" customHeight="1" x14ac:dyDescent="0.2">
      <c r="A946" s="103"/>
    </row>
    <row r="947" spans="1:1" ht="13.15" customHeight="1" x14ac:dyDescent="0.2">
      <c r="A947" s="103"/>
    </row>
    <row r="948" spans="1:1" ht="13.15" customHeight="1" x14ac:dyDescent="0.2">
      <c r="A948" s="103"/>
    </row>
    <row r="949" spans="1:1" ht="13.15" customHeight="1" x14ac:dyDescent="0.2">
      <c r="A949" s="103"/>
    </row>
    <row r="950" spans="1:1" ht="13.15" customHeight="1" x14ac:dyDescent="0.2">
      <c r="A950" s="103"/>
    </row>
    <row r="951" spans="1:1" ht="13.15" customHeight="1" x14ac:dyDescent="0.2">
      <c r="A951" s="103"/>
    </row>
    <row r="952" spans="1:1" ht="13.15" customHeight="1" x14ac:dyDescent="0.2">
      <c r="A952" s="103"/>
    </row>
    <row r="953" spans="1:1" ht="13.15" customHeight="1" x14ac:dyDescent="0.2">
      <c r="A953" s="103"/>
    </row>
    <row r="954" spans="1:1" ht="13.15" customHeight="1" x14ac:dyDescent="0.2">
      <c r="A954" s="103"/>
    </row>
    <row r="955" spans="1:1" ht="13.15" customHeight="1" x14ac:dyDescent="0.2">
      <c r="A955" s="103"/>
    </row>
    <row r="956" spans="1:1" ht="13.15" customHeight="1" x14ac:dyDescent="0.2">
      <c r="A956" s="103"/>
    </row>
    <row r="957" spans="1:1" ht="13.15" customHeight="1" x14ac:dyDescent="0.2">
      <c r="A957" s="103"/>
    </row>
    <row r="958" spans="1:1" ht="13.15" customHeight="1" x14ac:dyDescent="0.2">
      <c r="A958" s="103"/>
    </row>
    <row r="959" spans="1:1" ht="13.15" customHeight="1" x14ac:dyDescent="0.2">
      <c r="A959" s="103"/>
    </row>
    <row r="960" spans="1:1" ht="13.15" customHeight="1" x14ac:dyDescent="0.2">
      <c r="A960" s="103"/>
    </row>
    <row r="961" spans="1:1" ht="13.15" customHeight="1" x14ac:dyDescent="0.2">
      <c r="A961" s="103"/>
    </row>
    <row r="962" spans="1:1" ht="13.15" customHeight="1" x14ac:dyDescent="0.2">
      <c r="A962" s="103"/>
    </row>
    <row r="963" spans="1:1" ht="13.15" customHeight="1" x14ac:dyDescent="0.2">
      <c r="A963" s="103"/>
    </row>
    <row r="964" spans="1:1" ht="13.15" customHeight="1" x14ac:dyDescent="0.2">
      <c r="A964" s="103"/>
    </row>
    <row r="965" spans="1:1" ht="13.15" customHeight="1" x14ac:dyDescent="0.2">
      <c r="A965" s="103"/>
    </row>
    <row r="966" spans="1:1" ht="13.15" customHeight="1" x14ac:dyDescent="0.2">
      <c r="A966" s="103"/>
    </row>
    <row r="967" spans="1:1" ht="13.15" customHeight="1" x14ac:dyDescent="0.2">
      <c r="A967" s="103"/>
    </row>
    <row r="968" spans="1:1" ht="13.15" customHeight="1" x14ac:dyDescent="0.2">
      <c r="A968" s="103"/>
    </row>
    <row r="969" spans="1:1" ht="13.15" customHeight="1" x14ac:dyDescent="0.2">
      <c r="A969" s="103"/>
    </row>
    <row r="970" spans="1:1" ht="13.15" customHeight="1" x14ac:dyDescent="0.2">
      <c r="A970" s="103"/>
    </row>
    <row r="971" spans="1:1" ht="13.15" customHeight="1" x14ac:dyDescent="0.2">
      <c r="A971" s="103"/>
    </row>
    <row r="972" spans="1:1" ht="13.15" customHeight="1" x14ac:dyDescent="0.2">
      <c r="A972" s="103"/>
    </row>
    <row r="973" spans="1:1" ht="13.15" customHeight="1" x14ac:dyDescent="0.2">
      <c r="A973" s="103"/>
    </row>
    <row r="974" spans="1:1" ht="13.15" customHeight="1" x14ac:dyDescent="0.2">
      <c r="A974" s="103"/>
    </row>
    <row r="975" spans="1:1" ht="13.15" customHeight="1" x14ac:dyDescent="0.2">
      <c r="A975" s="103"/>
    </row>
    <row r="976" spans="1:1" ht="13.15" customHeight="1" x14ac:dyDescent="0.2">
      <c r="A976" s="103"/>
    </row>
    <row r="977" spans="1:1" ht="13.15" customHeight="1" x14ac:dyDescent="0.2">
      <c r="A977" s="103"/>
    </row>
    <row r="978" spans="1:1" ht="13.15" customHeight="1" x14ac:dyDescent="0.2">
      <c r="A978" s="103"/>
    </row>
    <row r="979" spans="1:1" ht="13.15" customHeight="1" x14ac:dyDescent="0.2">
      <c r="A979" s="103"/>
    </row>
    <row r="980" spans="1:1" ht="13.15" customHeight="1" x14ac:dyDescent="0.2">
      <c r="A980" s="103"/>
    </row>
    <row r="981" spans="1:1" ht="13.15" customHeight="1" x14ac:dyDescent="0.2">
      <c r="A981" s="103"/>
    </row>
    <row r="982" spans="1:1" ht="13.15" customHeight="1" x14ac:dyDescent="0.2">
      <c r="A982" s="103"/>
    </row>
    <row r="983" spans="1:1" ht="13.15" customHeight="1" x14ac:dyDescent="0.2">
      <c r="A983" s="103"/>
    </row>
    <row r="984" spans="1:1" ht="13.15" customHeight="1" x14ac:dyDescent="0.2">
      <c r="A984" s="103"/>
    </row>
    <row r="985" spans="1:1" ht="13.15" customHeight="1" x14ac:dyDescent="0.2">
      <c r="A985" s="103"/>
    </row>
    <row r="986" spans="1:1" ht="13.15" customHeight="1" x14ac:dyDescent="0.2">
      <c r="A986" s="103"/>
    </row>
    <row r="987" spans="1:1" ht="13.15" customHeight="1" x14ac:dyDescent="0.2">
      <c r="A987" s="103"/>
    </row>
    <row r="988" spans="1:1" ht="13.15" customHeight="1" x14ac:dyDescent="0.2">
      <c r="A988" s="103"/>
    </row>
    <row r="989" spans="1:1" ht="13.15" customHeight="1" x14ac:dyDescent="0.2">
      <c r="A989" s="103"/>
    </row>
    <row r="990" spans="1:1" ht="13.15" customHeight="1" x14ac:dyDescent="0.2">
      <c r="A990" s="103"/>
    </row>
    <row r="991" spans="1:1" ht="13.15" customHeight="1" x14ac:dyDescent="0.2">
      <c r="A991" s="103"/>
    </row>
    <row r="992" spans="1:1" ht="13.15" customHeight="1" x14ac:dyDescent="0.2">
      <c r="A992" s="103"/>
    </row>
    <row r="993" spans="1:1" ht="13.15" customHeight="1" x14ac:dyDescent="0.2">
      <c r="A993" s="103"/>
    </row>
    <row r="994" spans="1:1" ht="13.15" customHeight="1" x14ac:dyDescent="0.2">
      <c r="A994" s="103"/>
    </row>
    <row r="995" spans="1:1" ht="13.15" customHeight="1" x14ac:dyDescent="0.2">
      <c r="A995" s="103"/>
    </row>
    <row r="996" spans="1:1" ht="13.15" customHeight="1" x14ac:dyDescent="0.2">
      <c r="A996" s="103"/>
    </row>
    <row r="997" spans="1:1" ht="13.15" customHeight="1" x14ac:dyDescent="0.2">
      <c r="A997" s="103"/>
    </row>
    <row r="998" spans="1:1" ht="13.15" customHeight="1" x14ac:dyDescent="0.2">
      <c r="A998" s="103"/>
    </row>
    <row r="999" spans="1:1" ht="13.15" customHeight="1" x14ac:dyDescent="0.2">
      <c r="A999" s="103"/>
    </row>
    <row r="1000" spans="1:1" ht="13.15" customHeight="1" x14ac:dyDescent="0.2">
      <c r="A1000" s="103"/>
    </row>
    <row r="1001" spans="1:1" ht="13.15" customHeight="1" x14ac:dyDescent="0.2">
      <c r="A1001" s="103"/>
    </row>
    <row r="1002" spans="1:1" ht="13.15" customHeight="1" x14ac:dyDescent="0.2">
      <c r="A1002" s="103"/>
    </row>
    <row r="1003" spans="1:1" ht="13.15" customHeight="1" x14ac:dyDescent="0.2">
      <c r="A1003" s="103"/>
    </row>
    <row r="1004" spans="1:1" ht="13.15" customHeight="1" x14ac:dyDescent="0.2">
      <c r="A1004" s="103"/>
    </row>
    <row r="1005" spans="1:1" ht="13.15" customHeight="1" x14ac:dyDescent="0.2">
      <c r="A1005" s="103"/>
    </row>
    <row r="1006" spans="1:1" ht="13.15" customHeight="1" x14ac:dyDescent="0.2">
      <c r="A1006" s="103"/>
    </row>
    <row r="1007" spans="1:1" ht="13.15" customHeight="1" x14ac:dyDescent="0.2">
      <c r="A1007" s="103"/>
    </row>
    <row r="1008" spans="1:1" ht="13.15" customHeight="1" x14ac:dyDescent="0.2">
      <c r="A1008" s="103"/>
    </row>
    <row r="1009" spans="1:1" ht="13.15" customHeight="1" x14ac:dyDescent="0.2">
      <c r="A1009" s="103"/>
    </row>
    <row r="1010" spans="1:1" ht="13.15" customHeight="1" x14ac:dyDescent="0.2">
      <c r="A1010" s="103"/>
    </row>
    <row r="1011" spans="1:1" ht="13.15" customHeight="1" x14ac:dyDescent="0.2">
      <c r="A1011" s="103"/>
    </row>
    <row r="1012" spans="1:1" ht="13.15" customHeight="1" x14ac:dyDescent="0.2">
      <c r="A1012" s="103"/>
    </row>
    <row r="1013" spans="1:1" ht="13.15" customHeight="1" x14ac:dyDescent="0.2">
      <c r="A1013" s="103"/>
    </row>
    <row r="1014" spans="1:1" ht="13.15" customHeight="1" x14ac:dyDescent="0.2">
      <c r="A1014" s="103"/>
    </row>
    <row r="1015" spans="1:1" ht="13.15" customHeight="1" x14ac:dyDescent="0.2">
      <c r="A1015" s="103"/>
    </row>
    <row r="1016" spans="1:1" ht="13.15" customHeight="1" x14ac:dyDescent="0.2">
      <c r="A1016" s="103"/>
    </row>
    <row r="1017" spans="1:1" ht="13.15" customHeight="1" x14ac:dyDescent="0.2">
      <c r="A1017" s="103"/>
    </row>
    <row r="1018" spans="1:1" ht="13.15" customHeight="1" x14ac:dyDescent="0.2">
      <c r="A1018" s="103"/>
    </row>
    <row r="1019" spans="1:1" ht="13.15" customHeight="1" x14ac:dyDescent="0.2">
      <c r="A1019" s="103"/>
    </row>
    <row r="1020" spans="1:1" ht="13.15" customHeight="1" x14ac:dyDescent="0.2">
      <c r="A1020" s="103"/>
    </row>
    <row r="1021" spans="1:1" ht="13.15" customHeight="1" x14ac:dyDescent="0.2">
      <c r="A1021" s="103"/>
    </row>
    <row r="1022" spans="1:1" ht="13.15" customHeight="1" x14ac:dyDescent="0.2">
      <c r="A1022" s="103"/>
    </row>
    <row r="1023" spans="1:1" ht="13.15" customHeight="1" x14ac:dyDescent="0.2">
      <c r="A1023" s="103"/>
    </row>
    <row r="1024" spans="1:1" ht="13.15" customHeight="1" x14ac:dyDescent="0.2">
      <c r="A1024" s="103"/>
    </row>
    <row r="1025" spans="1:1" ht="13.15" customHeight="1" x14ac:dyDescent="0.2">
      <c r="A1025" s="103"/>
    </row>
    <row r="1026" spans="1:1" ht="13.15" customHeight="1" x14ac:dyDescent="0.2">
      <c r="A1026" s="103"/>
    </row>
    <row r="1027" spans="1:1" ht="13.15" customHeight="1" x14ac:dyDescent="0.2">
      <c r="A1027" s="103"/>
    </row>
    <row r="1028" spans="1:1" ht="13.15" customHeight="1" x14ac:dyDescent="0.2">
      <c r="A1028" s="103"/>
    </row>
    <row r="1029" spans="1:1" ht="13.15" customHeight="1" x14ac:dyDescent="0.2">
      <c r="A1029" s="103"/>
    </row>
    <row r="1030" spans="1:1" ht="13.15" customHeight="1" x14ac:dyDescent="0.2">
      <c r="A1030" s="103"/>
    </row>
    <row r="1031" spans="1:1" ht="13.15" customHeight="1" x14ac:dyDescent="0.2">
      <c r="A1031" s="103"/>
    </row>
    <row r="1032" spans="1:1" ht="13.15" customHeight="1" x14ac:dyDescent="0.2">
      <c r="A1032" s="103"/>
    </row>
    <row r="1033" spans="1:1" ht="13.15" customHeight="1" x14ac:dyDescent="0.2">
      <c r="A1033" s="103"/>
    </row>
    <row r="1034" spans="1:1" ht="13.15" customHeight="1" x14ac:dyDescent="0.2">
      <c r="A1034" s="103"/>
    </row>
    <row r="1035" spans="1:1" ht="13.15" customHeight="1" x14ac:dyDescent="0.2">
      <c r="A1035" s="103"/>
    </row>
    <row r="1036" spans="1:1" ht="13.15" customHeight="1" x14ac:dyDescent="0.2">
      <c r="A1036" s="103"/>
    </row>
    <row r="1037" spans="1:1" ht="13.15" customHeight="1" x14ac:dyDescent="0.2">
      <c r="A1037" s="103"/>
    </row>
    <row r="1038" spans="1:1" ht="13.15" customHeight="1" x14ac:dyDescent="0.2">
      <c r="A1038" s="103"/>
    </row>
    <row r="1039" spans="1:1" ht="13.15" customHeight="1" x14ac:dyDescent="0.2">
      <c r="A1039" s="103"/>
    </row>
    <row r="1040" spans="1:1" ht="13.15" customHeight="1" x14ac:dyDescent="0.2">
      <c r="A1040" s="103"/>
    </row>
    <row r="1041" spans="1:1" ht="13.15" customHeight="1" x14ac:dyDescent="0.2">
      <c r="A1041" s="103"/>
    </row>
    <row r="1042" spans="1:1" ht="13.15" customHeight="1" x14ac:dyDescent="0.2">
      <c r="A1042" s="103"/>
    </row>
    <row r="1043" spans="1:1" ht="13.15" customHeight="1" x14ac:dyDescent="0.2">
      <c r="A1043" s="103"/>
    </row>
    <row r="1044" spans="1:1" ht="13.15" customHeight="1" x14ac:dyDescent="0.2">
      <c r="A1044" s="103"/>
    </row>
    <row r="1045" spans="1:1" ht="13.15" customHeight="1" x14ac:dyDescent="0.2">
      <c r="A1045" s="103"/>
    </row>
    <row r="1046" spans="1:1" ht="13.15" customHeight="1" x14ac:dyDescent="0.2">
      <c r="A1046" s="103"/>
    </row>
    <row r="1047" spans="1:1" ht="13.15" customHeight="1" x14ac:dyDescent="0.2">
      <c r="A1047" s="103"/>
    </row>
    <row r="1048" spans="1:1" ht="13.15" customHeight="1" x14ac:dyDescent="0.2">
      <c r="A1048" s="103"/>
    </row>
    <row r="1049" spans="1:1" ht="13.15" customHeight="1" x14ac:dyDescent="0.2">
      <c r="A1049" s="103"/>
    </row>
    <row r="1050" spans="1:1" ht="13.15" customHeight="1" x14ac:dyDescent="0.2">
      <c r="A1050" s="103"/>
    </row>
    <row r="1051" spans="1:1" ht="13.15" customHeight="1" x14ac:dyDescent="0.2">
      <c r="A1051" s="103"/>
    </row>
    <row r="1052" spans="1:1" ht="13.15" customHeight="1" x14ac:dyDescent="0.2">
      <c r="A1052" s="103"/>
    </row>
    <row r="1053" spans="1:1" ht="13.15" customHeight="1" x14ac:dyDescent="0.2">
      <c r="A1053" s="103"/>
    </row>
    <row r="1054" spans="1:1" ht="13.15" customHeight="1" x14ac:dyDescent="0.2">
      <c r="A1054" s="103"/>
    </row>
    <row r="1055" spans="1:1" ht="13.15" customHeight="1" x14ac:dyDescent="0.2">
      <c r="A1055" s="103"/>
    </row>
    <row r="1056" spans="1:1" ht="13.15" customHeight="1" x14ac:dyDescent="0.2">
      <c r="A1056" s="103"/>
    </row>
    <row r="1057" spans="1:1" ht="13.15" customHeight="1" x14ac:dyDescent="0.2">
      <c r="A1057" s="103"/>
    </row>
    <row r="1058" spans="1:1" ht="13.15" customHeight="1" x14ac:dyDescent="0.2">
      <c r="A1058" s="103"/>
    </row>
    <row r="1059" spans="1:1" ht="13.15" customHeight="1" x14ac:dyDescent="0.2">
      <c r="A1059" s="103"/>
    </row>
    <row r="1060" spans="1:1" ht="13.15" customHeight="1" x14ac:dyDescent="0.2">
      <c r="A1060" s="103"/>
    </row>
    <row r="1061" spans="1:1" ht="13.15" customHeight="1" x14ac:dyDescent="0.2">
      <c r="A1061" s="103"/>
    </row>
    <row r="1062" spans="1:1" ht="13.15" customHeight="1" x14ac:dyDescent="0.2">
      <c r="A1062" s="103"/>
    </row>
    <row r="1063" spans="1:1" ht="13.15" customHeight="1" x14ac:dyDescent="0.2">
      <c r="A1063" s="103"/>
    </row>
    <row r="1064" spans="1:1" ht="13.15" customHeight="1" x14ac:dyDescent="0.2">
      <c r="A1064" s="103"/>
    </row>
    <row r="1065" spans="1:1" ht="13.15" customHeight="1" x14ac:dyDescent="0.2">
      <c r="A1065" s="103"/>
    </row>
    <row r="1066" spans="1:1" ht="13.15" customHeight="1" x14ac:dyDescent="0.2">
      <c r="A1066" s="103"/>
    </row>
    <row r="1067" spans="1:1" ht="13.15" customHeight="1" x14ac:dyDescent="0.2">
      <c r="A1067" s="103"/>
    </row>
    <row r="1068" spans="1:1" ht="13.15" customHeight="1" x14ac:dyDescent="0.2">
      <c r="A1068" s="103"/>
    </row>
    <row r="1069" spans="1:1" ht="13.15" customHeight="1" x14ac:dyDescent="0.2">
      <c r="A1069" s="103"/>
    </row>
    <row r="1070" spans="1:1" ht="13.15" customHeight="1" x14ac:dyDescent="0.2">
      <c r="A1070" s="103"/>
    </row>
    <row r="1071" spans="1:1" ht="13.15" customHeight="1" x14ac:dyDescent="0.2">
      <c r="A1071" s="103"/>
    </row>
    <row r="1072" spans="1:1" ht="13.15" customHeight="1" x14ac:dyDescent="0.2">
      <c r="A1072" s="103"/>
    </row>
    <row r="1073" spans="1:1" ht="13.15" customHeight="1" x14ac:dyDescent="0.2">
      <c r="A1073" s="103"/>
    </row>
    <row r="1074" spans="1:1" ht="13.15" customHeight="1" x14ac:dyDescent="0.2">
      <c r="A1074" s="103"/>
    </row>
    <row r="1075" spans="1:1" ht="13.15" customHeight="1" x14ac:dyDescent="0.2">
      <c r="A1075" s="103"/>
    </row>
    <row r="1076" spans="1:1" ht="13.15" customHeight="1" x14ac:dyDescent="0.2">
      <c r="A1076" s="103"/>
    </row>
    <row r="1077" spans="1:1" ht="13.15" customHeight="1" x14ac:dyDescent="0.2">
      <c r="A1077" s="103"/>
    </row>
    <row r="1078" spans="1:1" ht="13.15" customHeight="1" x14ac:dyDescent="0.2">
      <c r="A1078" s="103"/>
    </row>
    <row r="1079" spans="1:1" ht="13.15" customHeight="1" x14ac:dyDescent="0.2">
      <c r="A1079" s="103"/>
    </row>
    <row r="1080" spans="1:1" ht="13.15" customHeight="1" x14ac:dyDescent="0.2">
      <c r="A1080" s="103"/>
    </row>
    <row r="1081" spans="1:1" ht="13.15" customHeight="1" x14ac:dyDescent="0.2">
      <c r="A1081" s="103"/>
    </row>
    <row r="1082" spans="1:1" ht="13.15" customHeight="1" x14ac:dyDescent="0.2">
      <c r="A1082" s="103"/>
    </row>
    <row r="1083" spans="1:1" ht="13.15" customHeight="1" x14ac:dyDescent="0.2">
      <c r="A1083" s="103"/>
    </row>
    <row r="1084" spans="1:1" ht="13.15" customHeight="1" x14ac:dyDescent="0.2">
      <c r="A1084" s="103"/>
    </row>
    <row r="1085" spans="1:1" ht="13.15" customHeight="1" x14ac:dyDescent="0.2">
      <c r="A1085" s="103"/>
    </row>
    <row r="1086" spans="1:1" ht="13.15" customHeight="1" x14ac:dyDescent="0.2">
      <c r="A1086" s="103"/>
    </row>
    <row r="1087" spans="1:1" ht="13.15" customHeight="1" x14ac:dyDescent="0.2">
      <c r="A1087" s="103"/>
    </row>
    <row r="1088" spans="1:1" ht="13.15" customHeight="1" x14ac:dyDescent="0.2">
      <c r="A1088" s="103"/>
    </row>
    <row r="1089" spans="1:1" ht="13.15" customHeight="1" x14ac:dyDescent="0.2">
      <c r="A1089" s="103"/>
    </row>
    <row r="1090" spans="1:1" ht="13.15" customHeight="1" x14ac:dyDescent="0.2">
      <c r="A1090" s="103"/>
    </row>
    <row r="1091" spans="1:1" ht="13.15" customHeight="1" x14ac:dyDescent="0.2">
      <c r="A1091" s="103"/>
    </row>
    <row r="1092" spans="1:1" ht="13.15" customHeight="1" x14ac:dyDescent="0.2">
      <c r="A1092" s="103"/>
    </row>
    <row r="1093" spans="1:1" ht="13.15" customHeight="1" x14ac:dyDescent="0.2">
      <c r="A1093" s="103"/>
    </row>
    <row r="1094" spans="1:1" ht="13.15" customHeight="1" x14ac:dyDescent="0.2">
      <c r="A1094" s="103"/>
    </row>
    <row r="1095" spans="1:1" ht="13.15" customHeight="1" x14ac:dyDescent="0.2">
      <c r="A1095" s="103"/>
    </row>
    <row r="1096" spans="1:1" ht="13.15" customHeight="1" x14ac:dyDescent="0.2">
      <c r="A1096" s="103"/>
    </row>
    <row r="1097" spans="1:1" ht="13.15" customHeight="1" x14ac:dyDescent="0.2">
      <c r="A1097" s="103"/>
    </row>
    <row r="1098" spans="1:1" ht="13.15" customHeight="1" x14ac:dyDescent="0.2">
      <c r="A1098" s="103"/>
    </row>
    <row r="1099" spans="1:1" ht="13.15" customHeight="1" x14ac:dyDescent="0.2">
      <c r="A1099" s="103"/>
    </row>
    <row r="1100" spans="1:1" ht="13.15" customHeight="1" x14ac:dyDescent="0.2">
      <c r="A1100" s="103"/>
    </row>
    <row r="1101" spans="1:1" ht="13.15" customHeight="1" x14ac:dyDescent="0.2">
      <c r="A1101" s="103"/>
    </row>
    <row r="1102" spans="1:1" ht="13.15" customHeight="1" x14ac:dyDescent="0.2">
      <c r="A1102" s="103"/>
    </row>
    <row r="1103" spans="1:1" ht="13.15" customHeight="1" x14ac:dyDescent="0.2">
      <c r="A1103" s="103"/>
    </row>
    <row r="1104" spans="1:1" ht="13.15" customHeight="1" x14ac:dyDescent="0.2">
      <c r="A1104" s="103"/>
    </row>
    <row r="1105" spans="1:1" ht="13.15" customHeight="1" x14ac:dyDescent="0.2">
      <c r="A1105" s="103"/>
    </row>
    <row r="1106" spans="1:1" ht="13.15" customHeight="1" x14ac:dyDescent="0.2">
      <c r="A1106" s="103"/>
    </row>
    <row r="1107" spans="1:1" ht="13.15" customHeight="1" x14ac:dyDescent="0.2">
      <c r="A1107" s="103"/>
    </row>
    <row r="1108" spans="1:1" ht="13.15" customHeight="1" x14ac:dyDescent="0.2">
      <c r="A1108" s="103"/>
    </row>
    <row r="1109" spans="1:1" ht="13.15" customHeight="1" x14ac:dyDescent="0.2">
      <c r="A1109" s="103"/>
    </row>
    <row r="1110" spans="1:1" ht="13.15" customHeight="1" x14ac:dyDescent="0.2">
      <c r="A1110" s="103"/>
    </row>
    <row r="1111" spans="1:1" ht="13.15" customHeight="1" x14ac:dyDescent="0.2">
      <c r="A1111" s="103"/>
    </row>
    <row r="1112" spans="1:1" ht="13.15" customHeight="1" x14ac:dyDescent="0.2">
      <c r="A1112" s="103"/>
    </row>
    <row r="1113" spans="1:1" ht="13.15" customHeight="1" x14ac:dyDescent="0.2">
      <c r="A1113" s="103"/>
    </row>
    <row r="1114" spans="1:1" ht="13.15" customHeight="1" x14ac:dyDescent="0.2">
      <c r="A1114" s="103"/>
    </row>
    <row r="1115" spans="1:1" ht="13.15" customHeight="1" x14ac:dyDescent="0.2">
      <c r="A1115" s="103"/>
    </row>
    <row r="1116" spans="1:1" ht="13.15" customHeight="1" x14ac:dyDescent="0.2">
      <c r="A1116" s="103"/>
    </row>
    <row r="1117" spans="1:1" ht="13.15" customHeight="1" x14ac:dyDescent="0.2">
      <c r="A1117" s="103"/>
    </row>
    <row r="1118" spans="1:1" ht="13.15" customHeight="1" x14ac:dyDescent="0.2">
      <c r="A1118" s="103"/>
    </row>
    <row r="1119" spans="1:1" ht="13.15" customHeight="1" x14ac:dyDescent="0.2">
      <c r="A1119" s="103"/>
    </row>
    <row r="1120" spans="1:1" ht="13.15" customHeight="1" x14ac:dyDescent="0.2">
      <c r="A1120" s="103"/>
    </row>
    <row r="1121" spans="1:1" ht="13.15" customHeight="1" x14ac:dyDescent="0.2">
      <c r="A1121" s="103"/>
    </row>
    <row r="1122" spans="1:1" ht="13.15" customHeight="1" x14ac:dyDescent="0.2">
      <c r="A1122" s="103"/>
    </row>
    <row r="1123" spans="1:1" ht="13.15" customHeight="1" x14ac:dyDescent="0.2">
      <c r="A1123" s="103"/>
    </row>
    <row r="1124" spans="1:1" ht="13.15" customHeight="1" x14ac:dyDescent="0.2">
      <c r="A1124" s="103"/>
    </row>
    <row r="1125" spans="1:1" ht="13.15" customHeight="1" x14ac:dyDescent="0.2">
      <c r="A1125" s="103"/>
    </row>
    <row r="1126" spans="1:1" ht="13.15" customHeight="1" x14ac:dyDescent="0.2">
      <c r="A1126" s="103"/>
    </row>
    <row r="1127" spans="1:1" ht="13.15" customHeight="1" x14ac:dyDescent="0.2">
      <c r="A1127" s="103"/>
    </row>
    <row r="1128" spans="1:1" ht="13.15" customHeight="1" x14ac:dyDescent="0.2">
      <c r="A1128" s="103"/>
    </row>
    <row r="1129" spans="1:1" ht="13.15" customHeight="1" x14ac:dyDescent="0.2">
      <c r="A1129" s="103"/>
    </row>
    <row r="1130" spans="1:1" ht="13.15" customHeight="1" x14ac:dyDescent="0.2">
      <c r="A1130" s="103"/>
    </row>
    <row r="1131" spans="1:1" ht="13.15" customHeight="1" x14ac:dyDescent="0.2">
      <c r="A1131" s="103"/>
    </row>
    <row r="1132" spans="1:1" ht="13.15" customHeight="1" x14ac:dyDescent="0.2">
      <c r="A1132" s="103"/>
    </row>
    <row r="1133" spans="1:1" ht="13.15" customHeight="1" x14ac:dyDescent="0.2">
      <c r="A1133" s="103"/>
    </row>
    <row r="1134" spans="1:1" ht="13.15" customHeight="1" x14ac:dyDescent="0.2">
      <c r="A1134" s="103"/>
    </row>
    <row r="1135" spans="1:1" ht="13.15" customHeight="1" x14ac:dyDescent="0.2">
      <c r="A1135" s="103"/>
    </row>
    <row r="1136" spans="1:1" ht="13.15" customHeight="1" x14ac:dyDescent="0.2">
      <c r="A1136" s="103"/>
    </row>
    <row r="1137" spans="1:1" ht="13.15" customHeight="1" x14ac:dyDescent="0.2">
      <c r="A1137" s="103"/>
    </row>
    <row r="1138" spans="1:1" ht="13.15" customHeight="1" x14ac:dyDescent="0.2">
      <c r="A1138" s="103"/>
    </row>
    <row r="1139" spans="1:1" ht="13.15" customHeight="1" x14ac:dyDescent="0.2">
      <c r="A1139" s="103"/>
    </row>
    <row r="1140" spans="1:1" ht="13.15" customHeight="1" x14ac:dyDescent="0.2">
      <c r="A1140" s="103"/>
    </row>
    <row r="1141" spans="1:1" ht="13.15" customHeight="1" x14ac:dyDescent="0.2">
      <c r="A1141" s="103"/>
    </row>
    <row r="1142" spans="1:1" ht="13.15" customHeight="1" x14ac:dyDescent="0.2">
      <c r="A1142" s="103"/>
    </row>
    <row r="1143" spans="1:1" ht="13.15" customHeight="1" x14ac:dyDescent="0.2">
      <c r="A1143" s="103"/>
    </row>
    <row r="1144" spans="1:1" ht="13.15" customHeight="1" x14ac:dyDescent="0.2">
      <c r="A1144" s="103"/>
    </row>
    <row r="1145" spans="1:1" ht="13.15" customHeight="1" x14ac:dyDescent="0.2">
      <c r="A1145" s="103"/>
    </row>
    <row r="1146" spans="1:1" ht="13.15" customHeight="1" x14ac:dyDescent="0.2">
      <c r="A1146" s="103"/>
    </row>
    <row r="1147" spans="1:1" ht="13.15" customHeight="1" x14ac:dyDescent="0.2">
      <c r="A1147" s="103"/>
    </row>
    <row r="1148" spans="1:1" ht="13.15" customHeight="1" x14ac:dyDescent="0.2">
      <c r="A1148" s="103"/>
    </row>
    <row r="1149" spans="1:1" ht="13.15" customHeight="1" x14ac:dyDescent="0.2">
      <c r="A1149" s="103"/>
    </row>
    <row r="1150" spans="1:1" ht="13.15" customHeight="1" x14ac:dyDescent="0.2">
      <c r="A1150" s="103"/>
    </row>
    <row r="1151" spans="1:1" ht="13.15" customHeight="1" x14ac:dyDescent="0.2">
      <c r="A1151" s="103"/>
    </row>
    <row r="1152" spans="1:1" ht="13.15" customHeight="1" x14ac:dyDescent="0.2">
      <c r="A1152" s="103"/>
    </row>
    <row r="1153" spans="1:1" ht="13.15" customHeight="1" x14ac:dyDescent="0.2">
      <c r="A1153" s="103"/>
    </row>
    <row r="1154" spans="1:1" ht="13.15" customHeight="1" x14ac:dyDescent="0.2">
      <c r="A1154" s="103"/>
    </row>
    <row r="1155" spans="1:1" ht="13.15" customHeight="1" x14ac:dyDescent="0.2">
      <c r="A1155" s="103"/>
    </row>
    <row r="1156" spans="1:1" ht="13.15" customHeight="1" x14ac:dyDescent="0.2">
      <c r="A1156" s="103"/>
    </row>
    <row r="1157" spans="1:1" ht="13.15" customHeight="1" x14ac:dyDescent="0.2">
      <c r="A1157" s="103"/>
    </row>
    <row r="1158" spans="1:1" ht="13.15" customHeight="1" x14ac:dyDescent="0.2">
      <c r="A1158" s="103"/>
    </row>
    <row r="1159" spans="1:1" ht="13.15" customHeight="1" x14ac:dyDescent="0.2">
      <c r="A1159" s="103"/>
    </row>
    <row r="1160" spans="1:1" ht="13.15" customHeight="1" x14ac:dyDescent="0.2">
      <c r="A1160" s="103"/>
    </row>
    <row r="1161" spans="1:1" ht="13.15" customHeight="1" x14ac:dyDescent="0.2">
      <c r="A1161" s="103"/>
    </row>
    <row r="1162" spans="1:1" ht="13.15" customHeight="1" x14ac:dyDescent="0.2">
      <c r="A1162" s="103"/>
    </row>
    <row r="1163" spans="1:1" ht="13.15" customHeight="1" x14ac:dyDescent="0.2">
      <c r="A1163" s="103"/>
    </row>
    <row r="1164" spans="1:1" ht="13.15" customHeight="1" x14ac:dyDescent="0.2">
      <c r="A1164" s="103"/>
    </row>
    <row r="1165" spans="1:1" ht="13.15" customHeight="1" x14ac:dyDescent="0.2">
      <c r="A1165" s="103"/>
    </row>
    <row r="1166" spans="1:1" ht="13.15" customHeight="1" x14ac:dyDescent="0.2">
      <c r="A1166" s="103"/>
    </row>
    <row r="1167" spans="1:1" ht="13.15" customHeight="1" x14ac:dyDescent="0.2">
      <c r="A1167" s="103"/>
    </row>
    <row r="1168" spans="1:1" ht="13.15" customHeight="1" x14ac:dyDescent="0.2">
      <c r="A1168" s="103"/>
    </row>
    <row r="1169" spans="1:1" ht="13.15" customHeight="1" x14ac:dyDescent="0.2">
      <c r="A1169" s="103"/>
    </row>
    <row r="1170" spans="1:1" ht="13.15" customHeight="1" x14ac:dyDescent="0.2">
      <c r="A1170" s="103"/>
    </row>
    <row r="1171" spans="1:1" ht="13.15" customHeight="1" x14ac:dyDescent="0.2">
      <c r="A1171" s="103"/>
    </row>
    <row r="1172" spans="1:1" ht="13.15" customHeight="1" x14ac:dyDescent="0.2">
      <c r="A1172" s="103"/>
    </row>
    <row r="1173" spans="1:1" ht="13.15" customHeight="1" x14ac:dyDescent="0.2">
      <c r="A1173" s="103"/>
    </row>
    <row r="1174" spans="1:1" ht="13.15" customHeight="1" x14ac:dyDescent="0.2">
      <c r="A1174" s="103"/>
    </row>
    <row r="1175" spans="1:1" ht="13.15" customHeight="1" x14ac:dyDescent="0.2">
      <c r="A1175" s="103"/>
    </row>
    <row r="1176" spans="1:1" ht="13.15" customHeight="1" x14ac:dyDescent="0.2">
      <c r="A1176" s="103"/>
    </row>
    <row r="1177" spans="1:1" ht="13.15" customHeight="1" x14ac:dyDescent="0.2">
      <c r="A1177" s="103"/>
    </row>
    <row r="1178" spans="1:1" ht="13.15" customHeight="1" x14ac:dyDescent="0.2">
      <c r="A1178" s="103"/>
    </row>
    <row r="1179" spans="1:1" ht="13.15" customHeight="1" x14ac:dyDescent="0.2">
      <c r="A1179" s="103"/>
    </row>
    <row r="1180" spans="1:1" ht="13.15" customHeight="1" x14ac:dyDescent="0.2">
      <c r="A1180" s="103"/>
    </row>
    <row r="1181" spans="1:1" ht="13.15" customHeight="1" x14ac:dyDescent="0.2">
      <c r="A1181" s="103"/>
    </row>
    <row r="1182" spans="1:1" ht="13.15" customHeight="1" x14ac:dyDescent="0.2">
      <c r="A1182" s="103"/>
    </row>
    <row r="1183" spans="1:1" ht="13.15" customHeight="1" x14ac:dyDescent="0.2">
      <c r="A1183" s="103"/>
    </row>
    <row r="1184" spans="1:1" ht="13.15" customHeight="1" x14ac:dyDescent="0.2">
      <c r="A1184" s="103"/>
    </row>
    <row r="1185" spans="1:1" ht="13.15" customHeight="1" x14ac:dyDescent="0.2">
      <c r="A1185" s="103"/>
    </row>
    <row r="1186" spans="1:1" ht="13.15" customHeight="1" x14ac:dyDescent="0.2">
      <c r="A1186" s="103"/>
    </row>
    <row r="1187" spans="1:1" ht="13.15" customHeight="1" x14ac:dyDescent="0.2">
      <c r="A1187" s="103"/>
    </row>
    <row r="1188" spans="1:1" ht="13.15" customHeight="1" x14ac:dyDescent="0.2">
      <c r="A1188" s="103"/>
    </row>
    <row r="1189" spans="1:1" ht="13.15" customHeight="1" x14ac:dyDescent="0.2">
      <c r="A1189" s="103"/>
    </row>
    <row r="1190" spans="1:1" ht="13.15" customHeight="1" x14ac:dyDescent="0.2">
      <c r="A1190" s="103"/>
    </row>
    <row r="1191" spans="1:1" ht="13.15" customHeight="1" x14ac:dyDescent="0.2">
      <c r="A1191" s="103"/>
    </row>
    <row r="1192" spans="1:1" ht="13.15" customHeight="1" x14ac:dyDescent="0.2">
      <c r="A1192" s="103"/>
    </row>
    <row r="1193" spans="1:1" ht="13.15" customHeight="1" x14ac:dyDescent="0.2">
      <c r="A1193" s="103"/>
    </row>
    <row r="1194" spans="1:1" ht="13.15" customHeight="1" x14ac:dyDescent="0.2">
      <c r="A1194" s="103"/>
    </row>
    <row r="1195" spans="1:1" ht="13.15" customHeight="1" x14ac:dyDescent="0.2">
      <c r="A1195" s="103"/>
    </row>
    <row r="1196" spans="1:1" ht="13.15" customHeight="1" x14ac:dyDescent="0.2">
      <c r="A1196" s="103"/>
    </row>
    <row r="1197" spans="1:1" ht="13.15" customHeight="1" x14ac:dyDescent="0.2">
      <c r="A1197" s="103"/>
    </row>
    <row r="1198" spans="1:1" ht="13.15" customHeight="1" x14ac:dyDescent="0.2">
      <c r="A1198" s="103"/>
    </row>
    <row r="1199" spans="1:1" ht="13.15" customHeight="1" x14ac:dyDescent="0.2">
      <c r="A1199" s="103"/>
    </row>
    <row r="1200" spans="1:1" ht="13.15" customHeight="1" x14ac:dyDescent="0.2">
      <c r="A1200" s="103"/>
    </row>
    <row r="1201" spans="1:1" ht="13.15" customHeight="1" x14ac:dyDescent="0.2">
      <c r="A1201" s="103"/>
    </row>
    <row r="1202" spans="1:1" ht="13.15" customHeight="1" x14ac:dyDescent="0.2">
      <c r="A1202" s="103"/>
    </row>
    <row r="1203" spans="1:1" ht="13.15" customHeight="1" x14ac:dyDescent="0.2">
      <c r="A1203" s="103"/>
    </row>
    <row r="1204" spans="1:1" ht="13.15" customHeight="1" x14ac:dyDescent="0.2">
      <c r="A1204" s="103"/>
    </row>
    <row r="1205" spans="1:1" ht="13.15" customHeight="1" x14ac:dyDescent="0.2">
      <c r="A1205" s="103"/>
    </row>
    <row r="1206" spans="1:1" ht="13.15" customHeight="1" x14ac:dyDescent="0.2">
      <c r="A1206" s="103"/>
    </row>
    <row r="1207" spans="1:1" ht="13.15" customHeight="1" x14ac:dyDescent="0.2">
      <c r="A1207" s="103"/>
    </row>
    <row r="1208" spans="1:1" ht="13.15" customHeight="1" x14ac:dyDescent="0.2">
      <c r="A1208" s="103"/>
    </row>
    <row r="1209" spans="1:1" ht="13.15" customHeight="1" x14ac:dyDescent="0.2">
      <c r="A1209" s="103"/>
    </row>
    <row r="1210" spans="1:1" ht="13.15" customHeight="1" x14ac:dyDescent="0.2">
      <c r="A1210" s="103"/>
    </row>
    <row r="1211" spans="1:1" ht="13.15" customHeight="1" x14ac:dyDescent="0.2">
      <c r="A1211" s="103"/>
    </row>
    <row r="1212" spans="1:1" ht="13.15" customHeight="1" x14ac:dyDescent="0.2">
      <c r="A1212" s="103"/>
    </row>
    <row r="1213" spans="1:1" ht="13.15" customHeight="1" x14ac:dyDescent="0.2">
      <c r="A1213" s="103"/>
    </row>
    <row r="1214" spans="1:1" ht="13.15" customHeight="1" x14ac:dyDescent="0.2">
      <c r="A1214" s="103"/>
    </row>
    <row r="1215" spans="1:1" ht="13.15" customHeight="1" x14ac:dyDescent="0.2">
      <c r="A1215" s="103"/>
    </row>
    <row r="1216" spans="1:1" ht="13.15" customHeight="1" x14ac:dyDescent="0.2">
      <c r="A1216" s="103"/>
    </row>
    <row r="1217" spans="1:1" ht="13.15" customHeight="1" x14ac:dyDescent="0.2">
      <c r="A1217" s="103"/>
    </row>
    <row r="1218" spans="1:1" ht="13.15" customHeight="1" x14ac:dyDescent="0.2">
      <c r="A1218" s="103"/>
    </row>
    <row r="1219" spans="1:1" ht="13.15" customHeight="1" x14ac:dyDescent="0.2">
      <c r="A1219" s="103"/>
    </row>
    <row r="1220" spans="1:1" ht="13.15" customHeight="1" x14ac:dyDescent="0.2">
      <c r="A1220" s="103"/>
    </row>
    <row r="1221" spans="1:1" ht="13.15" customHeight="1" x14ac:dyDescent="0.2">
      <c r="A1221" s="103"/>
    </row>
    <row r="1222" spans="1:1" ht="13.15" customHeight="1" x14ac:dyDescent="0.2">
      <c r="A1222" s="103"/>
    </row>
    <row r="1223" spans="1:1" ht="13.15" customHeight="1" x14ac:dyDescent="0.2">
      <c r="A1223" s="103"/>
    </row>
    <row r="1224" spans="1:1" ht="13.15" customHeight="1" x14ac:dyDescent="0.2">
      <c r="A1224" s="103"/>
    </row>
    <row r="1225" spans="1:1" ht="13.15" customHeight="1" x14ac:dyDescent="0.2">
      <c r="A1225" s="103"/>
    </row>
    <row r="1226" spans="1:1" ht="13.15" customHeight="1" x14ac:dyDescent="0.2">
      <c r="A1226" s="103"/>
    </row>
    <row r="1227" spans="1:1" ht="13.15" customHeight="1" x14ac:dyDescent="0.2">
      <c r="A1227" s="103"/>
    </row>
    <row r="1228" spans="1:1" ht="13.15" customHeight="1" x14ac:dyDescent="0.2">
      <c r="A1228" s="103"/>
    </row>
    <row r="1229" spans="1:1" ht="13.15" customHeight="1" x14ac:dyDescent="0.2">
      <c r="A1229" s="103"/>
    </row>
    <row r="1230" spans="1:1" ht="13.15" customHeight="1" x14ac:dyDescent="0.2">
      <c r="A1230" s="103"/>
    </row>
    <row r="1231" spans="1:1" ht="13.15" customHeight="1" x14ac:dyDescent="0.2">
      <c r="A1231" s="103"/>
    </row>
    <row r="1232" spans="1:1" ht="13.15" customHeight="1" x14ac:dyDescent="0.2">
      <c r="A1232" s="103"/>
    </row>
    <row r="1233" spans="1:1" ht="13.15" customHeight="1" x14ac:dyDescent="0.2">
      <c r="A1233" s="103"/>
    </row>
    <row r="1234" spans="1:1" ht="13.15" customHeight="1" x14ac:dyDescent="0.2">
      <c r="A1234" s="103"/>
    </row>
    <row r="1235" spans="1:1" ht="13.15" customHeight="1" x14ac:dyDescent="0.2">
      <c r="A1235" s="103"/>
    </row>
    <row r="1236" spans="1:1" ht="13.15" customHeight="1" x14ac:dyDescent="0.2">
      <c r="A1236" s="103"/>
    </row>
    <row r="1237" spans="1:1" ht="13.15" customHeight="1" x14ac:dyDescent="0.2">
      <c r="A1237" s="103"/>
    </row>
    <row r="1238" spans="1:1" ht="13.15" customHeight="1" x14ac:dyDescent="0.2">
      <c r="A1238" s="103"/>
    </row>
    <row r="1239" spans="1:1" ht="13.15" customHeight="1" x14ac:dyDescent="0.2">
      <c r="A1239" s="103"/>
    </row>
    <row r="1240" spans="1:1" ht="13.15" customHeight="1" x14ac:dyDescent="0.2">
      <c r="A1240" s="103"/>
    </row>
    <row r="1241" spans="1:1" ht="13.15" customHeight="1" x14ac:dyDescent="0.2">
      <c r="A1241" s="103"/>
    </row>
    <row r="1242" spans="1:1" ht="13.15" customHeight="1" x14ac:dyDescent="0.2">
      <c r="A1242" s="103"/>
    </row>
    <row r="1243" spans="1:1" ht="13.15" customHeight="1" x14ac:dyDescent="0.2">
      <c r="A1243" s="103"/>
    </row>
    <row r="1244" spans="1:1" ht="13.15" customHeight="1" x14ac:dyDescent="0.2">
      <c r="A1244" s="103"/>
    </row>
    <row r="1245" spans="1:1" ht="13.15" customHeight="1" x14ac:dyDescent="0.2">
      <c r="A1245" s="103"/>
    </row>
    <row r="1246" spans="1:1" ht="13.15" customHeight="1" x14ac:dyDescent="0.2">
      <c r="A1246" s="103"/>
    </row>
    <row r="1247" spans="1:1" ht="13.15" customHeight="1" x14ac:dyDescent="0.2">
      <c r="A1247" s="103"/>
    </row>
    <row r="1248" spans="1:1" ht="13.15" customHeight="1" x14ac:dyDescent="0.2">
      <c r="A1248" s="103"/>
    </row>
    <row r="1249" spans="1:1" ht="13.15" customHeight="1" x14ac:dyDescent="0.2">
      <c r="A1249" s="103"/>
    </row>
    <row r="1250" spans="1:1" ht="13.15" customHeight="1" x14ac:dyDescent="0.2">
      <c r="A1250" s="103"/>
    </row>
    <row r="1251" spans="1:1" ht="13.15" customHeight="1" x14ac:dyDescent="0.2">
      <c r="A1251" s="103"/>
    </row>
    <row r="1252" spans="1:1" ht="13.15" customHeight="1" x14ac:dyDescent="0.2">
      <c r="A1252" s="103"/>
    </row>
    <row r="1253" spans="1:1" ht="13.15" customHeight="1" x14ac:dyDescent="0.2">
      <c r="A1253" s="103"/>
    </row>
    <row r="1254" spans="1:1" ht="13.15" customHeight="1" x14ac:dyDescent="0.2">
      <c r="A1254" s="103"/>
    </row>
    <row r="1255" spans="1:1" ht="13.15" customHeight="1" x14ac:dyDescent="0.2">
      <c r="A1255" s="103"/>
    </row>
    <row r="1256" spans="1:1" ht="13.15" customHeight="1" x14ac:dyDescent="0.2">
      <c r="A1256" s="103"/>
    </row>
    <row r="1257" spans="1:1" ht="13.15" customHeight="1" x14ac:dyDescent="0.2">
      <c r="A1257" s="103"/>
    </row>
    <row r="1258" spans="1:1" ht="13.15" customHeight="1" x14ac:dyDescent="0.2">
      <c r="A1258" s="103"/>
    </row>
    <row r="1259" spans="1:1" ht="13.15" customHeight="1" x14ac:dyDescent="0.2">
      <c r="A1259" s="103"/>
    </row>
    <row r="1260" spans="1:1" ht="13.15" customHeight="1" x14ac:dyDescent="0.2">
      <c r="A1260" s="103"/>
    </row>
    <row r="1261" spans="1:1" ht="13.15" customHeight="1" x14ac:dyDescent="0.2">
      <c r="A1261" s="103"/>
    </row>
    <row r="1262" spans="1:1" ht="13.15" customHeight="1" x14ac:dyDescent="0.2">
      <c r="A1262" s="103"/>
    </row>
    <row r="1263" spans="1:1" ht="13.15" customHeight="1" x14ac:dyDescent="0.2">
      <c r="A1263" s="103"/>
    </row>
    <row r="1264" spans="1:1" ht="13.15" customHeight="1" x14ac:dyDescent="0.2">
      <c r="A1264" s="103"/>
    </row>
    <row r="1265" spans="1:1" ht="13.15" customHeight="1" x14ac:dyDescent="0.2">
      <c r="A1265" s="103"/>
    </row>
    <row r="1266" spans="1:1" ht="13.15" customHeight="1" x14ac:dyDescent="0.2">
      <c r="A1266" s="103"/>
    </row>
    <row r="1267" spans="1:1" ht="13.15" customHeight="1" x14ac:dyDescent="0.2">
      <c r="A1267" s="103"/>
    </row>
    <row r="1268" spans="1:1" ht="13.15" customHeight="1" x14ac:dyDescent="0.2">
      <c r="A1268" s="103"/>
    </row>
    <row r="1269" spans="1:1" ht="13.15" customHeight="1" x14ac:dyDescent="0.2">
      <c r="A1269" s="103"/>
    </row>
    <row r="1270" spans="1:1" ht="13.15" customHeight="1" x14ac:dyDescent="0.2">
      <c r="A1270" s="103"/>
    </row>
    <row r="1271" spans="1:1" ht="13.15" customHeight="1" x14ac:dyDescent="0.2">
      <c r="A1271" s="103"/>
    </row>
    <row r="1272" spans="1:1" ht="13.15" customHeight="1" x14ac:dyDescent="0.2">
      <c r="A1272" s="103"/>
    </row>
    <row r="1273" spans="1:1" ht="13.15" customHeight="1" x14ac:dyDescent="0.2">
      <c r="A1273" s="103"/>
    </row>
    <row r="1274" spans="1:1" ht="13.15" customHeight="1" x14ac:dyDescent="0.2">
      <c r="A1274" s="103"/>
    </row>
    <row r="1275" spans="1:1" ht="13.15" customHeight="1" x14ac:dyDescent="0.2">
      <c r="A1275" s="103"/>
    </row>
    <row r="1276" spans="1:1" ht="13.15" customHeight="1" x14ac:dyDescent="0.2">
      <c r="A1276" s="103"/>
    </row>
    <row r="1277" spans="1:1" ht="13.15" customHeight="1" x14ac:dyDescent="0.2">
      <c r="A1277" s="103"/>
    </row>
    <row r="1278" spans="1:1" ht="13.15" customHeight="1" x14ac:dyDescent="0.2">
      <c r="A1278" s="103"/>
    </row>
    <row r="1279" spans="1:1" ht="13.15" customHeight="1" x14ac:dyDescent="0.2">
      <c r="A1279" s="103"/>
    </row>
    <row r="1280" spans="1:1" ht="13.15" customHeight="1" x14ac:dyDescent="0.2">
      <c r="A1280" s="103"/>
    </row>
    <row r="1281" spans="1:1" ht="13.15" customHeight="1" x14ac:dyDescent="0.2">
      <c r="A1281" s="103"/>
    </row>
    <row r="1282" spans="1:1" ht="13.15" customHeight="1" x14ac:dyDescent="0.2">
      <c r="A1282" s="103"/>
    </row>
    <row r="1283" spans="1:1" ht="13.15" customHeight="1" x14ac:dyDescent="0.2">
      <c r="A1283" s="103"/>
    </row>
    <row r="1284" spans="1:1" ht="13.15" customHeight="1" x14ac:dyDescent="0.2">
      <c r="A1284" s="103"/>
    </row>
    <row r="1285" spans="1:1" ht="13.15" customHeight="1" x14ac:dyDescent="0.2">
      <c r="A1285" s="103"/>
    </row>
    <row r="1286" spans="1:1" ht="13.15" customHeight="1" x14ac:dyDescent="0.2">
      <c r="A1286" s="103"/>
    </row>
    <row r="1287" spans="1:1" ht="13.15" customHeight="1" x14ac:dyDescent="0.2">
      <c r="A1287" s="103"/>
    </row>
    <row r="1288" spans="1:1" ht="13.15" customHeight="1" x14ac:dyDescent="0.2">
      <c r="A1288" s="103"/>
    </row>
    <row r="1289" spans="1:1" ht="13.15" customHeight="1" x14ac:dyDescent="0.2">
      <c r="A1289" s="103"/>
    </row>
    <row r="1290" spans="1:1" ht="13.15" customHeight="1" x14ac:dyDescent="0.2">
      <c r="A1290" s="103"/>
    </row>
    <row r="1291" spans="1:1" ht="13.15" customHeight="1" x14ac:dyDescent="0.2">
      <c r="A1291" s="103"/>
    </row>
    <row r="1292" spans="1:1" ht="13.15" customHeight="1" x14ac:dyDescent="0.2">
      <c r="A1292" s="103"/>
    </row>
    <row r="1293" spans="1:1" ht="13.15" customHeight="1" x14ac:dyDescent="0.2">
      <c r="A1293" s="103"/>
    </row>
    <row r="1294" spans="1:1" ht="13.15" customHeight="1" x14ac:dyDescent="0.2">
      <c r="A1294" s="103"/>
    </row>
    <row r="1295" spans="1:1" ht="13.15" customHeight="1" x14ac:dyDescent="0.2">
      <c r="A1295" s="103"/>
    </row>
    <row r="1296" spans="1:1" ht="13.15" customHeight="1" x14ac:dyDescent="0.2">
      <c r="A1296" s="103"/>
    </row>
    <row r="1297" spans="1:1" ht="13.15" customHeight="1" x14ac:dyDescent="0.2">
      <c r="A1297" s="103"/>
    </row>
    <row r="1298" spans="1:1" ht="13.15" customHeight="1" x14ac:dyDescent="0.2">
      <c r="A1298" s="103"/>
    </row>
    <row r="1299" spans="1:1" ht="13.15" customHeight="1" x14ac:dyDescent="0.2">
      <c r="A1299" s="103"/>
    </row>
    <row r="1300" spans="1:1" ht="13.15" customHeight="1" x14ac:dyDescent="0.2">
      <c r="A1300" s="103"/>
    </row>
    <row r="1301" spans="1:1" ht="13.15" customHeight="1" x14ac:dyDescent="0.2">
      <c r="A1301" s="103"/>
    </row>
    <row r="1302" spans="1:1" ht="13.15" customHeight="1" x14ac:dyDescent="0.2">
      <c r="A1302" s="103"/>
    </row>
    <row r="1303" spans="1:1" ht="13.15" customHeight="1" x14ac:dyDescent="0.2">
      <c r="A1303" s="103"/>
    </row>
    <row r="1304" spans="1:1" ht="13.15" customHeight="1" x14ac:dyDescent="0.2">
      <c r="A1304" s="103"/>
    </row>
    <row r="1305" spans="1:1" ht="13.15" customHeight="1" x14ac:dyDescent="0.2">
      <c r="A1305" s="103"/>
    </row>
    <row r="1306" spans="1:1" ht="13.15" customHeight="1" x14ac:dyDescent="0.2">
      <c r="A1306" s="103"/>
    </row>
    <row r="1307" spans="1:1" ht="13.15" customHeight="1" x14ac:dyDescent="0.2">
      <c r="A1307" s="103"/>
    </row>
    <row r="1308" spans="1:1" ht="13.15" customHeight="1" x14ac:dyDescent="0.2">
      <c r="A1308" s="103"/>
    </row>
    <row r="1309" spans="1:1" ht="13.15" customHeight="1" x14ac:dyDescent="0.2">
      <c r="A1309" s="103"/>
    </row>
    <row r="1310" spans="1:1" ht="13.15" customHeight="1" x14ac:dyDescent="0.2">
      <c r="A1310" s="103"/>
    </row>
    <row r="1311" spans="1:1" ht="13.15" customHeight="1" x14ac:dyDescent="0.2">
      <c r="A1311" s="103"/>
    </row>
    <row r="1312" spans="1:1" ht="13.15" customHeight="1" x14ac:dyDescent="0.2">
      <c r="A1312" s="103"/>
    </row>
    <row r="1313" spans="1:1" ht="13.15" customHeight="1" x14ac:dyDescent="0.2">
      <c r="A1313" s="103"/>
    </row>
    <row r="1314" spans="1:1" ht="13.15" customHeight="1" x14ac:dyDescent="0.2">
      <c r="A1314" s="103"/>
    </row>
    <row r="1315" spans="1:1" ht="13.15" customHeight="1" x14ac:dyDescent="0.2">
      <c r="A1315" s="103"/>
    </row>
    <row r="1316" spans="1:1" ht="13.15" customHeight="1" x14ac:dyDescent="0.2">
      <c r="A1316" s="103"/>
    </row>
    <row r="1317" spans="1:1" ht="13.15" customHeight="1" x14ac:dyDescent="0.2">
      <c r="A1317" s="103"/>
    </row>
    <row r="1318" spans="1:1" ht="13.15" customHeight="1" x14ac:dyDescent="0.2">
      <c r="A1318" s="103"/>
    </row>
    <row r="1319" spans="1:1" ht="13.15" customHeight="1" x14ac:dyDescent="0.2">
      <c r="A1319" s="103"/>
    </row>
    <row r="1320" spans="1:1" ht="13.15" customHeight="1" x14ac:dyDescent="0.2">
      <c r="A1320" s="103"/>
    </row>
    <row r="1321" spans="1:1" ht="13.15" customHeight="1" x14ac:dyDescent="0.2">
      <c r="A1321" s="103"/>
    </row>
    <row r="1322" spans="1:1" ht="13.15" customHeight="1" x14ac:dyDescent="0.2">
      <c r="A1322" s="103"/>
    </row>
    <row r="1323" spans="1:1" ht="13.15" customHeight="1" x14ac:dyDescent="0.2">
      <c r="A1323" s="103"/>
    </row>
    <row r="1324" spans="1:1" ht="13.15" customHeight="1" x14ac:dyDescent="0.2">
      <c r="A1324" s="103"/>
    </row>
    <row r="1325" spans="1:1" ht="13.15" customHeight="1" x14ac:dyDescent="0.2">
      <c r="A1325" s="103"/>
    </row>
    <row r="1326" spans="1:1" ht="13.15" customHeight="1" x14ac:dyDescent="0.2">
      <c r="A1326" s="103"/>
    </row>
    <row r="1327" spans="1:1" ht="13.15" customHeight="1" x14ac:dyDescent="0.2">
      <c r="A1327" s="103"/>
    </row>
    <row r="1328" spans="1:1" ht="13.15" customHeight="1" x14ac:dyDescent="0.2">
      <c r="A1328" s="103"/>
    </row>
    <row r="1329" spans="1:1" ht="13.15" customHeight="1" x14ac:dyDescent="0.2">
      <c r="A1329" s="103"/>
    </row>
    <row r="1330" spans="1:1" ht="13.15" customHeight="1" x14ac:dyDescent="0.2">
      <c r="A1330" s="103"/>
    </row>
    <row r="1331" spans="1:1" ht="13.15" customHeight="1" x14ac:dyDescent="0.2">
      <c r="A1331" s="103"/>
    </row>
    <row r="1332" spans="1:1" ht="13.15" customHeight="1" x14ac:dyDescent="0.2">
      <c r="A1332" s="103"/>
    </row>
    <row r="1333" spans="1:1" ht="13.15" customHeight="1" x14ac:dyDescent="0.2">
      <c r="A1333" s="103"/>
    </row>
    <row r="1334" spans="1:1" ht="13.15" customHeight="1" x14ac:dyDescent="0.2">
      <c r="A1334" s="103"/>
    </row>
    <row r="1335" spans="1:1" ht="13.15" customHeight="1" x14ac:dyDescent="0.2">
      <c r="A1335" s="103"/>
    </row>
    <row r="1336" spans="1:1" ht="13.15" customHeight="1" x14ac:dyDescent="0.2">
      <c r="A1336" s="103"/>
    </row>
    <row r="1337" spans="1:1" ht="13.15" customHeight="1" x14ac:dyDescent="0.2">
      <c r="A1337" s="103"/>
    </row>
    <row r="1338" spans="1:1" ht="13.15" customHeight="1" x14ac:dyDescent="0.2">
      <c r="A1338" s="103"/>
    </row>
    <row r="1339" spans="1:1" ht="13.15" customHeight="1" x14ac:dyDescent="0.2">
      <c r="A1339" s="103"/>
    </row>
    <row r="1340" spans="1:1" ht="13.15" customHeight="1" x14ac:dyDescent="0.2">
      <c r="A1340" s="103"/>
    </row>
    <row r="1341" spans="1:1" ht="13.15" customHeight="1" x14ac:dyDescent="0.2">
      <c r="A1341" s="103"/>
    </row>
    <row r="1342" spans="1:1" ht="13.15" customHeight="1" x14ac:dyDescent="0.2">
      <c r="A1342" s="103"/>
    </row>
    <row r="1343" spans="1:1" ht="13.15" customHeight="1" x14ac:dyDescent="0.2">
      <c r="A1343" s="103"/>
    </row>
    <row r="1344" spans="1:1" ht="13.15" customHeight="1" x14ac:dyDescent="0.2">
      <c r="A1344" s="103"/>
    </row>
    <row r="1345" spans="1:1" ht="13.15" customHeight="1" x14ac:dyDescent="0.2">
      <c r="A1345" s="103"/>
    </row>
    <row r="1346" spans="1:1" ht="13.15" customHeight="1" x14ac:dyDescent="0.2">
      <c r="A1346" s="103"/>
    </row>
    <row r="1347" spans="1:1" ht="13.15" customHeight="1" x14ac:dyDescent="0.2">
      <c r="A1347" s="103"/>
    </row>
    <row r="1348" spans="1:1" ht="13.15" customHeight="1" x14ac:dyDescent="0.2">
      <c r="A1348" s="103"/>
    </row>
    <row r="1349" spans="1:1" ht="13.15" customHeight="1" x14ac:dyDescent="0.2">
      <c r="A1349" s="103"/>
    </row>
    <row r="1350" spans="1:1" ht="13.15" customHeight="1" x14ac:dyDescent="0.2">
      <c r="A1350" s="103"/>
    </row>
    <row r="1351" spans="1:1" ht="13.15" customHeight="1" x14ac:dyDescent="0.2">
      <c r="A1351" s="103"/>
    </row>
    <row r="1352" spans="1:1" ht="13.15" customHeight="1" x14ac:dyDescent="0.2">
      <c r="A1352" s="103"/>
    </row>
    <row r="1353" spans="1:1" ht="13.15" customHeight="1" x14ac:dyDescent="0.2">
      <c r="A1353" s="103"/>
    </row>
    <row r="1354" spans="1:1" ht="13.15" customHeight="1" x14ac:dyDescent="0.2">
      <c r="A1354" s="103"/>
    </row>
    <row r="1355" spans="1:1" ht="13.15" customHeight="1" x14ac:dyDescent="0.2">
      <c r="A1355" s="103"/>
    </row>
    <row r="1356" spans="1:1" ht="13.15" customHeight="1" x14ac:dyDescent="0.2">
      <c r="A1356" s="103"/>
    </row>
    <row r="1357" spans="1:1" ht="13.15" customHeight="1" x14ac:dyDescent="0.2">
      <c r="A1357" s="103"/>
    </row>
    <row r="1358" spans="1:1" ht="13.15" customHeight="1" x14ac:dyDescent="0.2">
      <c r="A1358" s="103"/>
    </row>
    <row r="1359" spans="1:1" ht="13.15" customHeight="1" x14ac:dyDescent="0.2">
      <c r="A1359" s="103"/>
    </row>
    <row r="1360" spans="1:1" ht="13.15" customHeight="1" x14ac:dyDescent="0.2">
      <c r="A1360" s="103"/>
    </row>
    <row r="1361" spans="1:1" ht="13.15" customHeight="1" x14ac:dyDescent="0.2">
      <c r="A1361" s="103"/>
    </row>
    <row r="1362" spans="1:1" ht="13.15" customHeight="1" x14ac:dyDescent="0.2">
      <c r="A1362" s="103"/>
    </row>
    <row r="1363" spans="1:1" ht="13.15" customHeight="1" x14ac:dyDescent="0.2">
      <c r="A1363" s="103"/>
    </row>
    <row r="1364" spans="1:1" ht="13.15" customHeight="1" x14ac:dyDescent="0.2">
      <c r="A1364" s="103"/>
    </row>
    <row r="1365" spans="1:1" ht="13.15" customHeight="1" x14ac:dyDescent="0.2">
      <c r="A1365" s="103"/>
    </row>
    <row r="1366" spans="1:1" ht="13.15" customHeight="1" x14ac:dyDescent="0.2">
      <c r="A1366" s="103"/>
    </row>
    <row r="1367" spans="1:1" ht="13.15" customHeight="1" x14ac:dyDescent="0.2">
      <c r="A1367" s="103"/>
    </row>
    <row r="1368" spans="1:1" ht="13.15" customHeight="1" x14ac:dyDescent="0.2">
      <c r="A1368" s="103"/>
    </row>
    <row r="1369" spans="1:1" ht="13.15" customHeight="1" x14ac:dyDescent="0.2">
      <c r="A1369" s="103"/>
    </row>
    <row r="1370" spans="1:1" ht="13.15" customHeight="1" x14ac:dyDescent="0.2">
      <c r="A1370" s="103"/>
    </row>
    <row r="1371" spans="1:1" ht="13.15" customHeight="1" x14ac:dyDescent="0.2">
      <c r="A1371" s="103"/>
    </row>
    <row r="1372" spans="1:1" ht="13.15" customHeight="1" x14ac:dyDescent="0.2">
      <c r="A1372" s="103"/>
    </row>
    <row r="1373" spans="1:1" ht="13.15" customHeight="1" x14ac:dyDescent="0.2">
      <c r="A1373" s="103"/>
    </row>
    <row r="1374" spans="1:1" ht="13.15" customHeight="1" x14ac:dyDescent="0.2">
      <c r="A1374" s="103"/>
    </row>
    <row r="1375" spans="1:1" ht="13.15" customHeight="1" x14ac:dyDescent="0.2">
      <c r="A1375" s="103"/>
    </row>
    <row r="1376" spans="1:1" ht="13.15" customHeight="1" x14ac:dyDescent="0.2">
      <c r="A1376" s="103"/>
    </row>
    <row r="1377" spans="1:1" ht="13.15" customHeight="1" x14ac:dyDescent="0.2">
      <c r="A1377" s="103"/>
    </row>
    <row r="1378" spans="1:1" ht="13.15" customHeight="1" x14ac:dyDescent="0.2">
      <c r="A1378" s="103"/>
    </row>
    <row r="1379" spans="1:1" ht="13.15" customHeight="1" x14ac:dyDescent="0.2">
      <c r="A1379" s="103"/>
    </row>
    <row r="1380" spans="1:1" ht="13.15" customHeight="1" x14ac:dyDescent="0.2">
      <c r="A1380" s="103"/>
    </row>
    <row r="1381" spans="1:1" ht="13.15" customHeight="1" x14ac:dyDescent="0.2">
      <c r="A1381" s="103"/>
    </row>
    <row r="1382" spans="1:1" ht="13.15" customHeight="1" x14ac:dyDescent="0.2">
      <c r="A1382" s="103"/>
    </row>
    <row r="1383" spans="1:1" ht="13.15" customHeight="1" x14ac:dyDescent="0.2">
      <c r="A1383" s="103"/>
    </row>
    <row r="1384" spans="1:1" ht="13.15" customHeight="1" x14ac:dyDescent="0.2">
      <c r="A1384" s="103"/>
    </row>
    <row r="1385" spans="1:1" ht="13.15" customHeight="1" x14ac:dyDescent="0.2">
      <c r="A1385" s="103"/>
    </row>
    <row r="1386" spans="1:1" ht="13.15" customHeight="1" x14ac:dyDescent="0.2">
      <c r="A1386" s="103"/>
    </row>
    <row r="1387" spans="1:1" ht="13.15" customHeight="1" x14ac:dyDescent="0.2">
      <c r="A1387" s="103"/>
    </row>
    <row r="1388" spans="1:1" ht="13.15" customHeight="1" x14ac:dyDescent="0.2">
      <c r="A1388" s="103"/>
    </row>
    <row r="1389" spans="1:1" ht="13.15" customHeight="1" x14ac:dyDescent="0.2">
      <c r="A1389" s="103"/>
    </row>
    <row r="1390" spans="1:1" ht="13.15" customHeight="1" x14ac:dyDescent="0.2">
      <c r="A1390" s="103"/>
    </row>
    <row r="1391" spans="1:1" ht="13.15" customHeight="1" x14ac:dyDescent="0.2">
      <c r="A1391" s="103"/>
    </row>
    <row r="1392" spans="1:1" ht="13.15" customHeight="1" x14ac:dyDescent="0.2">
      <c r="A1392" s="103"/>
    </row>
    <row r="1393" spans="1:1" ht="13.15" customHeight="1" x14ac:dyDescent="0.2">
      <c r="A1393" s="103"/>
    </row>
    <row r="1394" spans="1:1" ht="13.15" customHeight="1" x14ac:dyDescent="0.2">
      <c r="A1394" s="103"/>
    </row>
    <row r="1395" spans="1:1" ht="13.15" customHeight="1" x14ac:dyDescent="0.2">
      <c r="A1395" s="103"/>
    </row>
    <row r="1396" spans="1:1" ht="13.15" customHeight="1" x14ac:dyDescent="0.2">
      <c r="A1396" s="103"/>
    </row>
    <row r="1397" spans="1:1" ht="13.15" customHeight="1" x14ac:dyDescent="0.2">
      <c r="A1397" s="103"/>
    </row>
    <row r="1398" spans="1:1" ht="13.15" customHeight="1" x14ac:dyDescent="0.2">
      <c r="A1398" s="103"/>
    </row>
    <row r="1399" spans="1:1" ht="13.15" customHeight="1" x14ac:dyDescent="0.2">
      <c r="A1399" s="103"/>
    </row>
    <row r="1400" spans="1:1" ht="13.15" customHeight="1" x14ac:dyDescent="0.2">
      <c r="A1400" s="103"/>
    </row>
    <row r="1401" spans="1:1" ht="13.15" customHeight="1" x14ac:dyDescent="0.2">
      <c r="A1401" s="103"/>
    </row>
    <row r="1402" spans="1:1" ht="13.15" customHeight="1" x14ac:dyDescent="0.2">
      <c r="A1402" s="103"/>
    </row>
    <row r="1403" spans="1:1" ht="13.15" customHeight="1" x14ac:dyDescent="0.2">
      <c r="A1403" s="103"/>
    </row>
    <row r="1404" spans="1:1" ht="13.15" customHeight="1" x14ac:dyDescent="0.2">
      <c r="A1404" s="103"/>
    </row>
    <row r="1405" spans="1:1" ht="13.15" customHeight="1" x14ac:dyDescent="0.2">
      <c r="A1405" s="103"/>
    </row>
    <row r="1406" spans="1:1" ht="13.15" customHeight="1" x14ac:dyDescent="0.2">
      <c r="A1406" s="103"/>
    </row>
    <row r="1407" spans="1:1" ht="13.15" customHeight="1" x14ac:dyDescent="0.2">
      <c r="A1407" s="103"/>
    </row>
    <row r="1408" spans="1:1" ht="13.15" customHeight="1" x14ac:dyDescent="0.2">
      <c r="A1408" s="103"/>
    </row>
    <row r="1409" spans="1:1" ht="13.15" customHeight="1" x14ac:dyDescent="0.2">
      <c r="A1409" s="103"/>
    </row>
    <row r="1410" spans="1:1" ht="13.15" customHeight="1" x14ac:dyDescent="0.2">
      <c r="A1410" s="103"/>
    </row>
    <row r="1411" spans="1:1" ht="13.15" customHeight="1" x14ac:dyDescent="0.2">
      <c r="A1411" s="103"/>
    </row>
    <row r="1412" spans="1:1" ht="13.15" customHeight="1" x14ac:dyDescent="0.2">
      <c r="A1412" s="103"/>
    </row>
    <row r="1413" spans="1:1" ht="13.15" customHeight="1" x14ac:dyDescent="0.2">
      <c r="A1413" s="103"/>
    </row>
    <row r="1414" spans="1:1" ht="13.15" customHeight="1" x14ac:dyDescent="0.2">
      <c r="A1414" s="103"/>
    </row>
    <row r="1415" spans="1:1" ht="13.15" customHeight="1" x14ac:dyDescent="0.2">
      <c r="A1415" s="103"/>
    </row>
    <row r="1416" spans="1:1" ht="13.15" customHeight="1" x14ac:dyDescent="0.2">
      <c r="A1416" s="103"/>
    </row>
    <row r="1417" spans="1:1" ht="13.15" customHeight="1" x14ac:dyDescent="0.2">
      <c r="A1417" s="103"/>
    </row>
    <row r="1418" spans="1:1" ht="13.15" customHeight="1" x14ac:dyDescent="0.2">
      <c r="A1418" s="103"/>
    </row>
    <row r="1419" spans="1:1" ht="13.15" customHeight="1" x14ac:dyDescent="0.2">
      <c r="A1419" s="103"/>
    </row>
    <row r="1420" spans="1:1" ht="13.15" customHeight="1" x14ac:dyDescent="0.2">
      <c r="A1420" s="103"/>
    </row>
    <row r="1421" spans="1:1" ht="13.15" customHeight="1" x14ac:dyDescent="0.2">
      <c r="A1421" s="103"/>
    </row>
    <row r="1422" spans="1:1" ht="13.15" customHeight="1" x14ac:dyDescent="0.2">
      <c r="A1422" s="103"/>
    </row>
    <row r="1423" spans="1:1" ht="13.15" customHeight="1" x14ac:dyDescent="0.2">
      <c r="A1423" s="103"/>
    </row>
    <row r="1424" spans="1:1" ht="13.15" customHeight="1" x14ac:dyDescent="0.2">
      <c r="A1424" s="103"/>
    </row>
    <row r="1425" spans="1:1" ht="13.15" customHeight="1" x14ac:dyDescent="0.2">
      <c r="A1425" s="103"/>
    </row>
    <row r="1426" spans="1:1" ht="13.15" customHeight="1" x14ac:dyDescent="0.2">
      <c r="A1426" s="103"/>
    </row>
    <row r="1427" spans="1:1" ht="13.15" customHeight="1" x14ac:dyDescent="0.2">
      <c r="A1427" s="103"/>
    </row>
    <row r="1428" spans="1:1" ht="13.15" customHeight="1" x14ac:dyDescent="0.2">
      <c r="A1428" s="103"/>
    </row>
    <row r="1429" spans="1:1" ht="13.15" customHeight="1" x14ac:dyDescent="0.2">
      <c r="A1429" s="103"/>
    </row>
    <row r="1430" spans="1:1" ht="13.15" customHeight="1" x14ac:dyDescent="0.2">
      <c r="A1430" s="103"/>
    </row>
    <row r="1431" spans="1:1" ht="13.15" customHeight="1" x14ac:dyDescent="0.2">
      <c r="A1431" s="103"/>
    </row>
    <row r="1432" spans="1:1" ht="13.15" customHeight="1" x14ac:dyDescent="0.2">
      <c r="A1432" s="103"/>
    </row>
    <row r="1433" spans="1:1" ht="13.15" customHeight="1" x14ac:dyDescent="0.2">
      <c r="A1433" s="103"/>
    </row>
    <row r="1434" spans="1:1" ht="13.15" customHeight="1" x14ac:dyDescent="0.2">
      <c r="A1434" s="103"/>
    </row>
    <row r="1435" spans="1:1" ht="13.15" customHeight="1" x14ac:dyDescent="0.2">
      <c r="A1435" s="103"/>
    </row>
    <row r="1436" spans="1:1" ht="13.15" customHeight="1" x14ac:dyDescent="0.2">
      <c r="A1436" s="103"/>
    </row>
    <row r="1437" spans="1:1" ht="13.15" customHeight="1" x14ac:dyDescent="0.2">
      <c r="A1437" s="103"/>
    </row>
    <row r="1438" spans="1:1" ht="13.15" customHeight="1" x14ac:dyDescent="0.2">
      <c r="A1438" s="103"/>
    </row>
    <row r="1439" spans="1:1" ht="13.15" customHeight="1" x14ac:dyDescent="0.2">
      <c r="A1439" s="103"/>
    </row>
    <row r="1440" spans="1:1" ht="13.15" customHeight="1" x14ac:dyDescent="0.2">
      <c r="A1440" s="103"/>
    </row>
    <row r="1441" spans="1:1" ht="13.15" customHeight="1" x14ac:dyDescent="0.2">
      <c r="A1441" s="103"/>
    </row>
    <row r="1442" spans="1:1" ht="13.15" customHeight="1" x14ac:dyDescent="0.2">
      <c r="A1442" s="103"/>
    </row>
    <row r="1443" spans="1:1" ht="13.15" customHeight="1" x14ac:dyDescent="0.2">
      <c r="A1443" s="103"/>
    </row>
    <row r="1444" spans="1:1" ht="13.15" customHeight="1" x14ac:dyDescent="0.2">
      <c r="A1444" s="103"/>
    </row>
    <row r="1445" spans="1:1" ht="13.15" customHeight="1" x14ac:dyDescent="0.2">
      <c r="A1445" s="103"/>
    </row>
    <row r="1446" spans="1:1" ht="13.15" customHeight="1" x14ac:dyDescent="0.2">
      <c r="A1446" s="103"/>
    </row>
    <row r="1447" spans="1:1" ht="13.15" customHeight="1" x14ac:dyDescent="0.2">
      <c r="A1447" s="103"/>
    </row>
    <row r="1448" spans="1:1" ht="13.15" customHeight="1" x14ac:dyDescent="0.2">
      <c r="A1448" s="103"/>
    </row>
    <row r="1449" spans="1:1" ht="13.15" customHeight="1" x14ac:dyDescent="0.2">
      <c r="A1449" s="103"/>
    </row>
    <row r="1450" spans="1:1" ht="13.15" customHeight="1" x14ac:dyDescent="0.2">
      <c r="A1450" s="103"/>
    </row>
    <row r="1451" spans="1:1" ht="13.15" customHeight="1" x14ac:dyDescent="0.2">
      <c r="A1451" s="103"/>
    </row>
    <row r="1452" spans="1:1" ht="13.15" customHeight="1" x14ac:dyDescent="0.2">
      <c r="A1452" s="103"/>
    </row>
    <row r="1453" spans="1:1" ht="13.15" customHeight="1" x14ac:dyDescent="0.2">
      <c r="A1453" s="103"/>
    </row>
    <row r="1454" spans="1:1" ht="13.15" customHeight="1" x14ac:dyDescent="0.2">
      <c r="A1454" s="103"/>
    </row>
    <row r="1455" spans="1:1" ht="13.15" customHeight="1" x14ac:dyDescent="0.2">
      <c r="A1455" s="103"/>
    </row>
    <row r="1456" spans="1:1" ht="13.15" customHeight="1" x14ac:dyDescent="0.2">
      <c r="A1456" s="103"/>
    </row>
    <row r="1457" spans="1:1" ht="13.15" customHeight="1" x14ac:dyDescent="0.2">
      <c r="A1457" s="103"/>
    </row>
    <row r="1458" spans="1:1" ht="13.15" customHeight="1" x14ac:dyDescent="0.2">
      <c r="A1458" s="103"/>
    </row>
    <row r="1459" spans="1:1" ht="13.15" customHeight="1" x14ac:dyDescent="0.2">
      <c r="A1459" s="103"/>
    </row>
    <row r="1460" spans="1:1" ht="13.15" customHeight="1" x14ac:dyDescent="0.2">
      <c r="A1460" s="103"/>
    </row>
    <row r="1461" spans="1:1" ht="13.15" customHeight="1" x14ac:dyDescent="0.2">
      <c r="A1461" s="103"/>
    </row>
    <row r="1462" spans="1:1" ht="13.15" customHeight="1" x14ac:dyDescent="0.2">
      <c r="A1462" s="103"/>
    </row>
    <row r="1463" spans="1:1" ht="13.15" customHeight="1" x14ac:dyDescent="0.2">
      <c r="A1463" s="103"/>
    </row>
    <row r="1464" spans="1:1" ht="13.15" customHeight="1" x14ac:dyDescent="0.2">
      <c r="A1464" s="103"/>
    </row>
    <row r="1465" spans="1:1" ht="13.15" customHeight="1" x14ac:dyDescent="0.2">
      <c r="A1465" s="103"/>
    </row>
    <row r="1466" spans="1:1" ht="13.15" customHeight="1" x14ac:dyDescent="0.2">
      <c r="A1466" s="103"/>
    </row>
    <row r="1467" spans="1:1" ht="13.15" customHeight="1" x14ac:dyDescent="0.2">
      <c r="A1467" s="103"/>
    </row>
    <row r="1468" spans="1:1" ht="13.15" customHeight="1" x14ac:dyDescent="0.2">
      <c r="A1468" s="103"/>
    </row>
    <row r="1469" spans="1:1" ht="13.15" customHeight="1" x14ac:dyDescent="0.2">
      <c r="A1469" s="103"/>
    </row>
    <row r="1470" spans="1:1" ht="13.15" customHeight="1" x14ac:dyDescent="0.2">
      <c r="A1470" s="103"/>
    </row>
    <row r="1471" spans="1:1" ht="13.15" customHeight="1" x14ac:dyDescent="0.2">
      <c r="A1471" s="103"/>
    </row>
    <row r="1472" spans="1:1" ht="13.15" customHeight="1" x14ac:dyDescent="0.2">
      <c r="A1472" s="103"/>
    </row>
    <row r="1473" spans="1:1" ht="13.15" customHeight="1" x14ac:dyDescent="0.2">
      <c r="A1473" s="103"/>
    </row>
    <row r="1474" spans="1:1" ht="13.15" customHeight="1" x14ac:dyDescent="0.2">
      <c r="A1474" s="103"/>
    </row>
    <row r="1475" spans="1:1" ht="13.15" customHeight="1" x14ac:dyDescent="0.2">
      <c r="A1475" s="103"/>
    </row>
    <row r="1476" spans="1:1" ht="13.15" customHeight="1" x14ac:dyDescent="0.2">
      <c r="A1476" s="103"/>
    </row>
    <row r="1477" spans="1:1" ht="13.15" customHeight="1" x14ac:dyDescent="0.2">
      <c r="A1477" s="103"/>
    </row>
    <row r="1478" spans="1:1" ht="13.15" customHeight="1" x14ac:dyDescent="0.2">
      <c r="A1478" s="103"/>
    </row>
    <row r="1479" spans="1:1" ht="13.15" customHeight="1" x14ac:dyDescent="0.2">
      <c r="A1479" s="103"/>
    </row>
    <row r="1480" spans="1:1" ht="13.15" customHeight="1" x14ac:dyDescent="0.2">
      <c r="A1480" s="103"/>
    </row>
    <row r="1481" spans="1:1" ht="13.15" customHeight="1" x14ac:dyDescent="0.2">
      <c r="A1481" s="103"/>
    </row>
    <row r="1482" spans="1:1" ht="13.15" customHeight="1" x14ac:dyDescent="0.2">
      <c r="A1482" s="103"/>
    </row>
    <row r="1483" spans="1:1" ht="13.15" customHeight="1" x14ac:dyDescent="0.2">
      <c r="A1483" s="103"/>
    </row>
    <row r="1484" spans="1:1" ht="13.15" customHeight="1" x14ac:dyDescent="0.2">
      <c r="A1484" s="103"/>
    </row>
    <row r="1485" spans="1:1" ht="13.15" customHeight="1" x14ac:dyDescent="0.2">
      <c r="A1485" s="103"/>
    </row>
    <row r="1486" spans="1:1" ht="13.15" customHeight="1" x14ac:dyDescent="0.2">
      <c r="A1486" s="103"/>
    </row>
    <row r="1487" spans="1:1" ht="13.15" customHeight="1" x14ac:dyDescent="0.2">
      <c r="A1487" s="103"/>
    </row>
    <row r="1488" spans="1:1" ht="13.15" customHeight="1" x14ac:dyDescent="0.2">
      <c r="A1488" s="103"/>
    </row>
    <row r="1489" spans="1:1" ht="13.15" customHeight="1" x14ac:dyDescent="0.2">
      <c r="A1489" s="103"/>
    </row>
    <row r="1490" spans="1:1" ht="13.15" customHeight="1" x14ac:dyDescent="0.2">
      <c r="A1490" s="103"/>
    </row>
    <row r="1491" spans="1:1" ht="13.15" customHeight="1" x14ac:dyDescent="0.2">
      <c r="A1491" s="103"/>
    </row>
    <row r="1492" spans="1:1" ht="13.15" customHeight="1" x14ac:dyDescent="0.2">
      <c r="A1492" s="103"/>
    </row>
    <row r="1493" spans="1:1" ht="13.15" customHeight="1" x14ac:dyDescent="0.2">
      <c r="A1493" s="103"/>
    </row>
    <row r="1494" spans="1:1" ht="13.15" customHeight="1" x14ac:dyDescent="0.2">
      <c r="A1494" s="103"/>
    </row>
    <row r="1495" spans="1:1" ht="13.15" customHeight="1" x14ac:dyDescent="0.2">
      <c r="A1495" s="103"/>
    </row>
    <row r="1496" spans="1:1" ht="13.15" customHeight="1" x14ac:dyDescent="0.2">
      <c r="A1496" s="103"/>
    </row>
    <row r="1497" spans="1:1" ht="13.15" customHeight="1" x14ac:dyDescent="0.2">
      <c r="A1497" s="103"/>
    </row>
    <row r="1498" spans="1:1" ht="13.15" customHeight="1" x14ac:dyDescent="0.2">
      <c r="A1498" s="103"/>
    </row>
    <row r="1499" spans="1:1" ht="13.15" customHeight="1" x14ac:dyDescent="0.2">
      <c r="A1499" s="103"/>
    </row>
    <row r="1500" spans="1:1" ht="13.15" customHeight="1" x14ac:dyDescent="0.2">
      <c r="A1500" s="103"/>
    </row>
    <row r="1501" spans="1:1" ht="13.15" customHeight="1" x14ac:dyDescent="0.2">
      <c r="A1501" s="103"/>
    </row>
    <row r="1502" spans="1:1" ht="13.15" customHeight="1" x14ac:dyDescent="0.2">
      <c r="A1502" s="103"/>
    </row>
    <row r="1503" spans="1:1" ht="13.15" customHeight="1" x14ac:dyDescent="0.2">
      <c r="A1503" s="103"/>
    </row>
    <row r="1504" spans="1:1" ht="13.15" customHeight="1" x14ac:dyDescent="0.2">
      <c r="A1504" s="103"/>
    </row>
    <row r="1505" spans="1:1" ht="13.15" customHeight="1" x14ac:dyDescent="0.2">
      <c r="A1505" s="103"/>
    </row>
    <row r="1506" spans="1:1" ht="13.15" customHeight="1" x14ac:dyDescent="0.2">
      <c r="A1506" s="103"/>
    </row>
    <row r="1507" spans="1:1" ht="13.15" customHeight="1" x14ac:dyDescent="0.2">
      <c r="A1507" s="103"/>
    </row>
    <row r="1508" spans="1:1" ht="13.15" customHeight="1" x14ac:dyDescent="0.2">
      <c r="A1508" s="103"/>
    </row>
    <row r="1509" spans="1:1" ht="13.15" customHeight="1" x14ac:dyDescent="0.2">
      <c r="A1509" s="103"/>
    </row>
    <row r="1510" spans="1:1" ht="13.15" customHeight="1" x14ac:dyDescent="0.2">
      <c r="A1510" s="103"/>
    </row>
    <row r="1511" spans="1:1" ht="13.15" customHeight="1" x14ac:dyDescent="0.2">
      <c r="A1511" s="103"/>
    </row>
    <row r="1512" spans="1:1" ht="13.15" customHeight="1" x14ac:dyDescent="0.2">
      <c r="A1512" s="103"/>
    </row>
    <row r="1513" spans="1:1" ht="13.15" customHeight="1" x14ac:dyDescent="0.2">
      <c r="A1513" s="103"/>
    </row>
    <row r="1514" spans="1:1" ht="13.15" customHeight="1" x14ac:dyDescent="0.2">
      <c r="A1514" s="103"/>
    </row>
    <row r="1515" spans="1:1" ht="13.15" customHeight="1" x14ac:dyDescent="0.2">
      <c r="A1515" s="103"/>
    </row>
    <row r="1516" spans="1:1" ht="13.15" customHeight="1" x14ac:dyDescent="0.2">
      <c r="A1516" s="103"/>
    </row>
    <row r="1517" spans="1:1" ht="13.15" customHeight="1" x14ac:dyDescent="0.2">
      <c r="A1517" s="103"/>
    </row>
    <row r="1518" spans="1:1" ht="13.15" customHeight="1" x14ac:dyDescent="0.2">
      <c r="A1518" s="103"/>
    </row>
    <row r="1519" spans="1:1" ht="13.15" customHeight="1" x14ac:dyDescent="0.2">
      <c r="A1519" s="103"/>
    </row>
    <row r="1520" spans="1:1" ht="13.15" customHeight="1" x14ac:dyDescent="0.2">
      <c r="A1520" s="103"/>
    </row>
    <row r="1521" spans="1:1" ht="13.15" customHeight="1" x14ac:dyDescent="0.2">
      <c r="A1521" s="103"/>
    </row>
    <row r="1522" spans="1:1" ht="13.15" customHeight="1" x14ac:dyDescent="0.2">
      <c r="A1522" s="103"/>
    </row>
    <row r="1523" spans="1:1" ht="13.15" customHeight="1" x14ac:dyDescent="0.2">
      <c r="A1523" s="103"/>
    </row>
    <row r="1524" spans="1:1" ht="13.15" customHeight="1" x14ac:dyDescent="0.2">
      <c r="A1524" s="103"/>
    </row>
    <row r="1525" spans="1:1" ht="13.15" customHeight="1" x14ac:dyDescent="0.2">
      <c r="A1525" s="103"/>
    </row>
    <row r="1526" spans="1:1" ht="13.15" customHeight="1" x14ac:dyDescent="0.2">
      <c r="A1526" s="103"/>
    </row>
    <row r="1527" spans="1:1" ht="13.15" customHeight="1" x14ac:dyDescent="0.2">
      <c r="A1527" s="103"/>
    </row>
    <row r="1528" spans="1:1" ht="13.15" customHeight="1" x14ac:dyDescent="0.2">
      <c r="A1528" s="103"/>
    </row>
    <row r="1529" spans="1:1" ht="13.15" customHeight="1" x14ac:dyDescent="0.2">
      <c r="A1529" s="103"/>
    </row>
    <row r="1530" spans="1:1" ht="13.15" customHeight="1" x14ac:dyDescent="0.2">
      <c r="A1530" s="103"/>
    </row>
    <row r="1531" spans="1:1" ht="13.15" customHeight="1" x14ac:dyDescent="0.2">
      <c r="A1531" s="103"/>
    </row>
    <row r="1532" spans="1:1" ht="13.15" customHeight="1" x14ac:dyDescent="0.2">
      <c r="A1532" s="103"/>
    </row>
    <row r="1533" spans="1:1" ht="13.15" customHeight="1" x14ac:dyDescent="0.2">
      <c r="A1533" s="103"/>
    </row>
    <row r="1534" spans="1:1" ht="13.15" customHeight="1" x14ac:dyDescent="0.2">
      <c r="A1534" s="103"/>
    </row>
    <row r="1535" spans="1:1" ht="13.15" customHeight="1" x14ac:dyDescent="0.2">
      <c r="A1535" s="103"/>
    </row>
    <row r="1536" spans="1:1" ht="13.15" customHeight="1" x14ac:dyDescent="0.2">
      <c r="A1536" s="103"/>
    </row>
    <row r="1537" spans="1:1" ht="13.15" customHeight="1" x14ac:dyDescent="0.2">
      <c r="A1537" s="103"/>
    </row>
    <row r="1538" spans="1:1" ht="13.15" customHeight="1" x14ac:dyDescent="0.2">
      <c r="A1538" s="103"/>
    </row>
    <row r="1539" spans="1:1" ht="13.15" customHeight="1" x14ac:dyDescent="0.2">
      <c r="A1539" s="103"/>
    </row>
    <row r="1540" spans="1:1" ht="13.15" customHeight="1" x14ac:dyDescent="0.2">
      <c r="A1540" s="103"/>
    </row>
    <row r="1541" spans="1:1" ht="13.15" customHeight="1" x14ac:dyDescent="0.2">
      <c r="A1541" s="103"/>
    </row>
    <row r="1542" spans="1:1" ht="13.15" customHeight="1" x14ac:dyDescent="0.2">
      <c r="A1542" s="103"/>
    </row>
    <row r="1543" spans="1:1" ht="13.15" customHeight="1" x14ac:dyDescent="0.2">
      <c r="A1543" s="103"/>
    </row>
    <row r="1544" spans="1:1" ht="13.15" customHeight="1" x14ac:dyDescent="0.2">
      <c r="A1544" s="103"/>
    </row>
    <row r="1545" spans="1:1" ht="13.15" customHeight="1" x14ac:dyDescent="0.2">
      <c r="A1545" s="103"/>
    </row>
    <row r="1546" spans="1:1" ht="13.15" customHeight="1" x14ac:dyDescent="0.2">
      <c r="A1546" s="103"/>
    </row>
    <row r="1547" spans="1:1" ht="13.15" customHeight="1" x14ac:dyDescent="0.2">
      <c r="A1547" s="103"/>
    </row>
    <row r="1548" spans="1:1" ht="13.15" customHeight="1" x14ac:dyDescent="0.2">
      <c r="A1548" s="103"/>
    </row>
    <row r="1549" spans="1:1" ht="13.15" customHeight="1" x14ac:dyDescent="0.2">
      <c r="A1549" s="103"/>
    </row>
    <row r="1550" spans="1:1" ht="13.15" customHeight="1" x14ac:dyDescent="0.2">
      <c r="A1550" s="103"/>
    </row>
    <row r="1551" spans="1:1" ht="13.15" customHeight="1" x14ac:dyDescent="0.2">
      <c r="A1551" s="103"/>
    </row>
    <row r="1552" spans="1:1" ht="13.15" customHeight="1" x14ac:dyDescent="0.2">
      <c r="A1552" s="103"/>
    </row>
    <row r="1553" spans="1:1" ht="13.15" customHeight="1" x14ac:dyDescent="0.2">
      <c r="A1553" s="103"/>
    </row>
    <row r="1554" spans="1:1" ht="13.15" customHeight="1" x14ac:dyDescent="0.2">
      <c r="A1554" s="103"/>
    </row>
    <row r="1555" spans="1:1" ht="13.15" customHeight="1" x14ac:dyDescent="0.2">
      <c r="A1555" s="103"/>
    </row>
    <row r="1556" spans="1:1" ht="13.15" customHeight="1" x14ac:dyDescent="0.2">
      <c r="A1556" s="103"/>
    </row>
    <row r="1557" spans="1:1" ht="13.15" customHeight="1" x14ac:dyDescent="0.2">
      <c r="A1557" s="103"/>
    </row>
    <row r="1558" spans="1:1" ht="13.15" customHeight="1" x14ac:dyDescent="0.2">
      <c r="A1558" s="103"/>
    </row>
    <row r="1559" spans="1:1" ht="13.15" customHeight="1" x14ac:dyDescent="0.2">
      <c r="A1559" s="103"/>
    </row>
    <row r="1560" spans="1:1" ht="13.15" customHeight="1" x14ac:dyDescent="0.2">
      <c r="A1560" s="103"/>
    </row>
    <row r="1561" spans="1:1" ht="13.15" customHeight="1" x14ac:dyDescent="0.2">
      <c r="A1561" s="103"/>
    </row>
    <row r="1562" spans="1:1" ht="13.15" customHeight="1" x14ac:dyDescent="0.2">
      <c r="A1562" s="103"/>
    </row>
    <row r="1563" spans="1:1" ht="13.15" customHeight="1" x14ac:dyDescent="0.2">
      <c r="A1563" s="103"/>
    </row>
    <row r="1564" spans="1:1" ht="13.15" customHeight="1" x14ac:dyDescent="0.2">
      <c r="A1564" s="103"/>
    </row>
    <row r="1565" spans="1:1" ht="13.15" customHeight="1" x14ac:dyDescent="0.2">
      <c r="A1565" s="103"/>
    </row>
    <row r="1566" spans="1:1" ht="13.15" customHeight="1" x14ac:dyDescent="0.2">
      <c r="A1566" s="103"/>
    </row>
    <row r="1567" spans="1:1" ht="13.15" customHeight="1" x14ac:dyDescent="0.2">
      <c r="A1567" s="103"/>
    </row>
    <row r="1568" spans="1:1" ht="13.15" customHeight="1" x14ac:dyDescent="0.2">
      <c r="A1568" s="103"/>
    </row>
    <row r="1569" spans="1:1" ht="13.15" customHeight="1" x14ac:dyDescent="0.2">
      <c r="A1569" s="103"/>
    </row>
    <row r="1570" spans="1:1" ht="13.15" customHeight="1" x14ac:dyDescent="0.2">
      <c r="A1570" s="103"/>
    </row>
    <row r="1571" spans="1:1" ht="13.15" customHeight="1" x14ac:dyDescent="0.2">
      <c r="A1571" s="103"/>
    </row>
    <row r="1572" spans="1:1" ht="13.15" customHeight="1" x14ac:dyDescent="0.2">
      <c r="A1572" s="103"/>
    </row>
    <row r="1573" spans="1:1" ht="13.15" customHeight="1" x14ac:dyDescent="0.2">
      <c r="A1573" s="103"/>
    </row>
    <row r="1574" spans="1:1" ht="13.15" customHeight="1" x14ac:dyDescent="0.2">
      <c r="A1574" s="103"/>
    </row>
    <row r="1575" spans="1:1" ht="13.15" customHeight="1" x14ac:dyDescent="0.2">
      <c r="A1575" s="103"/>
    </row>
    <row r="1576" spans="1:1" ht="13.15" customHeight="1" x14ac:dyDescent="0.2">
      <c r="A1576" s="103"/>
    </row>
    <row r="1577" spans="1:1" ht="13.15" customHeight="1" x14ac:dyDescent="0.2">
      <c r="A1577" s="103"/>
    </row>
    <row r="1578" spans="1:1" ht="13.15" customHeight="1" x14ac:dyDescent="0.2">
      <c r="A1578" s="103"/>
    </row>
    <row r="1579" spans="1:1" ht="13.15" customHeight="1" x14ac:dyDescent="0.2">
      <c r="A1579" s="103"/>
    </row>
    <row r="1580" spans="1:1" ht="13.15" customHeight="1" x14ac:dyDescent="0.2">
      <c r="A1580" s="103"/>
    </row>
    <row r="1581" spans="1:1" ht="13.15" customHeight="1" x14ac:dyDescent="0.2">
      <c r="A1581" s="103"/>
    </row>
    <row r="1582" spans="1:1" ht="13.15" customHeight="1" x14ac:dyDescent="0.2">
      <c r="A1582" s="103"/>
    </row>
    <row r="1583" spans="1:1" ht="13.15" customHeight="1" x14ac:dyDescent="0.2">
      <c r="A1583" s="103"/>
    </row>
    <row r="1584" spans="1:1" ht="13.15" customHeight="1" x14ac:dyDescent="0.2">
      <c r="A1584" s="103"/>
    </row>
    <row r="1585" spans="1:1" ht="13.15" customHeight="1" x14ac:dyDescent="0.2">
      <c r="A1585" s="103"/>
    </row>
    <row r="1586" spans="1:1" ht="13.15" customHeight="1" x14ac:dyDescent="0.2">
      <c r="A1586" s="103"/>
    </row>
    <row r="1587" spans="1:1" ht="13.15" customHeight="1" x14ac:dyDescent="0.2">
      <c r="A1587" s="103"/>
    </row>
    <row r="1588" spans="1:1" ht="13.15" customHeight="1" x14ac:dyDescent="0.2">
      <c r="A1588" s="103"/>
    </row>
    <row r="1589" spans="1:1" ht="13.15" customHeight="1" x14ac:dyDescent="0.2">
      <c r="A1589" s="103"/>
    </row>
    <row r="1590" spans="1:1" ht="13.15" customHeight="1" x14ac:dyDescent="0.2">
      <c r="A1590" s="103"/>
    </row>
    <row r="1591" spans="1:1" ht="13.15" customHeight="1" x14ac:dyDescent="0.2">
      <c r="A1591" s="103"/>
    </row>
    <row r="1592" spans="1:1" ht="13.15" customHeight="1" x14ac:dyDescent="0.2">
      <c r="A1592" s="103"/>
    </row>
    <row r="1593" spans="1:1" ht="13.15" customHeight="1" x14ac:dyDescent="0.2">
      <c r="A1593" s="103"/>
    </row>
    <row r="1594" spans="1:1" ht="13.15" customHeight="1" x14ac:dyDescent="0.2">
      <c r="A1594" s="103"/>
    </row>
    <row r="1595" spans="1:1" ht="13.15" customHeight="1" x14ac:dyDescent="0.2">
      <c r="A1595" s="103"/>
    </row>
    <row r="1596" spans="1:1" ht="13.15" customHeight="1" x14ac:dyDescent="0.2">
      <c r="A1596" s="103"/>
    </row>
    <row r="1597" spans="1:1" ht="13.15" customHeight="1" x14ac:dyDescent="0.2">
      <c r="A1597" s="103"/>
    </row>
    <row r="1598" spans="1:1" ht="13.15" customHeight="1" x14ac:dyDescent="0.2">
      <c r="A1598" s="103"/>
    </row>
    <row r="1599" spans="1:1" ht="13.15" customHeight="1" x14ac:dyDescent="0.2">
      <c r="A1599" s="103"/>
    </row>
    <row r="1600" spans="1:1" ht="13.15" customHeight="1" x14ac:dyDescent="0.2">
      <c r="A1600" s="103"/>
    </row>
    <row r="1601" spans="1:1" ht="13.15" customHeight="1" x14ac:dyDescent="0.2">
      <c r="A1601" s="103"/>
    </row>
    <row r="1602" spans="1:1" ht="13.15" customHeight="1" x14ac:dyDescent="0.2">
      <c r="A1602" s="103"/>
    </row>
    <row r="1603" spans="1:1" ht="13.15" customHeight="1" x14ac:dyDescent="0.2">
      <c r="A1603" s="103"/>
    </row>
    <row r="1604" spans="1:1" ht="13.15" customHeight="1" x14ac:dyDescent="0.2">
      <c r="A1604" s="103"/>
    </row>
    <row r="1605" spans="1:1" ht="13.15" customHeight="1" x14ac:dyDescent="0.2">
      <c r="A1605" s="103"/>
    </row>
    <row r="1606" spans="1:1" ht="13.15" customHeight="1" x14ac:dyDescent="0.2">
      <c r="A1606" s="103"/>
    </row>
    <row r="1607" spans="1:1" ht="13.15" customHeight="1" x14ac:dyDescent="0.2">
      <c r="A1607" s="103"/>
    </row>
    <row r="1608" spans="1:1" ht="13.15" customHeight="1" x14ac:dyDescent="0.2">
      <c r="A1608" s="103"/>
    </row>
    <row r="1609" spans="1:1" ht="13.15" customHeight="1" x14ac:dyDescent="0.2">
      <c r="A1609" s="103"/>
    </row>
    <row r="1610" spans="1:1" ht="13.15" customHeight="1" x14ac:dyDescent="0.2">
      <c r="A1610" s="103"/>
    </row>
    <row r="1611" spans="1:1" ht="13.15" customHeight="1" x14ac:dyDescent="0.2">
      <c r="A1611" s="103"/>
    </row>
    <row r="1612" spans="1:1" ht="13.15" customHeight="1" x14ac:dyDescent="0.2">
      <c r="A1612" s="103"/>
    </row>
    <row r="1613" spans="1:1" ht="13.15" customHeight="1" x14ac:dyDescent="0.2">
      <c r="A1613" s="103"/>
    </row>
    <row r="1614" spans="1:1" ht="13.15" customHeight="1" x14ac:dyDescent="0.2">
      <c r="A1614" s="103"/>
    </row>
    <row r="1615" spans="1:1" ht="13.15" customHeight="1" x14ac:dyDescent="0.2">
      <c r="A1615" s="103"/>
    </row>
    <row r="1616" spans="1:1" ht="13.15" customHeight="1" x14ac:dyDescent="0.2">
      <c r="A1616" s="103"/>
    </row>
    <row r="1617" spans="1:1" ht="13.15" customHeight="1" x14ac:dyDescent="0.2">
      <c r="A1617" s="103"/>
    </row>
    <row r="1618" spans="1:1" ht="13.15" customHeight="1" x14ac:dyDescent="0.2">
      <c r="A1618" s="103"/>
    </row>
    <row r="1619" spans="1:1" ht="13.15" customHeight="1" x14ac:dyDescent="0.2">
      <c r="A1619" s="103"/>
    </row>
    <row r="1620" spans="1:1" ht="13.15" customHeight="1" x14ac:dyDescent="0.2">
      <c r="A1620" s="103"/>
    </row>
    <row r="1621" spans="1:1" ht="13.15" customHeight="1" x14ac:dyDescent="0.2">
      <c r="A1621" s="103"/>
    </row>
    <row r="1622" spans="1:1" ht="13.15" customHeight="1" x14ac:dyDescent="0.2">
      <c r="A1622" s="103"/>
    </row>
    <row r="1623" spans="1:1" ht="13.15" customHeight="1" x14ac:dyDescent="0.2">
      <c r="A1623" s="103"/>
    </row>
    <row r="1624" spans="1:1" ht="13.15" customHeight="1" x14ac:dyDescent="0.2">
      <c r="A1624" s="103"/>
    </row>
    <row r="1625" spans="1:1" ht="13.15" customHeight="1" x14ac:dyDescent="0.2">
      <c r="A1625" s="103"/>
    </row>
    <row r="1626" spans="1:1" ht="13.15" customHeight="1" x14ac:dyDescent="0.2">
      <c r="A1626" s="103"/>
    </row>
    <row r="1627" spans="1:1" ht="13.15" customHeight="1" x14ac:dyDescent="0.2">
      <c r="A1627" s="103"/>
    </row>
    <row r="1628" spans="1:1" ht="13.15" customHeight="1" x14ac:dyDescent="0.2">
      <c r="A1628" s="103"/>
    </row>
    <row r="1629" spans="1:1" ht="13.15" customHeight="1" x14ac:dyDescent="0.2">
      <c r="A1629" s="103"/>
    </row>
    <row r="1630" spans="1:1" ht="13.15" customHeight="1" x14ac:dyDescent="0.2">
      <c r="A1630" s="103"/>
    </row>
    <row r="1631" spans="1:1" ht="13.15" customHeight="1" x14ac:dyDescent="0.2">
      <c r="A1631" s="103"/>
    </row>
    <row r="1632" spans="1:1" ht="13.15" customHeight="1" x14ac:dyDescent="0.2">
      <c r="A1632" s="103"/>
    </row>
    <row r="1633" spans="1:1" ht="13.15" customHeight="1" x14ac:dyDescent="0.2">
      <c r="A1633" s="103"/>
    </row>
    <row r="1634" spans="1:1" ht="13.15" customHeight="1" x14ac:dyDescent="0.2">
      <c r="A1634" s="103"/>
    </row>
    <row r="1635" spans="1:1" ht="13.15" customHeight="1" x14ac:dyDescent="0.2">
      <c r="A1635" s="103"/>
    </row>
    <row r="1636" spans="1:1" ht="13.15" customHeight="1" x14ac:dyDescent="0.2">
      <c r="A1636" s="103"/>
    </row>
    <row r="1637" spans="1:1" ht="13.15" customHeight="1" x14ac:dyDescent="0.2">
      <c r="A1637" s="103"/>
    </row>
    <row r="1638" spans="1:1" ht="13.15" customHeight="1" x14ac:dyDescent="0.2">
      <c r="A1638" s="103"/>
    </row>
    <row r="1639" spans="1:1" ht="13.15" customHeight="1" x14ac:dyDescent="0.2">
      <c r="A1639" s="103"/>
    </row>
    <row r="1640" spans="1:1" ht="13.15" customHeight="1" x14ac:dyDescent="0.2">
      <c r="A1640" s="103"/>
    </row>
    <row r="1641" spans="1:1" ht="13.15" customHeight="1" x14ac:dyDescent="0.2">
      <c r="A1641" s="103"/>
    </row>
    <row r="1642" spans="1:1" ht="13.15" customHeight="1" x14ac:dyDescent="0.2">
      <c r="A1642" s="103"/>
    </row>
    <row r="1643" spans="1:1" ht="13.15" customHeight="1" x14ac:dyDescent="0.2">
      <c r="A1643" s="103"/>
    </row>
    <row r="1644" spans="1:1" ht="13.15" customHeight="1" x14ac:dyDescent="0.2">
      <c r="A1644" s="103"/>
    </row>
    <row r="1645" spans="1:1" ht="13.15" customHeight="1" x14ac:dyDescent="0.2">
      <c r="A1645" s="103"/>
    </row>
    <row r="1646" spans="1:1" ht="13.15" customHeight="1" x14ac:dyDescent="0.2">
      <c r="A1646" s="103"/>
    </row>
    <row r="1647" spans="1:1" ht="13.15" customHeight="1" x14ac:dyDescent="0.2">
      <c r="A1647" s="103"/>
    </row>
    <row r="1648" spans="1:1" ht="13.15" customHeight="1" x14ac:dyDescent="0.2">
      <c r="A1648" s="103"/>
    </row>
    <row r="1649" spans="1:1" ht="13.15" customHeight="1" x14ac:dyDescent="0.2">
      <c r="A1649" s="103"/>
    </row>
    <row r="1650" spans="1:1" ht="13.15" customHeight="1" x14ac:dyDescent="0.2">
      <c r="A1650" s="103"/>
    </row>
    <row r="1651" spans="1:1" ht="13.15" customHeight="1" x14ac:dyDescent="0.2">
      <c r="A1651" s="103"/>
    </row>
    <row r="1652" spans="1:1" ht="13.15" customHeight="1" x14ac:dyDescent="0.2">
      <c r="A1652" s="103"/>
    </row>
    <row r="1653" spans="1:1" ht="13.15" customHeight="1" x14ac:dyDescent="0.2">
      <c r="A1653" s="103"/>
    </row>
    <row r="1654" spans="1:1" ht="13.15" customHeight="1" x14ac:dyDescent="0.2">
      <c r="A1654" s="103"/>
    </row>
    <row r="1655" spans="1:1" ht="13.15" customHeight="1" x14ac:dyDescent="0.2">
      <c r="A1655" s="103"/>
    </row>
    <row r="1656" spans="1:1" ht="13.15" customHeight="1" x14ac:dyDescent="0.2">
      <c r="A1656" s="103"/>
    </row>
    <row r="1657" spans="1:1" ht="13.15" customHeight="1" x14ac:dyDescent="0.2">
      <c r="A1657" s="103"/>
    </row>
    <row r="1658" spans="1:1" ht="13.15" customHeight="1" x14ac:dyDescent="0.2">
      <c r="A1658" s="103"/>
    </row>
    <row r="1659" spans="1:1" ht="13.15" customHeight="1" x14ac:dyDescent="0.2">
      <c r="A1659" s="103"/>
    </row>
    <row r="1660" spans="1:1" ht="13.15" customHeight="1" x14ac:dyDescent="0.2">
      <c r="A1660" s="103"/>
    </row>
    <row r="1661" spans="1:1" ht="13.15" customHeight="1" x14ac:dyDescent="0.2">
      <c r="A1661" s="103"/>
    </row>
    <row r="1662" spans="1:1" ht="13.15" customHeight="1" x14ac:dyDescent="0.2">
      <c r="A1662" s="103"/>
    </row>
    <row r="1663" spans="1:1" ht="13.15" customHeight="1" x14ac:dyDescent="0.2">
      <c r="A1663" s="103"/>
    </row>
    <row r="1664" spans="1:1" ht="13.15" customHeight="1" x14ac:dyDescent="0.2">
      <c r="A1664" s="103"/>
    </row>
    <row r="1665" spans="1:1" ht="13.15" customHeight="1" x14ac:dyDescent="0.2">
      <c r="A1665" s="103"/>
    </row>
    <row r="1666" spans="1:1" ht="13.15" customHeight="1" x14ac:dyDescent="0.2">
      <c r="A1666" s="103"/>
    </row>
    <row r="1667" spans="1:1" ht="13.15" customHeight="1" x14ac:dyDescent="0.2">
      <c r="A1667" s="103"/>
    </row>
    <row r="1668" spans="1:1" ht="13.15" customHeight="1" x14ac:dyDescent="0.2">
      <c r="A1668" s="103"/>
    </row>
    <row r="1669" spans="1:1" ht="13.15" customHeight="1" x14ac:dyDescent="0.2">
      <c r="A1669" s="103"/>
    </row>
    <row r="1670" spans="1:1" ht="13.15" customHeight="1" x14ac:dyDescent="0.2">
      <c r="A1670" s="103"/>
    </row>
    <row r="1671" spans="1:1" ht="13.15" customHeight="1" x14ac:dyDescent="0.2">
      <c r="A1671" s="103"/>
    </row>
    <row r="1672" spans="1:1" ht="13.15" customHeight="1" x14ac:dyDescent="0.2">
      <c r="A1672" s="103"/>
    </row>
    <row r="1673" spans="1:1" ht="13.15" customHeight="1" x14ac:dyDescent="0.2">
      <c r="A1673" s="103"/>
    </row>
    <row r="1674" spans="1:1" ht="13.15" customHeight="1" x14ac:dyDescent="0.2">
      <c r="A1674" s="103"/>
    </row>
    <row r="1675" spans="1:1" ht="13.15" customHeight="1" x14ac:dyDescent="0.2">
      <c r="A1675" s="103"/>
    </row>
    <row r="1676" spans="1:1" ht="13.15" customHeight="1" x14ac:dyDescent="0.2">
      <c r="A1676" s="103"/>
    </row>
    <row r="1677" spans="1:1" ht="13.15" customHeight="1" x14ac:dyDescent="0.2">
      <c r="A1677" s="103"/>
    </row>
    <row r="1678" spans="1:1" ht="13.15" customHeight="1" x14ac:dyDescent="0.2">
      <c r="A1678" s="103"/>
    </row>
    <row r="1679" spans="1:1" ht="13.15" customHeight="1" x14ac:dyDescent="0.2">
      <c r="A1679" s="103"/>
    </row>
    <row r="1680" spans="1:1" ht="13.15" customHeight="1" x14ac:dyDescent="0.2">
      <c r="A1680" s="103"/>
    </row>
    <row r="1681" spans="1:1" ht="13.15" customHeight="1" x14ac:dyDescent="0.2">
      <c r="A1681" s="103"/>
    </row>
    <row r="1682" spans="1:1" ht="13.15" customHeight="1" x14ac:dyDescent="0.2">
      <c r="A1682" s="103"/>
    </row>
    <row r="1683" spans="1:1" ht="13.15" customHeight="1" x14ac:dyDescent="0.2">
      <c r="A1683" s="103"/>
    </row>
    <row r="1684" spans="1:1" ht="13.15" customHeight="1" x14ac:dyDescent="0.2">
      <c r="A1684" s="103"/>
    </row>
    <row r="1685" spans="1:1" ht="13.15" customHeight="1" x14ac:dyDescent="0.2">
      <c r="A1685" s="103"/>
    </row>
    <row r="1686" spans="1:1" ht="13.15" customHeight="1" x14ac:dyDescent="0.2">
      <c r="A1686" s="103"/>
    </row>
    <row r="1687" spans="1:1" ht="13.15" customHeight="1" x14ac:dyDescent="0.2">
      <c r="A1687" s="103"/>
    </row>
    <row r="1688" spans="1:1" ht="13.15" customHeight="1" x14ac:dyDescent="0.2">
      <c r="A1688" s="103"/>
    </row>
    <row r="1689" spans="1:1" ht="13.15" customHeight="1" x14ac:dyDescent="0.2">
      <c r="A1689" s="103"/>
    </row>
    <row r="1690" spans="1:1" ht="13.15" customHeight="1" x14ac:dyDescent="0.2">
      <c r="A1690" s="103"/>
    </row>
    <row r="1691" spans="1:1" ht="13.15" customHeight="1" x14ac:dyDescent="0.2">
      <c r="A1691" s="103"/>
    </row>
    <row r="1692" spans="1:1" ht="13.15" customHeight="1" x14ac:dyDescent="0.2">
      <c r="A1692" s="103"/>
    </row>
    <row r="1693" spans="1:1" ht="13.15" customHeight="1" x14ac:dyDescent="0.2">
      <c r="A1693" s="103"/>
    </row>
    <row r="1694" spans="1:1" ht="13.15" customHeight="1" x14ac:dyDescent="0.2">
      <c r="A1694" s="103"/>
    </row>
    <row r="1695" spans="1:1" ht="13.15" customHeight="1" x14ac:dyDescent="0.2">
      <c r="A1695" s="103"/>
    </row>
    <row r="1696" spans="1:1" ht="13.15" customHeight="1" x14ac:dyDescent="0.2">
      <c r="A1696" s="103"/>
    </row>
    <row r="1697" spans="1:1" ht="13.15" customHeight="1" x14ac:dyDescent="0.2">
      <c r="A1697" s="103"/>
    </row>
    <row r="1698" spans="1:1" ht="13.15" customHeight="1" x14ac:dyDescent="0.2">
      <c r="A1698" s="103"/>
    </row>
    <row r="1699" spans="1:1" ht="13.15" customHeight="1" x14ac:dyDescent="0.2">
      <c r="A1699" s="103"/>
    </row>
    <row r="1700" spans="1:1" ht="13.15" customHeight="1" x14ac:dyDescent="0.2">
      <c r="A1700" s="103"/>
    </row>
    <row r="1701" spans="1:1" ht="13.15" customHeight="1" x14ac:dyDescent="0.2">
      <c r="A1701" s="103"/>
    </row>
    <row r="1702" spans="1:1" ht="13.15" customHeight="1" x14ac:dyDescent="0.2">
      <c r="A1702" s="103"/>
    </row>
    <row r="1703" spans="1:1" ht="13.15" customHeight="1" x14ac:dyDescent="0.2">
      <c r="A1703" s="103"/>
    </row>
    <row r="1704" spans="1:1" ht="13.15" customHeight="1" x14ac:dyDescent="0.2">
      <c r="A1704" s="103"/>
    </row>
    <row r="1705" spans="1:1" ht="13.15" customHeight="1" x14ac:dyDescent="0.2">
      <c r="A1705" s="103"/>
    </row>
    <row r="1706" spans="1:1" ht="13.15" customHeight="1" x14ac:dyDescent="0.2">
      <c r="A1706" s="103"/>
    </row>
    <row r="1707" spans="1:1" ht="13.15" customHeight="1" x14ac:dyDescent="0.2">
      <c r="A1707" s="103"/>
    </row>
    <row r="1708" spans="1:1" ht="13.15" customHeight="1" x14ac:dyDescent="0.2">
      <c r="A1708" s="103"/>
    </row>
    <row r="1709" spans="1:1" ht="13.15" customHeight="1" x14ac:dyDescent="0.2">
      <c r="A1709" s="103"/>
    </row>
    <row r="1710" spans="1:1" ht="13.15" customHeight="1" x14ac:dyDescent="0.2">
      <c r="A1710" s="103"/>
    </row>
    <row r="1711" spans="1:1" ht="13.15" customHeight="1" x14ac:dyDescent="0.2">
      <c r="A1711" s="103"/>
    </row>
    <row r="1712" spans="1:1" ht="13.15" customHeight="1" x14ac:dyDescent="0.2">
      <c r="A1712" s="103"/>
    </row>
    <row r="1713" spans="1:1" ht="13.15" customHeight="1" x14ac:dyDescent="0.2">
      <c r="A1713" s="103"/>
    </row>
    <row r="1714" spans="1:1" ht="13.15" customHeight="1" x14ac:dyDescent="0.2">
      <c r="A1714" s="103"/>
    </row>
    <row r="1715" spans="1:1" ht="13.15" customHeight="1" x14ac:dyDescent="0.2">
      <c r="A1715" s="103"/>
    </row>
    <row r="1716" spans="1:1" ht="13.15" customHeight="1" x14ac:dyDescent="0.2">
      <c r="A1716" s="103"/>
    </row>
    <row r="1717" spans="1:1" ht="13.15" customHeight="1" x14ac:dyDescent="0.2">
      <c r="A1717" s="103"/>
    </row>
    <row r="1718" spans="1:1" ht="13.15" customHeight="1" x14ac:dyDescent="0.2">
      <c r="A1718" s="103"/>
    </row>
    <row r="1719" spans="1:1" ht="13.15" customHeight="1" x14ac:dyDescent="0.2">
      <c r="A1719" s="103"/>
    </row>
    <row r="1720" spans="1:1" ht="13.15" customHeight="1" x14ac:dyDescent="0.2">
      <c r="A1720" s="103"/>
    </row>
    <row r="1721" spans="1:1" ht="13.15" customHeight="1" x14ac:dyDescent="0.2">
      <c r="A1721" s="103"/>
    </row>
    <row r="1722" spans="1:1" ht="13.15" customHeight="1" x14ac:dyDescent="0.2">
      <c r="A1722" s="103"/>
    </row>
    <row r="1723" spans="1:1" ht="13.15" customHeight="1" x14ac:dyDescent="0.2">
      <c r="A1723" s="103"/>
    </row>
    <row r="1724" spans="1:1" ht="13.15" customHeight="1" x14ac:dyDescent="0.2">
      <c r="A1724" s="103"/>
    </row>
    <row r="1725" spans="1:1" ht="13.15" customHeight="1" x14ac:dyDescent="0.2">
      <c r="A1725" s="103"/>
    </row>
    <row r="1726" spans="1:1" ht="13.15" customHeight="1" x14ac:dyDescent="0.2">
      <c r="A1726" s="103"/>
    </row>
    <row r="1727" spans="1:1" ht="13.15" customHeight="1" x14ac:dyDescent="0.2">
      <c r="A1727" s="103"/>
    </row>
    <row r="1728" spans="1:1" ht="13.15" customHeight="1" x14ac:dyDescent="0.2">
      <c r="A1728" s="103"/>
    </row>
    <row r="1729" spans="1:1" ht="13.15" customHeight="1" x14ac:dyDescent="0.2">
      <c r="A1729" s="103"/>
    </row>
    <row r="1730" spans="1:1" ht="13.15" customHeight="1" x14ac:dyDescent="0.2">
      <c r="A1730" s="103"/>
    </row>
    <row r="1731" spans="1:1" ht="13.15" customHeight="1" x14ac:dyDescent="0.2">
      <c r="A1731" s="103"/>
    </row>
    <row r="1732" spans="1:1" ht="13.15" customHeight="1" x14ac:dyDescent="0.2">
      <c r="A1732" s="103"/>
    </row>
    <row r="1733" spans="1:1" ht="13.15" customHeight="1" x14ac:dyDescent="0.2">
      <c r="A1733" s="103"/>
    </row>
    <row r="1734" spans="1:1" ht="13.15" customHeight="1" x14ac:dyDescent="0.2">
      <c r="A1734" s="103"/>
    </row>
    <row r="1735" spans="1:1" ht="13.15" customHeight="1" x14ac:dyDescent="0.2">
      <c r="A1735" s="103"/>
    </row>
    <row r="1736" spans="1:1" ht="13.15" customHeight="1" x14ac:dyDescent="0.2">
      <c r="A1736" s="103"/>
    </row>
    <row r="1737" spans="1:1" ht="13.15" customHeight="1" x14ac:dyDescent="0.2">
      <c r="A1737" s="103"/>
    </row>
    <row r="1738" spans="1:1" ht="13.15" customHeight="1" x14ac:dyDescent="0.2">
      <c r="A1738" s="103"/>
    </row>
    <row r="1739" spans="1:1" ht="13.15" customHeight="1" x14ac:dyDescent="0.2">
      <c r="A1739" s="103"/>
    </row>
    <row r="1740" spans="1:1" ht="13.15" customHeight="1" x14ac:dyDescent="0.2">
      <c r="A1740" s="103"/>
    </row>
    <row r="1741" spans="1:1" ht="13.15" customHeight="1" x14ac:dyDescent="0.2">
      <c r="A1741" s="103"/>
    </row>
    <row r="1742" spans="1:1" ht="13.15" customHeight="1" x14ac:dyDescent="0.2">
      <c r="A1742" s="103"/>
    </row>
    <row r="1743" spans="1:1" ht="13.15" customHeight="1" x14ac:dyDescent="0.2">
      <c r="A1743" s="103"/>
    </row>
    <row r="1744" spans="1:1" ht="13.15" customHeight="1" x14ac:dyDescent="0.2">
      <c r="A1744" s="103"/>
    </row>
    <row r="1745" spans="1:1" ht="13.15" customHeight="1" x14ac:dyDescent="0.2">
      <c r="A1745" s="103"/>
    </row>
    <row r="1746" spans="1:1" ht="13.15" customHeight="1" x14ac:dyDescent="0.2">
      <c r="A1746" s="103"/>
    </row>
    <row r="1747" spans="1:1" ht="13.15" customHeight="1" x14ac:dyDescent="0.2">
      <c r="A1747" s="103"/>
    </row>
    <row r="1748" spans="1:1" ht="13.15" customHeight="1" x14ac:dyDescent="0.2">
      <c r="A1748" s="103"/>
    </row>
    <row r="1749" spans="1:1" ht="13.15" customHeight="1" x14ac:dyDescent="0.2">
      <c r="A1749" s="103"/>
    </row>
    <row r="1750" spans="1:1" ht="13.15" customHeight="1" x14ac:dyDescent="0.2">
      <c r="A1750" s="103"/>
    </row>
    <row r="1751" spans="1:1" ht="13.15" customHeight="1" x14ac:dyDescent="0.2">
      <c r="A1751" s="103"/>
    </row>
    <row r="1752" spans="1:1" ht="13.15" customHeight="1" x14ac:dyDescent="0.2">
      <c r="A1752" s="103"/>
    </row>
    <row r="1753" spans="1:1" ht="13.15" customHeight="1" x14ac:dyDescent="0.2">
      <c r="A1753" s="103"/>
    </row>
    <row r="1754" spans="1:1" ht="13.15" customHeight="1" x14ac:dyDescent="0.2">
      <c r="A1754" s="103"/>
    </row>
    <row r="1755" spans="1:1" ht="13.15" customHeight="1" x14ac:dyDescent="0.2">
      <c r="A1755" s="103"/>
    </row>
    <row r="1756" spans="1:1" ht="13.15" customHeight="1" x14ac:dyDescent="0.2">
      <c r="A1756" s="103"/>
    </row>
    <row r="1757" spans="1:1" ht="13.15" customHeight="1" x14ac:dyDescent="0.2">
      <c r="A1757" s="103"/>
    </row>
    <row r="1758" spans="1:1" ht="13.15" customHeight="1" x14ac:dyDescent="0.2">
      <c r="A1758" s="103"/>
    </row>
    <row r="1759" spans="1:1" ht="13.15" customHeight="1" x14ac:dyDescent="0.2">
      <c r="A1759" s="103"/>
    </row>
    <row r="1760" spans="1:1" ht="13.15" customHeight="1" x14ac:dyDescent="0.2">
      <c r="A1760" s="103"/>
    </row>
    <row r="1761" spans="1:1" ht="13.15" customHeight="1" x14ac:dyDescent="0.2">
      <c r="A1761" s="103"/>
    </row>
    <row r="1762" spans="1:1" ht="13.15" customHeight="1" x14ac:dyDescent="0.2">
      <c r="A1762" s="103"/>
    </row>
    <row r="1763" spans="1:1" ht="13.15" customHeight="1" x14ac:dyDescent="0.2">
      <c r="A1763" s="103"/>
    </row>
    <row r="1764" spans="1:1" ht="13.15" customHeight="1" x14ac:dyDescent="0.2">
      <c r="A1764" s="103"/>
    </row>
    <row r="1765" spans="1:1" ht="13.15" customHeight="1" x14ac:dyDescent="0.2">
      <c r="A1765" s="103"/>
    </row>
    <row r="1766" spans="1:1" ht="13.15" customHeight="1" x14ac:dyDescent="0.2">
      <c r="A1766" s="103"/>
    </row>
    <row r="1767" spans="1:1" ht="13.15" customHeight="1" x14ac:dyDescent="0.2">
      <c r="A1767" s="103"/>
    </row>
    <row r="1768" spans="1:1" ht="13.15" customHeight="1" x14ac:dyDescent="0.2">
      <c r="A1768" s="103"/>
    </row>
    <row r="1769" spans="1:1" ht="13.15" customHeight="1" x14ac:dyDescent="0.2">
      <c r="A1769" s="103"/>
    </row>
    <row r="1770" spans="1:1" ht="13.15" customHeight="1" x14ac:dyDescent="0.2">
      <c r="A1770" s="103"/>
    </row>
    <row r="1771" spans="1:1" ht="13.15" customHeight="1" x14ac:dyDescent="0.2">
      <c r="A1771" s="103"/>
    </row>
    <row r="1772" spans="1:1" ht="13.15" customHeight="1" x14ac:dyDescent="0.2">
      <c r="A1772" s="103"/>
    </row>
    <row r="1773" spans="1:1" ht="13.15" customHeight="1" x14ac:dyDescent="0.2">
      <c r="A1773" s="103"/>
    </row>
    <row r="1774" spans="1:1" ht="13.15" customHeight="1" x14ac:dyDescent="0.2">
      <c r="A1774" s="103"/>
    </row>
    <row r="1775" spans="1:1" ht="13.15" customHeight="1" x14ac:dyDescent="0.2">
      <c r="A1775" s="103"/>
    </row>
    <row r="1776" spans="1:1" ht="13.15" customHeight="1" x14ac:dyDescent="0.2">
      <c r="A1776" s="103"/>
    </row>
    <row r="1777" spans="1:1" ht="13.15" customHeight="1" x14ac:dyDescent="0.2">
      <c r="A1777" s="103"/>
    </row>
    <row r="1778" spans="1:1" ht="13.15" customHeight="1" x14ac:dyDescent="0.2">
      <c r="A1778" s="103"/>
    </row>
    <row r="1779" spans="1:1" ht="13.15" customHeight="1" x14ac:dyDescent="0.2">
      <c r="A1779" s="103"/>
    </row>
    <row r="1780" spans="1:1" ht="13.15" customHeight="1" x14ac:dyDescent="0.2">
      <c r="A1780" s="103"/>
    </row>
    <row r="1781" spans="1:1" ht="13.15" customHeight="1" x14ac:dyDescent="0.2">
      <c r="A1781" s="103"/>
    </row>
    <row r="1782" spans="1:1" ht="13.15" customHeight="1" x14ac:dyDescent="0.2">
      <c r="A1782" s="103"/>
    </row>
    <row r="1783" spans="1:1" ht="13.15" customHeight="1" x14ac:dyDescent="0.2">
      <c r="A1783" s="103"/>
    </row>
    <row r="1784" spans="1:1" ht="13.15" customHeight="1" x14ac:dyDescent="0.2">
      <c r="A1784" s="103"/>
    </row>
    <row r="1785" spans="1:1" ht="13.15" customHeight="1" x14ac:dyDescent="0.2">
      <c r="A1785" s="103"/>
    </row>
    <row r="1786" spans="1:1" ht="13.15" customHeight="1" x14ac:dyDescent="0.2">
      <c r="A1786" s="103"/>
    </row>
    <row r="1787" spans="1:1" ht="13.15" customHeight="1" x14ac:dyDescent="0.2">
      <c r="A1787" s="103"/>
    </row>
    <row r="1788" spans="1:1" ht="13.15" customHeight="1" x14ac:dyDescent="0.2">
      <c r="A1788" s="103"/>
    </row>
    <row r="1789" spans="1:1" ht="13.15" customHeight="1" x14ac:dyDescent="0.2">
      <c r="A1789" s="103"/>
    </row>
    <row r="1790" spans="1:1" ht="13.15" customHeight="1" x14ac:dyDescent="0.2">
      <c r="A1790" s="103"/>
    </row>
    <row r="1791" spans="1:1" ht="13.15" customHeight="1" x14ac:dyDescent="0.2">
      <c r="A1791" s="103"/>
    </row>
    <row r="1792" spans="1:1" ht="13.15" customHeight="1" x14ac:dyDescent="0.2">
      <c r="A1792" s="103"/>
    </row>
    <row r="1793" spans="1:1" ht="13.15" customHeight="1" x14ac:dyDescent="0.2">
      <c r="A1793" s="103"/>
    </row>
    <row r="1794" spans="1:1" ht="13.15" customHeight="1" x14ac:dyDescent="0.2">
      <c r="A1794" s="103"/>
    </row>
    <row r="1795" spans="1:1" ht="13.15" customHeight="1" x14ac:dyDescent="0.2">
      <c r="A1795" s="103"/>
    </row>
    <row r="1796" spans="1:1" ht="13.15" customHeight="1" x14ac:dyDescent="0.2">
      <c r="A1796" s="103"/>
    </row>
    <row r="1797" spans="1:1" ht="13.15" customHeight="1" x14ac:dyDescent="0.2">
      <c r="A1797" s="103"/>
    </row>
    <row r="1798" spans="1:1" ht="13.15" customHeight="1" x14ac:dyDescent="0.2">
      <c r="A1798" s="103"/>
    </row>
    <row r="1799" spans="1:1" ht="13.15" customHeight="1" x14ac:dyDescent="0.2">
      <c r="A1799" s="103"/>
    </row>
    <row r="1800" spans="1:1" ht="13.15" customHeight="1" x14ac:dyDescent="0.2">
      <c r="A1800" s="103"/>
    </row>
    <row r="1801" spans="1:1" ht="13.15" customHeight="1" x14ac:dyDescent="0.2">
      <c r="A1801" s="103"/>
    </row>
    <row r="1802" spans="1:1" ht="13.15" customHeight="1" x14ac:dyDescent="0.2">
      <c r="A1802" s="103"/>
    </row>
    <row r="1803" spans="1:1" ht="13.15" customHeight="1" x14ac:dyDescent="0.2">
      <c r="A1803" s="103"/>
    </row>
    <row r="1804" spans="1:1" ht="13.15" customHeight="1" x14ac:dyDescent="0.2">
      <c r="A1804" s="103"/>
    </row>
    <row r="1805" spans="1:1" ht="13.15" customHeight="1" x14ac:dyDescent="0.2">
      <c r="A1805" s="103"/>
    </row>
    <row r="1806" spans="1:1" ht="13.15" customHeight="1" x14ac:dyDescent="0.2">
      <c r="A1806" s="103"/>
    </row>
    <row r="1807" spans="1:1" ht="13.15" customHeight="1" x14ac:dyDescent="0.2">
      <c r="A1807" s="103"/>
    </row>
    <row r="1808" spans="1:1" ht="13.15" customHeight="1" x14ac:dyDescent="0.2">
      <c r="A1808" s="103"/>
    </row>
    <row r="1809" spans="1:1" ht="13.15" customHeight="1" x14ac:dyDescent="0.2">
      <c r="A1809" s="103"/>
    </row>
    <row r="1810" spans="1:1" ht="13.15" customHeight="1" x14ac:dyDescent="0.2">
      <c r="A1810" s="103"/>
    </row>
    <row r="1811" spans="1:1" ht="13.15" customHeight="1" x14ac:dyDescent="0.2">
      <c r="A1811" s="103"/>
    </row>
    <row r="1812" spans="1:1" ht="13.15" customHeight="1" x14ac:dyDescent="0.2">
      <c r="A1812" s="103"/>
    </row>
    <row r="1813" spans="1:1" ht="13.15" customHeight="1" x14ac:dyDescent="0.2">
      <c r="A1813" s="103"/>
    </row>
    <row r="1814" spans="1:1" ht="13.15" customHeight="1" x14ac:dyDescent="0.2">
      <c r="A1814" s="103"/>
    </row>
    <row r="1815" spans="1:1" ht="13.15" customHeight="1" x14ac:dyDescent="0.2">
      <c r="A1815" s="103"/>
    </row>
    <row r="1816" spans="1:1" ht="13.15" customHeight="1" x14ac:dyDescent="0.2">
      <c r="A1816" s="103"/>
    </row>
    <row r="1817" spans="1:1" ht="13.15" customHeight="1" x14ac:dyDescent="0.2">
      <c r="A1817" s="103"/>
    </row>
    <row r="1818" spans="1:1" ht="13.15" customHeight="1" x14ac:dyDescent="0.2">
      <c r="A1818" s="103"/>
    </row>
    <row r="1819" spans="1:1" ht="13.15" customHeight="1" x14ac:dyDescent="0.2">
      <c r="A1819" s="103"/>
    </row>
    <row r="1820" spans="1:1" ht="13.15" customHeight="1" x14ac:dyDescent="0.2">
      <c r="A1820" s="103"/>
    </row>
    <row r="1821" spans="1:1" ht="13.15" customHeight="1" x14ac:dyDescent="0.2">
      <c r="A1821" s="103"/>
    </row>
    <row r="1822" spans="1:1" ht="13.15" customHeight="1" x14ac:dyDescent="0.2">
      <c r="A1822" s="103"/>
    </row>
    <row r="1823" spans="1:1" ht="13.15" customHeight="1" x14ac:dyDescent="0.2">
      <c r="A1823" s="103"/>
    </row>
    <row r="1824" spans="1:1" ht="13.15" customHeight="1" x14ac:dyDescent="0.2">
      <c r="A1824" s="103"/>
    </row>
    <row r="1825" spans="1:1" ht="13.15" customHeight="1" x14ac:dyDescent="0.2">
      <c r="A1825" s="103"/>
    </row>
    <row r="1826" spans="1:1" ht="13.15" customHeight="1" x14ac:dyDescent="0.2">
      <c r="A1826" s="103"/>
    </row>
    <row r="1827" spans="1:1" ht="13.15" customHeight="1" x14ac:dyDescent="0.2">
      <c r="A1827" s="103"/>
    </row>
    <row r="1828" spans="1:1" ht="13.15" customHeight="1" x14ac:dyDescent="0.2">
      <c r="A1828" s="103"/>
    </row>
    <row r="1829" spans="1:1" ht="13.15" customHeight="1" x14ac:dyDescent="0.2">
      <c r="A1829" s="103"/>
    </row>
    <row r="1830" spans="1:1" ht="13.15" customHeight="1" x14ac:dyDescent="0.2">
      <c r="A1830" s="103"/>
    </row>
    <row r="1831" spans="1:1" ht="13.15" customHeight="1" x14ac:dyDescent="0.2">
      <c r="A1831" s="103"/>
    </row>
    <row r="1832" spans="1:1" ht="13.15" customHeight="1" x14ac:dyDescent="0.2">
      <c r="A1832" s="103"/>
    </row>
    <row r="1833" spans="1:1" ht="13.15" customHeight="1" x14ac:dyDescent="0.2">
      <c r="A1833" s="103"/>
    </row>
    <row r="1834" spans="1:1" ht="13.15" customHeight="1" x14ac:dyDescent="0.2">
      <c r="A1834" s="103"/>
    </row>
    <row r="1835" spans="1:1" ht="13.15" customHeight="1" x14ac:dyDescent="0.2">
      <c r="A1835" s="103"/>
    </row>
    <row r="1836" spans="1:1" ht="13.15" customHeight="1" x14ac:dyDescent="0.2">
      <c r="A1836" s="103"/>
    </row>
    <row r="1837" spans="1:1" ht="13.15" customHeight="1" x14ac:dyDescent="0.2">
      <c r="A1837" s="103"/>
    </row>
    <row r="1838" spans="1:1" ht="13.15" customHeight="1" x14ac:dyDescent="0.2">
      <c r="A1838" s="103"/>
    </row>
    <row r="1839" spans="1:1" ht="13.15" customHeight="1" x14ac:dyDescent="0.2">
      <c r="A1839" s="103"/>
    </row>
    <row r="1840" spans="1:1" ht="13.15" customHeight="1" x14ac:dyDescent="0.2">
      <c r="A1840" s="103"/>
    </row>
    <row r="1841" spans="1:1" ht="13.15" customHeight="1" x14ac:dyDescent="0.2">
      <c r="A1841" s="103"/>
    </row>
    <row r="1842" spans="1:1" ht="13.15" customHeight="1" x14ac:dyDescent="0.2">
      <c r="A1842" s="103"/>
    </row>
    <row r="1843" spans="1:1" ht="13.15" customHeight="1" x14ac:dyDescent="0.2">
      <c r="A1843" s="103"/>
    </row>
    <row r="1844" spans="1:1" ht="13.15" customHeight="1" x14ac:dyDescent="0.2">
      <c r="A1844" s="103"/>
    </row>
    <row r="1845" spans="1:1" ht="13.15" customHeight="1" x14ac:dyDescent="0.2">
      <c r="A1845" s="103"/>
    </row>
    <row r="1846" spans="1:1" ht="13.15" customHeight="1" x14ac:dyDescent="0.2">
      <c r="A1846" s="103"/>
    </row>
    <row r="1847" spans="1:1" ht="13.15" customHeight="1" x14ac:dyDescent="0.2">
      <c r="A1847" s="103"/>
    </row>
    <row r="1848" spans="1:1" ht="13.15" customHeight="1" x14ac:dyDescent="0.2">
      <c r="A1848" s="103"/>
    </row>
    <row r="1849" spans="1:1" ht="13.15" customHeight="1" x14ac:dyDescent="0.2">
      <c r="A1849" s="103"/>
    </row>
    <row r="1850" spans="1:1" ht="13.15" customHeight="1" x14ac:dyDescent="0.2">
      <c r="A1850" s="103"/>
    </row>
    <row r="1851" spans="1:1" ht="13.15" customHeight="1" x14ac:dyDescent="0.2">
      <c r="A1851" s="103"/>
    </row>
    <row r="1852" spans="1:1" ht="13.15" customHeight="1" x14ac:dyDescent="0.2">
      <c r="A1852" s="103"/>
    </row>
    <row r="1853" spans="1:1" ht="13.15" customHeight="1" x14ac:dyDescent="0.2">
      <c r="A1853" s="103"/>
    </row>
    <row r="1854" spans="1:1" ht="13.15" customHeight="1" x14ac:dyDescent="0.2">
      <c r="A1854" s="103"/>
    </row>
    <row r="1855" spans="1:1" ht="13.15" customHeight="1" x14ac:dyDescent="0.2">
      <c r="A1855" s="103"/>
    </row>
    <row r="1856" spans="1:1" ht="13.15" customHeight="1" x14ac:dyDescent="0.2">
      <c r="A1856" s="103"/>
    </row>
    <row r="1857" spans="1:1" ht="13.15" customHeight="1" x14ac:dyDescent="0.2">
      <c r="A1857" s="103"/>
    </row>
    <row r="1858" spans="1:1" ht="13.15" customHeight="1" x14ac:dyDescent="0.2">
      <c r="A1858" s="103"/>
    </row>
    <row r="1859" spans="1:1" ht="13.15" customHeight="1" x14ac:dyDescent="0.2">
      <c r="A1859" s="103"/>
    </row>
    <row r="1860" spans="1:1" ht="13.15" customHeight="1" x14ac:dyDescent="0.2">
      <c r="A1860" s="103"/>
    </row>
    <row r="1861" spans="1:1" ht="13.15" customHeight="1" x14ac:dyDescent="0.2">
      <c r="A1861" s="103"/>
    </row>
    <row r="1862" spans="1:1" ht="13.15" customHeight="1" x14ac:dyDescent="0.2">
      <c r="A1862" s="103"/>
    </row>
    <row r="1863" spans="1:1" ht="13.15" customHeight="1" x14ac:dyDescent="0.2">
      <c r="A1863" s="103"/>
    </row>
    <row r="1864" spans="1:1" ht="13.15" customHeight="1" x14ac:dyDescent="0.2">
      <c r="A1864" s="103"/>
    </row>
    <row r="1865" spans="1:1" ht="13.15" customHeight="1" x14ac:dyDescent="0.2">
      <c r="A1865" s="103"/>
    </row>
    <row r="1866" spans="1:1" ht="13.15" customHeight="1" x14ac:dyDescent="0.2">
      <c r="A1866" s="103"/>
    </row>
    <row r="1867" spans="1:1" ht="13.15" customHeight="1" x14ac:dyDescent="0.2">
      <c r="A1867" s="103"/>
    </row>
    <row r="1868" spans="1:1" ht="13.15" customHeight="1" x14ac:dyDescent="0.2">
      <c r="A1868" s="103"/>
    </row>
    <row r="1869" spans="1:1" ht="13.15" customHeight="1" x14ac:dyDescent="0.2">
      <c r="A1869" s="103"/>
    </row>
    <row r="1870" spans="1:1" ht="13.15" customHeight="1" x14ac:dyDescent="0.2">
      <c r="A1870" s="103"/>
    </row>
    <row r="1871" spans="1:1" ht="13.15" customHeight="1" x14ac:dyDescent="0.2">
      <c r="A1871" s="103"/>
    </row>
    <row r="1872" spans="1:1" ht="13.15" customHeight="1" x14ac:dyDescent="0.2">
      <c r="A1872" s="103"/>
    </row>
    <row r="1873" spans="1:1" ht="13.15" customHeight="1" x14ac:dyDescent="0.2">
      <c r="A1873" s="103"/>
    </row>
    <row r="1874" spans="1:1" ht="13.15" customHeight="1" x14ac:dyDescent="0.2">
      <c r="A1874" s="103"/>
    </row>
    <row r="1875" spans="1:1" ht="13.15" customHeight="1" x14ac:dyDescent="0.2">
      <c r="A1875" s="103"/>
    </row>
    <row r="1876" spans="1:1" ht="13.15" customHeight="1" x14ac:dyDescent="0.2">
      <c r="A1876" s="103"/>
    </row>
    <row r="1877" spans="1:1" ht="13.15" customHeight="1" x14ac:dyDescent="0.2">
      <c r="A1877" s="103"/>
    </row>
    <row r="1878" spans="1:1" ht="13.15" customHeight="1" x14ac:dyDescent="0.2">
      <c r="A1878" s="103"/>
    </row>
    <row r="1879" spans="1:1" ht="13.15" customHeight="1" x14ac:dyDescent="0.2">
      <c r="A1879" s="103"/>
    </row>
    <row r="1880" spans="1:1" ht="13.15" customHeight="1" x14ac:dyDescent="0.2">
      <c r="A1880" s="103"/>
    </row>
    <row r="1881" spans="1:1" ht="13.15" customHeight="1" x14ac:dyDescent="0.2">
      <c r="A1881" s="103"/>
    </row>
    <row r="1882" spans="1:1" ht="13.15" customHeight="1" x14ac:dyDescent="0.2">
      <c r="A1882" s="103"/>
    </row>
    <row r="1883" spans="1:1" ht="13.15" customHeight="1" x14ac:dyDescent="0.2">
      <c r="A1883" s="103"/>
    </row>
    <row r="1884" spans="1:1" ht="13.15" customHeight="1" x14ac:dyDescent="0.2">
      <c r="A1884" s="103"/>
    </row>
    <row r="1885" spans="1:1" ht="13.15" customHeight="1" x14ac:dyDescent="0.2">
      <c r="A1885" s="103"/>
    </row>
    <row r="1886" spans="1:1" ht="13.15" customHeight="1" x14ac:dyDescent="0.2">
      <c r="A1886" s="103"/>
    </row>
    <row r="1887" spans="1:1" ht="13.15" customHeight="1" x14ac:dyDescent="0.2">
      <c r="A1887" s="103"/>
    </row>
    <row r="1888" spans="1:1" ht="13.15" customHeight="1" x14ac:dyDescent="0.2">
      <c r="A1888" s="103"/>
    </row>
    <row r="1889" spans="1:1" ht="13.15" customHeight="1" x14ac:dyDescent="0.2">
      <c r="A1889" s="103"/>
    </row>
    <row r="1890" spans="1:1" ht="13.15" customHeight="1" x14ac:dyDescent="0.2">
      <c r="A1890" s="103"/>
    </row>
    <row r="1891" spans="1:1" ht="13.15" customHeight="1" x14ac:dyDescent="0.2">
      <c r="A1891" s="103"/>
    </row>
    <row r="1892" spans="1:1" ht="13.15" customHeight="1" x14ac:dyDescent="0.2">
      <c r="A1892" s="103"/>
    </row>
    <row r="1893" spans="1:1" ht="13.15" customHeight="1" x14ac:dyDescent="0.2">
      <c r="A1893" s="103"/>
    </row>
    <row r="1894" spans="1:1" ht="13.15" customHeight="1" x14ac:dyDescent="0.2">
      <c r="A1894" s="103"/>
    </row>
    <row r="1895" spans="1:1" ht="13.15" customHeight="1" x14ac:dyDescent="0.2">
      <c r="A1895" s="103"/>
    </row>
    <row r="1896" spans="1:1" ht="13.15" customHeight="1" x14ac:dyDescent="0.2">
      <c r="A1896" s="103"/>
    </row>
    <row r="1897" spans="1:1" ht="13.15" customHeight="1" x14ac:dyDescent="0.2">
      <c r="A1897" s="103"/>
    </row>
    <row r="1898" spans="1:1" ht="13.15" customHeight="1" x14ac:dyDescent="0.2">
      <c r="A1898" s="103"/>
    </row>
    <row r="1899" spans="1:1" ht="13.15" customHeight="1" x14ac:dyDescent="0.2">
      <c r="A1899" s="103"/>
    </row>
    <row r="1900" spans="1:1" ht="13.15" customHeight="1" x14ac:dyDescent="0.2">
      <c r="A1900" s="103"/>
    </row>
    <row r="1901" spans="1:1" ht="13.15" customHeight="1" x14ac:dyDescent="0.2">
      <c r="A1901" s="103"/>
    </row>
    <row r="1902" spans="1:1" ht="13.15" customHeight="1" x14ac:dyDescent="0.2">
      <c r="A1902" s="103"/>
    </row>
    <row r="1903" spans="1:1" ht="13.15" customHeight="1" x14ac:dyDescent="0.2">
      <c r="A1903" s="103"/>
    </row>
    <row r="1904" spans="1:1" ht="13.15" customHeight="1" x14ac:dyDescent="0.2">
      <c r="A1904" s="103"/>
    </row>
    <row r="1905" spans="1:1" ht="13.15" customHeight="1" x14ac:dyDescent="0.2">
      <c r="A1905" s="103"/>
    </row>
    <row r="1906" spans="1:1" ht="13.15" customHeight="1" x14ac:dyDescent="0.2">
      <c r="A1906" s="103"/>
    </row>
    <row r="1907" spans="1:1" ht="13.15" customHeight="1" x14ac:dyDescent="0.2">
      <c r="A1907" s="103"/>
    </row>
    <row r="1908" spans="1:1" ht="13.15" customHeight="1" x14ac:dyDescent="0.2">
      <c r="A1908" s="103"/>
    </row>
    <row r="1909" spans="1:1" ht="13.15" customHeight="1" x14ac:dyDescent="0.2">
      <c r="A1909" s="103"/>
    </row>
    <row r="1910" spans="1:1" ht="13.15" customHeight="1" x14ac:dyDescent="0.2">
      <c r="A1910" s="103"/>
    </row>
    <row r="1911" spans="1:1" ht="13.15" customHeight="1" x14ac:dyDescent="0.2">
      <c r="A1911" s="103"/>
    </row>
    <row r="1912" spans="1:1" ht="13.15" customHeight="1" x14ac:dyDescent="0.2">
      <c r="A1912" s="103"/>
    </row>
    <row r="1913" spans="1:1" ht="13.15" customHeight="1" x14ac:dyDescent="0.2">
      <c r="A1913" s="103"/>
    </row>
    <row r="1914" spans="1:1" ht="13.15" customHeight="1" x14ac:dyDescent="0.2">
      <c r="A1914" s="103"/>
    </row>
    <row r="1915" spans="1:1" ht="13.15" customHeight="1" x14ac:dyDescent="0.2">
      <c r="A1915" s="103"/>
    </row>
    <row r="1916" spans="1:1" ht="13.15" customHeight="1" x14ac:dyDescent="0.2">
      <c r="A1916" s="103"/>
    </row>
    <row r="1917" spans="1:1" ht="13.15" customHeight="1" x14ac:dyDescent="0.2">
      <c r="A1917" s="103"/>
    </row>
    <row r="1918" spans="1:1" ht="13.15" customHeight="1" x14ac:dyDescent="0.2">
      <c r="A1918" s="103"/>
    </row>
    <row r="1919" spans="1:1" ht="13.15" customHeight="1" x14ac:dyDescent="0.2">
      <c r="A1919" s="103"/>
    </row>
    <row r="1920" spans="1:1" ht="13.15" customHeight="1" x14ac:dyDescent="0.2">
      <c r="A1920" s="103"/>
    </row>
    <row r="1921" spans="1:1" ht="13.15" customHeight="1" x14ac:dyDescent="0.2">
      <c r="A1921" s="103"/>
    </row>
    <row r="1922" spans="1:1" ht="13.15" customHeight="1" x14ac:dyDescent="0.2">
      <c r="A1922" s="103"/>
    </row>
    <row r="1923" spans="1:1" ht="13.15" customHeight="1" x14ac:dyDescent="0.2">
      <c r="A1923" s="103"/>
    </row>
    <row r="1924" spans="1:1" ht="13.15" customHeight="1" x14ac:dyDescent="0.2">
      <c r="A1924" s="103"/>
    </row>
    <row r="1925" spans="1:1" ht="13.15" customHeight="1" x14ac:dyDescent="0.2">
      <c r="A1925" s="103"/>
    </row>
    <row r="1926" spans="1:1" ht="13.15" customHeight="1" x14ac:dyDescent="0.2">
      <c r="A1926" s="103"/>
    </row>
    <row r="1927" spans="1:1" ht="13.15" customHeight="1" x14ac:dyDescent="0.2">
      <c r="A1927" s="103"/>
    </row>
    <row r="1928" spans="1:1" ht="13.15" customHeight="1" x14ac:dyDescent="0.2">
      <c r="A1928" s="103"/>
    </row>
    <row r="1929" spans="1:1" ht="13.15" customHeight="1" x14ac:dyDescent="0.2">
      <c r="A1929" s="103"/>
    </row>
    <row r="1930" spans="1:1" ht="13.15" customHeight="1" x14ac:dyDescent="0.2">
      <c r="A1930" s="103"/>
    </row>
    <row r="1931" spans="1:1" ht="13.15" customHeight="1" x14ac:dyDescent="0.2">
      <c r="A1931" s="103"/>
    </row>
    <row r="1932" spans="1:1" ht="13.15" customHeight="1" x14ac:dyDescent="0.2">
      <c r="A1932" s="103"/>
    </row>
    <row r="1933" spans="1:1" ht="13.15" customHeight="1" x14ac:dyDescent="0.2">
      <c r="A1933" s="103"/>
    </row>
    <row r="1934" spans="1:1" ht="13.15" customHeight="1" x14ac:dyDescent="0.2">
      <c r="A1934" s="103"/>
    </row>
    <row r="1935" spans="1:1" ht="13.15" customHeight="1" x14ac:dyDescent="0.2">
      <c r="A1935" s="103"/>
    </row>
    <row r="1936" spans="1:1" ht="13.15" customHeight="1" x14ac:dyDescent="0.2">
      <c r="A1936" s="103"/>
    </row>
    <row r="1937" spans="1:1" ht="13.15" customHeight="1" x14ac:dyDescent="0.2">
      <c r="A1937" s="103"/>
    </row>
    <row r="1938" spans="1:1" ht="13.15" customHeight="1" x14ac:dyDescent="0.2">
      <c r="A1938" s="103"/>
    </row>
    <row r="1939" spans="1:1" ht="13.15" customHeight="1" x14ac:dyDescent="0.2">
      <c r="A1939" s="103"/>
    </row>
    <row r="1940" spans="1:1" ht="13.15" customHeight="1" x14ac:dyDescent="0.2">
      <c r="A1940" s="103"/>
    </row>
    <row r="1941" spans="1:1" ht="13.15" customHeight="1" x14ac:dyDescent="0.2">
      <c r="A1941" s="103"/>
    </row>
    <row r="1942" spans="1:1" ht="13.15" customHeight="1" x14ac:dyDescent="0.2">
      <c r="A1942" s="103"/>
    </row>
    <row r="1943" spans="1:1" ht="13.15" customHeight="1" x14ac:dyDescent="0.2">
      <c r="A1943" s="103"/>
    </row>
    <row r="1944" spans="1:1" ht="13.15" customHeight="1" x14ac:dyDescent="0.2">
      <c r="A1944" s="103"/>
    </row>
    <row r="1945" spans="1:1" ht="13.15" customHeight="1" x14ac:dyDescent="0.2">
      <c r="A1945" s="103"/>
    </row>
    <row r="1946" spans="1:1" ht="13.15" customHeight="1" x14ac:dyDescent="0.2">
      <c r="A1946" s="103"/>
    </row>
    <row r="1947" spans="1:1" ht="13.15" customHeight="1" x14ac:dyDescent="0.2">
      <c r="A1947" s="103"/>
    </row>
    <row r="1948" spans="1:1" ht="13.15" customHeight="1" x14ac:dyDescent="0.2">
      <c r="A1948" s="103"/>
    </row>
    <row r="1949" spans="1:1" ht="13.15" customHeight="1" x14ac:dyDescent="0.2">
      <c r="A1949" s="103"/>
    </row>
    <row r="1950" spans="1:1" ht="13.15" customHeight="1" x14ac:dyDescent="0.2">
      <c r="A1950" s="103"/>
    </row>
    <row r="1951" spans="1:1" ht="13.15" customHeight="1" x14ac:dyDescent="0.2">
      <c r="A1951" s="103"/>
    </row>
    <row r="1952" spans="1:1" ht="13.15" customHeight="1" x14ac:dyDescent="0.2">
      <c r="A1952" s="103"/>
    </row>
    <row r="1953" spans="1:1" ht="13.15" customHeight="1" x14ac:dyDescent="0.2">
      <c r="A1953" s="103"/>
    </row>
    <row r="1954" spans="1:1" ht="13.15" customHeight="1" x14ac:dyDescent="0.2">
      <c r="A1954" s="103"/>
    </row>
    <row r="1955" spans="1:1" ht="13.15" customHeight="1" x14ac:dyDescent="0.2">
      <c r="A1955" s="103"/>
    </row>
    <row r="1956" spans="1:1" ht="13.15" customHeight="1" x14ac:dyDescent="0.2">
      <c r="A1956" s="103"/>
    </row>
    <row r="1957" spans="1:1" ht="13.15" customHeight="1" x14ac:dyDescent="0.2">
      <c r="A1957" s="103"/>
    </row>
    <row r="1958" spans="1:1" ht="13.15" customHeight="1" x14ac:dyDescent="0.2">
      <c r="A1958" s="103"/>
    </row>
    <row r="1959" spans="1:1" ht="13.15" customHeight="1" x14ac:dyDescent="0.2">
      <c r="A1959" s="103"/>
    </row>
    <row r="1960" spans="1:1" ht="13.15" customHeight="1" x14ac:dyDescent="0.2">
      <c r="A1960" s="103"/>
    </row>
    <row r="1961" spans="1:1" ht="13.15" customHeight="1" x14ac:dyDescent="0.2">
      <c r="A1961" s="103"/>
    </row>
    <row r="1962" spans="1:1" ht="13.15" customHeight="1" x14ac:dyDescent="0.2">
      <c r="A1962" s="103"/>
    </row>
    <row r="1963" spans="1:1" ht="13.15" customHeight="1" x14ac:dyDescent="0.2">
      <c r="A1963" s="103"/>
    </row>
    <row r="1964" spans="1:1" ht="13.15" customHeight="1" x14ac:dyDescent="0.2">
      <c r="A1964" s="103"/>
    </row>
    <row r="1965" spans="1:1" ht="13.15" customHeight="1" x14ac:dyDescent="0.2">
      <c r="A1965" s="103"/>
    </row>
    <row r="1966" spans="1:1" ht="13.15" customHeight="1" x14ac:dyDescent="0.2">
      <c r="A1966" s="103"/>
    </row>
    <row r="1967" spans="1:1" ht="13.15" customHeight="1" x14ac:dyDescent="0.2">
      <c r="A1967" s="103"/>
    </row>
    <row r="1968" spans="1:1" ht="13.15" customHeight="1" x14ac:dyDescent="0.2">
      <c r="A1968" s="103"/>
    </row>
    <row r="1969" spans="1:1" ht="13.15" customHeight="1" x14ac:dyDescent="0.2">
      <c r="A1969" s="103"/>
    </row>
    <row r="1970" spans="1:1" ht="13.15" customHeight="1" x14ac:dyDescent="0.2">
      <c r="A1970" s="103"/>
    </row>
    <row r="1971" spans="1:1" ht="13.15" customHeight="1" x14ac:dyDescent="0.2">
      <c r="A1971" s="103"/>
    </row>
    <row r="1972" spans="1:1" ht="13.15" customHeight="1" x14ac:dyDescent="0.2">
      <c r="A1972" s="103"/>
    </row>
    <row r="1973" spans="1:1" ht="13.15" customHeight="1" x14ac:dyDescent="0.2">
      <c r="A1973" s="103"/>
    </row>
    <row r="1974" spans="1:1" ht="13.15" customHeight="1" x14ac:dyDescent="0.2">
      <c r="A1974" s="103"/>
    </row>
    <row r="1975" spans="1:1" ht="13.15" customHeight="1" x14ac:dyDescent="0.2">
      <c r="A1975" s="103"/>
    </row>
    <row r="1976" spans="1:1" ht="13.15" customHeight="1" x14ac:dyDescent="0.2">
      <c r="A1976" s="103"/>
    </row>
    <row r="1977" spans="1:1" ht="13.15" customHeight="1" x14ac:dyDescent="0.2">
      <c r="A1977" s="103"/>
    </row>
    <row r="1978" spans="1:1" ht="13.15" customHeight="1" x14ac:dyDescent="0.2">
      <c r="A1978" s="103"/>
    </row>
    <row r="1979" spans="1:1" ht="13.15" customHeight="1" x14ac:dyDescent="0.2">
      <c r="A1979" s="103"/>
    </row>
    <row r="1980" spans="1:1" ht="13.15" customHeight="1" x14ac:dyDescent="0.2">
      <c r="A1980" s="103"/>
    </row>
    <row r="1981" spans="1:1" ht="13.15" customHeight="1" x14ac:dyDescent="0.2">
      <c r="A1981" s="103"/>
    </row>
    <row r="1982" spans="1:1" ht="13.15" customHeight="1" x14ac:dyDescent="0.2">
      <c r="A1982" s="103"/>
    </row>
    <row r="1983" spans="1:1" ht="13.15" customHeight="1" x14ac:dyDescent="0.2">
      <c r="A1983" s="103"/>
    </row>
    <row r="1984" spans="1:1" ht="13.15" customHeight="1" x14ac:dyDescent="0.2">
      <c r="A1984" s="103"/>
    </row>
    <row r="1985" spans="1:1" ht="13.15" customHeight="1" x14ac:dyDescent="0.2">
      <c r="A1985" s="103"/>
    </row>
    <row r="1986" spans="1:1" ht="13.15" customHeight="1" x14ac:dyDescent="0.2">
      <c r="A1986" s="103"/>
    </row>
    <row r="1987" spans="1:1" ht="13.15" customHeight="1" x14ac:dyDescent="0.2">
      <c r="A1987" s="103"/>
    </row>
    <row r="1988" spans="1:1" ht="13.15" customHeight="1" x14ac:dyDescent="0.2">
      <c r="A1988" s="103"/>
    </row>
    <row r="1989" spans="1:1" ht="13.15" customHeight="1" x14ac:dyDescent="0.2">
      <c r="A1989" s="103"/>
    </row>
    <row r="1990" spans="1:1" ht="13.15" customHeight="1" x14ac:dyDescent="0.2">
      <c r="A1990" s="103"/>
    </row>
    <row r="1991" spans="1:1" ht="13.15" customHeight="1" x14ac:dyDescent="0.2">
      <c r="A1991" s="103"/>
    </row>
    <row r="1992" spans="1:1" ht="13.15" customHeight="1" x14ac:dyDescent="0.2">
      <c r="A1992" s="103"/>
    </row>
    <row r="1993" spans="1:1" ht="13.15" customHeight="1" x14ac:dyDescent="0.2">
      <c r="A1993" s="103"/>
    </row>
    <row r="1994" spans="1:1" ht="13.15" customHeight="1" x14ac:dyDescent="0.2">
      <c r="A1994" s="103"/>
    </row>
    <row r="1995" spans="1:1" ht="13.15" customHeight="1" x14ac:dyDescent="0.2">
      <c r="A1995" s="103"/>
    </row>
    <row r="1996" spans="1:1" ht="13.15" customHeight="1" x14ac:dyDescent="0.2">
      <c r="A1996" s="103"/>
    </row>
    <row r="1997" spans="1:1" ht="13.15" customHeight="1" x14ac:dyDescent="0.2">
      <c r="A1997" s="103"/>
    </row>
    <row r="1998" spans="1:1" ht="13.15" customHeight="1" x14ac:dyDescent="0.2">
      <c r="A1998" s="103"/>
    </row>
    <row r="1999" spans="1:1" ht="13.15" customHeight="1" x14ac:dyDescent="0.2">
      <c r="A1999" s="103"/>
    </row>
    <row r="2000" spans="1:1" ht="13.15" customHeight="1" x14ac:dyDescent="0.2">
      <c r="A2000" s="103"/>
    </row>
    <row r="2001" spans="1:1" ht="13.15" customHeight="1" x14ac:dyDescent="0.2">
      <c r="A2001" s="103"/>
    </row>
    <row r="2002" spans="1:1" ht="13.15" customHeight="1" x14ac:dyDescent="0.2">
      <c r="A2002" s="103"/>
    </row>
    <row r="2003" spans="1:1" ht="13.15" customHeight="1" x14ac:dyDescent="0.2">
      <c r="A2003" s="103"/>
    </row>
    <row r="2004" spans="1:1" ht="13.15" customHeight="1" x14ac:dyDescent="0.2">
      <c r="A2004" s="103"/>
    </row>
    <row r="2005" spans="1:1" ht="13.15" customHeight="1" x14ac:dyDescent="0.2">
      <c r="A2005" s="103"/>
    </row>
    <row r="2006" spans="1:1" ht="13.15" customHeight="1" x14ac:dyDescent="0.2">
      <c r="A2006" s="103"/>
    </row>
    <row r="2007" spans="1:1" ht="13.15" customHeight="1" x14ac:dyDescent="0.2">
      <c r="A2007" s="103"/>
    </row>
    <row r="2008" spans="1:1" ht="13.15" customHeight="1" x14ac:dyDescent="0.2">
      <c r="A2008" s="103"/>
    </row>
    <row r="2009" spans="1:1" ht="13.15" customHeight="1" x14ac:dyDescent="0.2">
      <c r="A2009" s="103"/>
    </row>
    <row r="2010" spans="1:1" ht="13.15" customHeight="1" x14ac:dyDescent="0.2">
      <c r="A2010" s="103"/>
    </row>
    <row r="2011" spans="1:1" ht="13.15" customHeight="1" x14ac:dyDescent="0.2">
      <c r="A2011" s="103"/>
    </row>
    <row r="2012" spans="1:1" ht="13.15" customHeight="1" x14ac:dyDescent="0.2">
      <c r="A2012" s="103"/>
    </row>
    <row r="2013" spans="1:1" ht="13.15" customHeight="1" x14ac:dyDescent="0.2">
      <c r="A2013" s="103"/>
    </row>
    <row r="2014" spans="1:1" ht="13.15" customHeight="1" x14ac:dyDescent="0.2">
      <c r="A2014" s="103"/>
    </row>
    <row r="2015" spans="1:1" ht="13.15" customHeight="1" x14ac:dyDescent="0.2">
      <c r="A2015" s="103"/>
    </row>
    <row r="2016" spans="1:1" ht="13.15" customHeight="1" x14ac:dyDescent="0.2">
      <c r="A2016" s="103"/>
    </row>
    <row r="2017" spans="1:1" ht="13.15" customHeight="1" x14ac:dyDescent="0.2">
      <c r="A2017" s="103"/>
    </row>
    <row r="2018" spans="1:1" ht="13.15" customHeight="1" x14ac:dyDescent="0.2">
      <c r="A2018" s="103"/>
    </row>
    <row r="2019" spans="1:1" ht="13.15" customHeight="1" x14ac:dyDescent="0.2">
      <c r="A2019" s="103"/>
    </row>
    <row r="2020" spans="1:1" ht="13.15" customHeight="1" x14ac:dyDescent="0.2">
      <c r="A2020" s="103"/>
    </row>
    <row r="2021" spans="1:1" ht="13.15" customHeight="1" x14ac:dyDescent="0.2">
      <c r="A2021" s="103"/>
    </row>
    <row r="2022" spans="1:1" ht="13.15" customHeight="1" x14ac:dyDescent="0.2">
      <c r="A2022" s="103"/>
    </row>
    <row r="2023" spans="1:1" ht="13.15" customHeight="1" x14ac:dyDescent="0.2">
      <c r="A2023" s="103"/>
    </row>
    <row r="2024" spans="1:1" ht="13.15" customHeight="1" x14ac:dyDescent="0.2">
      <c r="A2024" s="103"/>
    </row>
    <row r="2025" spans="1:1" ht="13.15" customHeight="1" x14ac:dyDescent="0.2">
      <c r="A2025" s="103"/>
    </row>
    <row r="2026" spans="1:1" ht="13.15" customHeight="1" x14ac:dyDescent="0.2">
      <c r="A2026" s="103"/>
    </row>
    <row r="2027" spans="1:1" ht="13.15" customHeight="1" x14ac:dyDescent="0.2">
      <c r="A2027" s="103"/>
    </row>
    <row r="2028" spans="1:1" ht="13.15" customHeight="1" x14ac:dyDescent="0.2">
      <c r="A2028" s="103"/>
    </row>
    <row r="2029" spans="1:1" ht="13.15" customHeight="1" x14ac:dyDescent="0.2">
      <c r="A2029" s="103"/>
    </row>
    <row r="2030" spans="1:1" ht="13.15" customHeight="1" x14ac:dyDescent="0.2">
      <c r="A2030" s="103"/>
    </row>
    <row r="2031" spans="1:1" ht="13.15" customHeight="1" x14ac:dyDescent="0.2">
      <c r="A2031" s="103"/>
    </row>
    <row r="2032" spans="1:1" ht="13.15" customHeight="1" x14ac:dyDescent="0.2">
      <c r="A2032" s="103"/>
    </row>
    <row r="2033" spans="1:1" ht="13.15" customHeight="1" x14ac:dyDescent="0.2">
      <c r="A2033" s="103"/>
    </row>
    <row r="2034" spans="1:1" ht="13.15" customHeight="1" x14ac:dyDescent="0.2">
      <c r="A2034" s="103"/>
    </row>
    <row r="2035" spans="1:1" ht="13.15" customHeight="1" x14ac:dyDescent="0.2">
      <c r="A2035" s="103"/>
    </row>
    <row r="2036" spans="1:1" ht="13.15" customHeight="1" x14ac:dyDescent="0.2">
      <c r="A2036" s="103"/>
    </row>
    <row r="2037" spans="1:1" ht="13.15" customHeight="1" x14ac:dyDescent="0.2">
      <c r="A2037" s="103"/>
    </row>
    <row r="2038" spans="1:1" ht="13.15" customHeight="1" x14ac:dyDescent="0.2">
      <c r="A2038" s="103"/>
    </row>
    <row r="2039" spans="1:1" ht="13.15" customHeight="1" x14ac:dyDescent="0.2">
      <c r="A2039" s="103"/>
    </row>
    <row r="2040" spans="1:1" ht="13.15" customHeight="1" x14ac:dyDescent="0.2">
      <c r="A2040" s="103"/>
    </row>
    <row r="2041" spans="1:1" ht="13.15" customHeight="1" x14ac:dyDescent="0.2">
      <c r="A2041" s="103"/>
    </row>
    <row r="2042" spans="1:1" ht="13.15" customHeight="1" x14ac:dyDescent="0.2">
      <c r="A2042" s="103"/>
    </row>
    <row r="2043" spans="1:1" ht="13.15" customHeight="1" x14ac:dyDescent="0.2">
      <c r="A2043" s="103"/>
    </row>
    <row r="2044" spans="1:1" ht="13.15" customHeight="1" x14ac:dyDescent="0.2">
      <c r="A2044" s="103"/>
    </row>
    <row r="2045" spans="1:1" ht="13.15" customHeight="1" x14ac:dyDescent="0.2">
      <c r="A2045" s="103"/>
    </row>
    <row r="2046" spans="1:1" ht="13.15" customHeight="1" x14ac:dyDescent="0.2">
      <c r="A2046" s="103"/>
    </row>
    <row r="2047" spans="1:1" ht="13.15" customHeight="1" x14ac:dyDescent="0.2">
      <c r="A2047" s="103"/>
    </row>
    <row r="2048" spans="1:1" ht="13.15" customHeight="1" x14ac:dyDescent="0.2">
      <c r="A2048" s="103"/>
    </row>
    <row r="2049" spans="1:1" ht="13.15" customHeight="1" x14ac:dyDescent="0.2">
      <c r="A2049" s="103"/>
    </row>
    <row r="2050" spans="1:1" ht="13.15" customHeight="1" x14ac:dyDescent="0.2">
      <c r="A2050" s="103"/>
    </row>
    <row r="2051" spans="1:1" ht="13.15" customHeight="1" x14ac:dyDescent="0.2">
      <c r="A2051" s="103"/>
    </row>
    <row r="2052" spans="1:1" ht="13.15" customHeight="1" x14ac:dyDescent="0.2">
      <c r="A2052" s="103"/>
    </row>
    <row r="2053" spans="1:1" ht="13.15" customHeight="1" x14ac:dyDescent="0.2">
      <c r="A2053" s="103"/>
    </row>
    <row r="2054" spans="1:1" ht="13.15" customHeight="1" x14ac:dyDescent="0.2">
      <c r="A2054" s="103"/>
    </row>
    <row r="2055" spans="1:1" ht="13.15" customHeight="1" x14ac:dyDescent="0.2">
      <c r="A2055" s="103"/>
    </row>
    <row r="2056" spans="1:1" ht="13.15" customHeight="1" x14ac:dyDescent="0.2">
      <c r="A2056" s="103"/>
    </row>
    <row r="2057" spans="1:1" ht="13.15" customHeight="1" x14ac:dyDescent="0.2">
      <c r="A2057" s="103"/>
    </row>
    <row r="2058" spans="1:1" ht="13.15" customHeight="1" x14ac:dyDescent="0.2">
      <c r="A2058" s="103"/>
    </row>
    <row r="2059" spans="1:1" ht="13.15" customHeight="1" x14ac:dyDescent="0.2">
      <c r="A2059" s="103"/>
    </row>
    <row r="2060" spans="1:1" ht="13.15" customHeight="1" x14ac:dyDescent="0.2">
      <c r="A2060" s="103"/>
    </row>
    <row r="2061" spans="1:1" ht="13.15" customHeight="1" x14ac:dyDescent="0.2">
      <c r="A2061" s="103"/>
    </row>
    <row r="2062" spans="1:1" ht="13.15" customHeight="1" x14ac:dyDescent="0.2">
      <c r="A2062" s="103"/>
    </row>
    <row r="2063" spans="1:1" ht="13.15" customHeight="1" x14ac:dyDescent="0.2">
      <c r="A2063" s="103"/>
    </row>
    <row r="2064" spans="1:1" ht="13.15" customHeight="1" x14ac:dyDescent="0.2">
      <c r="A2064" s="103"/>
    </row>
    <row r="2065" spans="1:1" ht="13.15" customHeight="1" x14ac:dyDescent="0.2">
      <c r="A2065" s="103"/>
    </row>
    <row r="2066" spans="1:1" ht="13.15" customHeight="1" x14ac:dyDescent="0.2">
      <c r="A2066" s="103"/>
    </row>
    <row r="2067" spans="1:1" ht="13.15" customHeight="1" x14ac:dyDescent="0.2">
      <c r="A2067" s="103"/>
    </row>
    <row r="2068" spans="1:1" ht="13.15" customHeight="1" x14ac:dyDescent="0.2">
      <c r="A2068" s="103"/>
    </row>
    <row r="2069" spans="1:1" ht="13.15" customHeight="1" x14ac:dyDescent="0.2">
      <c r="A2069" s="103"/>
    </row>
    <row r="2070" spans="1:1" ht="13.15" customHeight="1" x14ac:dyDescent="0.2">
      <c r="A2070" s="103"/>
    </row>
    <row r="2071" spans="1:1" ht="13.15" customHeight="1" x14ac:dyDescent="0.2">
      <c r="A2071" s="103"/>
    </row>
    <row r="2072" spans="1:1" ht="13.15" customHeight="1" x14ac:dyDescent="0.2">
      <c r="A2072" s="103"/>
    </row>
    <row r="2073" spans="1:1" ht="13.15" customHeight="1" x14ac:dyDescent="0.2">
      <c r="A2073" s="103"/>
    </row>
    <row r="2074" spans="1:1" ht="13.15" customHeight="1" x14ac:dyDescent="0.2">
      <c r="A2074" s="103"/>
    </row>
    <row r="2075" spans="1:1" ht="13.15" customHeight="1" x14ac:dyDescent="0.2">
      <c r="A2075" s="103"/>
    </row>
    <row r="2076" spans="1:1" ht="13.15" customHeight="1" x14ac:dyDescent="0.2">
      <c r="A2076" s="103"/>
    </row>
    <row r="2077" spans="1:1" ht="13.15" customHeight="1" x14ac:dyDescent="0.2">
      <c r="A2077" s="103"/>
    </row>
    <row r="2078" spans="1:1" ht="13.15" customHeight="1" x14ac:dyDescent="0.2">
      <c r="A2078" s="103"/>
    </row>
    <row r="2079" spans="1:1" ht="13.15" customHeight="1" x14ac:dyDescent="0.2">
      <c r="A2079" s="103"/>
    </row>
    <row r="2080" spans="1:1" ht="13.15" customHeight="1" x14ac:dyDescent="0.2">
      <c r="A2080" s="103"/>
    </row>
    <row r="2081" spans="1:1" ht="13.15" customHeight="1" x14ac:dyDescent="0.2">
      <c r="A2081" s="103"/>
    </row>
    <row r="2082" spans="1:1" ht="13.15" customHeight="1" x14ac:dyDescent="0.2">
      <c r="A2082" s="103"/>
    </row>
    <row r="2083" spans="1:1" ht="13.15" customHeight="1" x14ac:dyDescent="0.2">
      <c r="A2083" s="103"/>
    </row>
    <row r="2084" spans="1:1" ht="13.15" customHeight="1" x14ac:dyDescent="0.2">
      <c r="A2084" s="103"/>
    </row>
    <row r="2085" spans="1:1" ht="13.15" customHeight="1" x14ac:dyDescent="0.2">
      <c r="A2085" s="103"/>
    </row>
    <row r="2086" spans="1:1" ht="13.15" customHeight="1" x14ac:dyDescent="0.2">
      <c r="A2086" s="103"/>
    </row>
    <row r="2087" spans="1:1" ht="13.15" customHeight="1" x14ac:dyDescent="0.2">
      <c r="A2087" s="103"/>
    </row>
    <row r="2088" spans="1:1" ht="13.15" customHeight="1" x14ac:dyDescent="0.2">
      <c r="A2088" s="103"/>
    </row>
    <row r="2089" spans="1:1" ht="13.15" customHeight="1" x14ac:dyDescent="0.2">
      <c r="A2089" s="103"/>
    </row>
    <row r="2090" spans="1:1" ht="13.15" customHeight="1" x14ac:dyDescent="0.2">
      <c r="A2090" s="103"/>
    </row>
    <row r="2091" spans="1:1" ht="13.15" customHeight="1" x14ac:dyDescent="0.2">
      <c r="A2091" s="103"/>
    </row>
    <row r="2092" spans="1:1" ht="13.15" customHeight="1" x14ac:dyDescent="0.2">
      <c r="A2092" s="103"/>
    </row>
    <row r="2093" spans="1:1" ht="13.15" customHeight="1" x14ac:dyDescent="0.2">
      <c r="A2093" s="103"/>
    </row>
    <row r="2094" spans="1:1" ht="13.15" customHeight="1" x14ac:dyDescent="0.2">
      <c r="A2094" s="103"/>
    </row>
    <row r="2095" spans="1:1" ht="13.15" customHeight="1" x14ac:dyDescent="0.2">
      <c r="A2095" s="103"/>
    </row>
    <row r="2096" spans="1:1" ht="13.15" customHeight="1" x14ac:dyDescent="0.2">
      <c r="A2096" s="103"/>
    </row>
    <row r="2097" spans="1:1" ht="13.15" customHeight="1" x14ac:dyDescent="0.2">
      <c r="A2097" s="103"/>
    </row>
    <row r="2098" spans="1:1" ht="13.15" customHeight="1" x14ac:dyDescent="0.2">
      <c r="A2098" s="103"/>
    </row>
    <row r="2099" spans="1:1" ht="13.15" customHeight="1" x14ac:dyDescent="0.2">
      <c r="A2099" s="103"/>
    </row>
    <row r="2100" spans="1:1" ht="13.15" customHeight="1" x14ac:dyDescent="0.2">
      <c r="A2100" s="103"/>
    </row>
    <row r="2101" spans="1:1" ht="13.15" customHeight="1" x14ac:dyDescent="0.2">
      <c r="A2101" s="103"/>
    </row>
    <row r="2102" spans="1:1" ht="13.15" customHeight="1" x14ac:dyDescent="0.2">
      <c r="A2102" s="103"/>
    </row>
    <row r="2103" spans="1:1" ht="13.15" customHeight="1" x14ac:dyDescent="0.2">
      <c r="A2103" s="103"/>
    </row>
    <row r="2104" spans="1:1" ht="13.15" customHeight="1" x14ac:dyDescent="0.2">
      <c r="A2104" s="103"/>
    </row>
    <row r="2105" spans="1:1" ht="13.15" customHeight="1" x14ac:dyDescent="0.2">
      <c r="A2105" s="103"/>
    </row>
    <row r="2106" spans="1:1" ht="13.15" customHeight="1" x14ac:dyDescent="0.2">
      <c r="A2106" s="103"/>
    </row>
    <row r="2107" spans="1:1" ht="13.15" customHeight="1" x14ac:dyDescent="0.2">
      <c r="A2107" s="103"/>
    </row>
    <row r="2108" spans="1:1" ht="13.15" customHeight="1" x14ac:dyDescent="0.2">
      <c r="A2108" s="103"/>
    </row>
    <row r="2109" spans="1:1" ht="13.15" customHeight="1" x14ac:dyDescent="0.2">
      <c r="A2109" s="103"/>
    </row>
    <row r="2110" spans="1:1" ht="13.15" customHeight="1" x14ac:dyDescent="0.2">
      <c r="A2110" s="103"/>
    </row>
    <row r="2111" spans="1:1" ht="13.15" customHeight="1" x14ac:dyDescent="0.2">
      <c r="A2111" s="103"/>
    </row>
    <row r="2112" spans="1:1" ht="13.15" customHeight="1" x14ac:dyDescent="0.2">
      <c r="A2112" s="103"/>
    </row>
    <row r="2113" spans="1:1" ht="13.15" customHeight="1" x14ac:dyDescent="0.2">
      <c r="A2113" s="103"/>
    </row>
    <row r="2114" spans="1:1" ht="13.15" customHeight="1" x14ac:dyDescent="0.2">
      <c r="A2114" s="103"/>
    </row>
    <row r="2115" spans="1:1" ht="13.15" customHeight="1" x14ac:dyDescent="0.2">
      <c r="A2115" s="103"/>
    </row>
    <row r="2116" spans="1:1" ht="13.15" customHeight="1" x14ac:dyDescent="0.2">
      <c r="A2116" s="103"/>
    </row>
    <row r="2117" spans="1:1" ht="13.15" customHeight="1" x14ac:dyDescent="0.2">
      <c r="A2117" s="103"/>
    </row>
    <row r="2118" spans="1:1" ht="13.15" customHeight="1" x14ac:dyDescent="0.2">
      <c r="A2118" s="103"/>
    </row>
    <row r="2119" spans="1:1" ht="13.15" customHeight="1" x14ac:dyDescent="0.2">
      <c r="A2119" s="103"/>
    </row>
    <row r="2120" spans="1:1" ht="13.15" customHeight="1" x14ac:dyDescent="0.2">
      <c r="A2120" s="103"/>
    </row>
    <row r="2121" spans="1:1" ht="13.15" customHeight="1" x14ac:dyDescent="0.2">
      <c r="A2121" s="103"/>
    </row>
    <row r="2122" spans="1:1" ht="13.15" customHeight="1" x14ac:dyDescent="0.2">
      <c r="A2122" s="103"/>
    </row>
    <row r="2123" spans="1:1" ht="13.15" customHeight="1" x14ac:dyDescent="0.2">
      <c r="A2123" s="103"/>
    </row>
    <row r="2124" spans="1:1" ht="13.15" customHeight="1" x14ac:dyDescent="0.2">
      <c r="A2124" s="103"/>
    </row>
    <row r="2125" spans="1:1" ht="13.15" customHeight="1" x14ac:dyDescent="0.2">
      <c r="A2125" s="103"/>
    </row>
    <row r="2126" spans="1:1" ht="13.15" customHeight="1" x14ac:dyDescent="0.2">
      <c r="A2126" s="103"/>
    </row>
    <row r="2127" spans="1:1" ht="13.15" customHeight="1" x14ac:dyDescent="0.2">
      <c r="A2127" s="103"/>
    </row>
    <row r="2128" spans="1:1" ht="13.15" customHeight="1" x14ac:dyDescent="0.2">
      <c r="A2128" s="103"/>
    </row>
    <row r="2129" spans="1:1" ht="13.15" customHeight="1" x14ac:dyDescent="0.2">
      <c r="A2129" s="103"/>
    </row>
    <row r="2130" spans="1:1" ht="13.15" customHeight="1" x14ac:dyDescent="0.2">
      <c r="A2130" s="103"/>
    </row>
    <row r="2131" spans="1:1" ht="13.15" customHeight="1" x14ac:dyDescent="0.2">
      <c r="A2131" s="103"/>
    </row>
    <row r="2132" spans="1:1" ht="13.15" customHeight="1" x14ac:dyDescent="0.2">
      <c r="A2132" s="103"/>
    </row>
    <row r="2133" spans="1:1" ht="13.15" customHeight="1" x14ac:dyDescent="0.2">
      <c r="A2133" s="103"/>
    </row>
    <row r="2134" spans="1:1" ht="13.15" customHeight="1" x14ac:dyDescent="0.2">
      <c r="A2134" s="103"/>
    </row>
    <row r="2135" spans="1:1" ht="13.15" customHeight="1" x14ac:dyDescent="0.2">
      <c r="A2135" s="103"/>
    </row>
    <row r="2136" spans="1:1" ht="13.15" customHeight="1" x14ac:dyDescent="0.2">
      <c r="A2136" s="103"/>
    </row>
    <row r="2137" spans="1:1" ht="13.15" customHeight="1" x14ac:dyDescent="0.2">
      <c r="A2137" s="103"/>
    </row>
    <row r="2138" spans="1:1" ht="13.15" customHeight="1" x14ac:dyDescent="0.2">
      <c r="A2138" s="103"/>
    </row>
    <row r="2139" spans="1:1" ht="13.15" customHeight="1" x14ac:dyDescent="0.2">
      <c r="A2139" s="103"/>
    </row>
    <row r="2140" spans="1:1" ht="13.15" customHeight="1" x14ac:dyDescent="0.2">
      <c r="A2140" s="103"/>
    </row>
    <row r="2141" spans="1:1" ht="13.15" customHeight="1" x14ac:dyDescent="0.2">
      <c r="A2141" s="103"/>
    </row>
    <row r="2142" spans="1:1" ht="13.15" customHeight="1" x14ac:dyDescent="0.2">
      <c r="A2142" s="103"/>
    </row>
    <row r="2143" spans="1:1" ht="13.15" customHeight="1" x14ac:dyDescent="0.2">
      <c r="A2143" s="103"/>
    </row>
    <row r="2144" spans="1:1" ht="13.15" customHeight="1" x14ac:dyDescent="0.2">
      <c r="A2144" s="103"/>
    </row>
    <row r="2145" spans="1:1" ht="13.15" customHeight="1" x14ac:dyDescent="0.2">
      <c r="A2145" s="103"/>
    </row>
    <row r="2146" spans="1:1" ht="13.15" customHeight="1" x14ac:dyDescent="0.2">
      <c r="A2146" s="103"/>
    </row>
    <row r="2147" spans="1:1" ht="13.15" customHeight="1" x14ac:dyDescent="0.2">
      <c r="A2147" s="103"/>
    </row>
    <row r="2148" spans="1:1" ht="13.15" customHeight="1" x14ac:dyDescent="0.2">
      <c r="A2148" s="103"/>
    </row>
    <row r="2149" spans="1:1" ht="13.15" customHeight="1" x14ac:dyDescent="0.2">
      <c r="A2149" s="103"/>
    </row>
    <row r="2150" spans="1:1" ht="13.15" customHeight="1" x14ac:dyDescent="0.2">
      <c r="A2150" s="103"/>
    </row>
    <row r="2151" spans="1:1" ht="13.15" customHeight="1" x14ac:dyDescent="0.2">
      <c r="A2151" s="103"/>
    </row>
    <row r="2152" spans="1:1" ht="13.15" customHeight="1" x14ac:dyDescent="0.2">
      <c r="A2152" s="103"/>
    </row>
    <row r="2153" spans="1:1" ht="13.15" customHeight="1" x14ac:dyDescent="0.2">
      <c r="A2153" s="103"/>
    </row>
    <row r="2154" spans="1:1" ht="13.15" customHeight="1" x14ac:dyDescent="0.2">
      <c r="A2154" s="103"/>
    </row>
    <row r="2155" spans="1:1" ht="13.15" customHeight="1" x14ac:dyDescent="0.2">
      <c r="A2155" s="103"/>
    </row>
    <row r="2156" spans="1:1" ht="13.15" customHeight="1" x14ac:dyDescent="0.2">
      <c r="A2156" s="103"/>
    </row>
    <row r="2157" spans="1:1" ht="13.15" customHeight="1" x14ac:dyDescent="0.2">
      <c r="A2157" s="103"/>
    </row>
    <row r="2158" spans="1:1" ht="13.15" customHeight="1" x14ac:dyDescent="0.2">
      <c r="A2158" s="103"/>
    </row>
    <row r="2159" spans="1:1" ht="13.15" customHeight="1" x14ac:dyDescent="0.2">
      <c r="A2159" s="103"/>
    </row>
    <row r="2160" spans="1:1" ht="13.15" customHeight="1" x14ac:dyDescent="0.2">
      <c r="A2160" s="103"/>
    </row>
    <row r="2161" spans="1:1" ht="13.15" customHeight="1" x14ac:dyDescent="0.2">
      <c r="A2161" s="103"/>
    </row>
    <row r="2162" spans="1:1" ht="13.15" customHeight="1" x14ac:dyDescent="0.2">
      <c r="A2162" s="103"/>
    </row>
    <row r="2163" spans="1:1" ht="13.15" customHeight="1" x14ac:dyDescent="0.2">
      <c r="A2163" s="103"/>
    </row>
    <row r="2164" spans="1:1" ht="13.15" customHeight="1" x14ac:dyDescent="0.2">
      <c r="A2164" s="103"/>
    </row>
    <row r="2165" spans="1:1" ht="13.15" customHeight="1" x14ac:dyDescent="0.2">
      <c r="A2165" s="103"/>
    </row>
    <row r="2166" spans="1:1" ht="13.15" customHeight="1" x14ac:dyDescent="0.2">
      <c r="A2166" s="103"/>
    </row>
    <row r="2167" spans="1:1" ht="13.15" customHeight="1" x14ac:dyDescent="0.2">
      <c r="A2167" s="103"/>
    </row>
    <row r="2168" spans="1:1" ht="13.15" customHeight="1" x14ac:dyDescent="0.2">
      <c r="A2168" s="103"/>
    </row>
    <row r="2169" spans="1:1" ht="13.15" customHeight="1" x14ac:dyDescent="0.2">
      <c r="A2169" s="103"/>
    </row>
    <row r="2170" spans="1:1" ht="13.15" customHeight="1" x14ac:dyDescent="0.2">
      <c r="A2170" s="103"/>
    </row>
    <row r="2171" spans="1:1" ht="13.15" customHeight="1" x14ac:dyDescent="0.2">
      <c r="A2171" s="103"/>
    </row>
    <row r="2172" spans="1:1" ht="13.15" customHeight="1" x14ac:dyDescent="0.2">
      <c r="A2172" s="103"/>
    </row>
    <row r="2173" spans="1:1" ht="13.15" customHeight="1" x14ac:dyDescent="0.2">
      <c r="A2173" s="103"/>
    </row>
    <row r="2174" spans="1:1" ht="13.15" customHeight="1" x14ac:dyDescent="0.2">
      <c r="A2174" s="103"/>
    </row>
    <row r="2175" spans="1:1" ht="13.15" customHeight="1" x14ac:dyDescent="0.2">
      <c r="A2175" s="103"/>
    </row>
    <row r="2176" spans="1:1" ht="13.15" customHeight="1" x14ac:dyDescent="0.2">
      <c r="A2176" s="103"/>
    </row>
    <row r="2177" spans="1:1" ht="13.15" customHeight="1" x14ac:dyDescent="0.2">
      <c r="A2177" s="103"/>
    </row>
    <row r="2178" spans="1:1" ht="13.15" customHeight="1" x14ac:dyDescent="0.2">
      <c r="A2178" s="103"/>
    </row>
    <row r="2179" spans="1:1" ht="13.15" customHeight="1" x14ac:dyDescent="0.2">
      <c r="A2179" s="103"/>
    </row>
    <row r="2180" spans="1:1" ht="13.15" customHeight="1" x14ac:dyDescent="0.2">
      <c r="A2180" s="103"/>
    </row>
    <row r="2181" spans="1:1" ht="13.15" customHeight="1" x14ac:dyDescent="0.2">
      <c r="A2181" s="103"/>
    </row>
    <row r="2182" spans="1:1" ht="13.15" customHeight="1" x14ac:dyDescent="0.2">
      <c r="A2182" s="103"/>
    </row>
    <row r="2183" spans="1:1" ht="13.15" customHeight="1" x14ac:dyDescent="0.2">
      <c r="A2183" s="103"/>
    </row>
    <row r="2184" spans="1:1" ht="13.15" customHeight="1" x14ac:dyDescent="0.2">
      <c r="A2184" s="103"/>
    </row>
    <row r="2185" spans="1:1" ht="13.15" customHeight="1" x14ac:dyDescent="0.2">
      <c r="A2185" s="103"/>
    </row>
    <row r="2186" spans="1:1" ht="13.15" customHeight="1" x14ac:dyDescent="0.2">
      <c r="A2186" s="103"/>
    </row>
    <row r="2187" spans="1:1" ht="13.15" customHeight="1" x14ac:dyDescent="0.2">
      <c r="A2187" s="103"/>
    </row>
    <row r="2188" spans="1:1" ht="13.15" customHeight="1" x14ac:dyDescent="0.2">
      <c r="A2188" s="103"/>
    </row>
    <row r="2189" spans="1:1" ht="13.15" customHeight="1" x14ac:dyDescent="0.2">
      <c r="A2189" s="103"/>
    </row>
    <row r="2190" spans="1:1" ht="13.15" customHeight="1" x14ac:dyDescent="0.2">
      <c r="A2190" s="103"/>
    </row>
    <row r="2191" spans="1:1" ht="13.15" customHeight="1" x14ac:dyDescent="0.2">
      <c r="A2191" s="103"/>
    </row>
    <row r="2192" spans="1:1" ht="13.15" customHeight="1" x14ac:dyDescent="0.2">
      <c r="A2192" s="103"/>
    </row>
    <row r="2193" spans="1:1" ht="13.15" customHeight="1" x14ac:dyDescent="0.2">
      <c r="A2193" s="103"/>
    </row>
    <row r="2194" spans="1:1" ht="13.15" customHeight="1" x14ac:dyDescent="0.2">
      <c r="A2194" s="103"/>
    </row>
    <row r="2195" spans="1:1" ht="13.15" customHeight="1" x14ac:dyDescent="0.2">
      <c r="A2195" s="103"/>
    </row>
    <row r="2196" spans="1:1" ht="13.15" customHeight="1" x14ac:dyDescent="0.2">
      <c r="A2196" s="103"/>
    </row>
    <row r="2197" spans="1:1" ht="13.15" customHeight="1" x14ac:dyDescent="0.2">
      <c r="A2197" s="103"/>
    </row>
    <row r="2198" spans="1:1" ht="13.15" customHeight="1" x14ac:dyDescent="0.2">
      <c r="A2198" s="103"/>
    </row>
    <row r="2199" spans="1:1" ht="13.15" customHeight="1" x14ac:dyDescent="0.2">
      <c r="A2199" s="103"/>
    </row>
    <row r="2200" spans="1:1" ht="13.15" customHeight="1" x14ac:dyDescent="0.2">
      <c r="A2200" s="103"/>
    </row>
    <row r="2201" spans="1:1" ht="13.15" customHeight="1" x14ac:dyDescent="0.2">
      <c r="A2201" s="103"/>
    </row>
    <row r="2202" spans="1:1" ht="13.15" customHeight="1" x14ac:dyDescent="0.2">
      <c r="A2202" s="103"/>
    </row>
    <row r="2203" spans="1:1" ht="13.15" customHeight="1" x14ac:dyDescent="0.2">
      <c r="A2203" s="103"/>
    </row>
    <row r="2204" spans="1:1" ht="13.15" customHeight="1" x14ac:dyDescent="0.2">
      <c r="A2204" s="103"/>
    </row>
    <row r="2205" spans="1:1" ht="13.15" customHeight="1" x14ac:dyDescent="0.2">
      <c r="A2205" s="103"/>
    </row>
    <row r="2206" spans="1:1" ht="13.15" customHeight="1" x14ac:dyDescent="0.2">
      <c r="A2206" s="103"/>
    </row>
    <row r="2207" spans="1:1" ht="13.15" customHeight="1" x14ac:dyDescent="0.2">
      <c r="A2207" s="103"/>
    </row>
    <row r="2208" spans="1:1" ht="13.15" customHeight="1" x14ac:dyDescent="0.2">
      <c r="A2208" s="103"/>
    </row>
    <row r="2209" spans="1:1" ht="13.15" customHeight="1" x14ac:dyDescent="0.2">
      <c r="A2209" s="103"/>
    </row>
    <row r="2210" spans="1:1" ht="13.15" customHeight="1" x14ac:dyDescent="0.2">
      <c r="A2210" s="103"/>
    </row>
    <row r="2211" spans="1:1" ht="13.15" customHeight="1" x14ac:dyDescent="0.2">
      <c r="A2211" s="103"/>
    </row>
    <row r="2212" spans="1:1" ht="13.15" customHeight="1" x14ac:dyDescent="0.2">
      <c r="A2212" s="103"/>
    </row>
    <row r="2213" spans="1:1" ht="13.15" customHeight="1" x14ac:dyDescent="0.2">
      <c r="A2213" s="103"/>
    </row>
    <row r="2214" spans="1:1" ht="13.15" customHeight="1" x14ac:dyDescent="0.2">
      <c r="A2214" s="103"/>
    </row>
    <row r="2215" spans="1:1" ht="13.15" customHeight="1" x14ac:dyDescent="0.2">
      <c r="A2215" s="103"/>
    </row>
    <row r="2216" spans="1:1" ht="13.15" customHeight="1" x14ac:dyDescent="0.2">
      <c r="A2216" s="103"/>
    </row>
    <row r="2217" spans="1:1" ht="13.15" customHeight="1" x14ac:dyDescent="0.2">
      <c r="A2217" s="103"/>
    </row>
    <row r="2218" spans="1:1" ht="13.15" customHeight="1" x14ac:dyDescent="0.2">
      <c r="A2218" s="103"/>
    </row>
    <row r="2219" spans="1:1" ht="13.15" customHeight="1" x14ac:dyDescent="0.2">
      <c r="A2219" s="103"/>
    </row>
    <row r="2220" spans="1:1" ht="13.15" customHeight="1" x14ac:dyDescent="0.2">
      <c r="A2220" s="103"/>
    </row>
    <row r="2221" spans="1:1" ht="13.15" customHeight="1" x14ac:dyDescent="0.2">
      <c r="A2221" s="103"/>
    </row>
    <row r="2222" spans="1:1" ht="13.15" customHeight="1" x14ac:dyDescent="0.2">
      <c r="A2222" s="103"/>
    </row>
    <row r="2223" spans="1:1" ht="13.15" customHeight="1" x14ac:dyDescent="0.2">
      <c r="A2223" s="103"/>
    </row>
    <row r="2224" spans="1:1" ht="13.15" customHeight="1" x14ac:dyDescent="0.2">
      <c r="A2224" s="103"/>
    </row>
    <row r="2225" spans="1:1" ht="13.15" customHeight="1" x14ac:dyDescent="0.2">
      <c r="A2225" s="103"/>
    </row>
    <row r="2226" spans="1:1" ht="13.15" customHeight="1" x14ac:dyDescent="0.2">
      <c r="A2226" s="103"/>
    </row>
    <row r="2227" spans="1:1" ht="13.15" customHeight="1" x14ac:dyDescent="0.2">
      <c r="A2227" s="103"/>
    </row>
    <row r="2228" spans="1:1" ht="13.15" customHeight="1" x14ac:dyDescent="0.2">
      <c r="A2228" s="103"/>
    </row>
    <row r="2229" spans="1:1" ht="13.15" customHeight="1" x14ac:dyDescent="0.2">
      <c r="A2229" s="103"/>
    </row>
    <row r="2230" spans="1:1" ht="13.15" customHeight="1" x14ac:dyDescent="0.2">
      <c r="A2230" s="103"/>
    </row>
    <row r="2231" spans="1:1" ht="13.15" customHeight="1" x14ac:dyDescent="0.2">
      <c r="A2231" s="103"/>
    </row>
    <row r="2232" spans="1:1" ht="13.15" customHeight="1" x14ac:dyDescent="0.2">
      <c r="A2232" s="103"/>
    </row>
    <row r="2233" spans="1:1" ht="13.15" customHeight="1" x14ac:dyDescent="0.2">
      <c r="A2233" s="103"/>
    </row>
    <row r="2234" spans="1:1" ht="13.15" customHeight="1" x14ac:dyDescent="0.2">
      <c r="A2234" s="103"/>
    </row>
    <row r="2235" spans="1:1" ht="13.15" customHeight="1" x14ac:dyDescent="0.2">
      <c r="A2235" s="103"/>
    </row>
    <row r="2236" spans="1:1" ht="13.15" customHeight="1" x14ac:dyDescent="0.2">
      <c r="A2236" s="103"/>
    </row>
    <row r="2237" spans="1:1" ht="13.15" customHeight="1" x14ac:dyDescent="0.2">
      <c r="A2237" s="103"/>
    </row>
    <row r="2238" spans="1:1" ht="13.15" customHeight="1" x14ac:dyDescent="0.2">
      <c r="A2238" s="103"/>
    </row>
    <row r="2239" spans="1:1" ht="13.15" customHeight="1" x14ac:dyDescent="0.2">
      <c r="A2239" s="103"/>
    </row>
    <row r="2240" spans="1:1" ht="13.15" customHeight="1" x14ac:dyDescent="0.2">
      <c r="A2240" s="103"/>
    </row>
    <row r="2241" spans="1:1" ht="13.15" customHeight="1" x14ac:dyDescent="0.2">
      <c r="A2241" s="103"/>
    </row>
    <row r="2242" spans="1:1" ht="13.15" customHeight="1" x14ac:dyDescent="0.2">
      <c r="A2242" s="103"/>
    </row>
    <row r="2243" spans="1:1" ht="13.15" customHeight="1" x14ac:dyDescent="0.2">
      <c r="A2243" s="103"/>
    </row>
    <row r="2244" spans="1:1" ht="13.15" customHeight="1" x14ac:dyDescent="0.2">
      <c r="A2244" s="103"/>
    </row>
    <row r="2245" spans="1:1" ht="13.15" customHeight="1" x14ac:dyDescent="0.2">
      <c r="A2245" s="103"/>
    </row>
    <row r="2246" spans="1:1" ht="13.15" customHeight="1" x14ac:dyDescent="0.2">
      <c r="A2246" s="103"/>
    </row>
    <row r="2247" spans="1:1" ht="13.15" customHeight="1" x14ac:dyDescent="0.2">
      <c r="A2247" s="103"/>
    </row>
    <row r="2248" spans="1:1" ht="13.15" customHeight="1" x14ac:dyDescent="0.2">
      <c r="A2248" s="103"/>
    </row>
    <row r="2249" spans="1:1" ht="13.15" customHeight="1" x14ac:dyDescent="0.2">
      <c r="A2249" s="103"/>
    </row>
    <row r="2250" spans="1:1" ht="13.15" customHeight="1" x14ac:dyDescent="0.2">
      <c r="A2250" s="103"/>
    </row>
    <row r="2251" spans="1:1" ht="13.15" customHeight="1" x14ac:dyDescent="0.2">
      <c r="A2251" s="103"/>
    </row>
    <row r="2252" spans="1:1" ht="13.15" customHeight="1" x14ac:dyDescent="0.2">
      <c r="A2252" s="103"/>
    </row>
    <row r="2253" spans="1:1" ht="13.15" customHeight="1" x14ac:dyDescent="0.2">
      <c r="A2253" s="103"/>
    </row>
    <row r="2254" spans="1:1" ht="13.15" customHeight="1" x14ac:dyDescent="0.2">
      <c r="A2254" s="103"/>
    </row>
    <row r="2255" spans="1:1" ht="13.15" customHeight="1" x14ac:dyDescent="0.2">
      <c r="A2255" s="103"/>
    </row>
    <row r="2256" spans="1:1" ht="13.15" customHeight="1" x14ac:dyDescent="0.2">
      <c r="A2256" s="103"/>
    </row>
    <row r="2257" spans="1:1" ht="13.15" customHeight="1" x14ac:dyDescent="0.2">
      <c r="A2257" s="103"/>
    </row>
    <row r="2258" spans="1:1" ht="13.15" customHeight="1" x14ac:dyDescent="0.2">
      <c r="A2258" s="103"/>
    </row>
    <row r="2259" spans="1:1" ht="13.15" customHeight="1" x14ac:dyDescent="0.2">
      <c r="A2259" s="103"/>
    </row>
    <row r="2260" spans="1:1" ht="13.15" customHeight="1" x14ac:dyDescent="0.2">
      <c r="A2260" s="103"/>
    </row>
    <row r="2261" spans="1:1" ht="13.15" customHeight="1" x14ac:dyDescent="0.2">
      <c r="A2261" s="103"/>
    </row>
    <row r="2262" spans="1:1" ht="13.15" customHeight="1" x14ac:dyDescent="0.2">
      <c r="A2262" s="103"/>
    </row>
    <row r="2263" spans="1:1" ht="13.15" customHeight="1" x14ac:dyDescent="0.2">
      <c r="A2263" s="103"/>
    </row>
    <row r="2264" spans="1:1" ht="13.15" customHeight="1" x14ac:dyDescent="0.2">
      <c r="A2264" s="103"/>
    </row>
    <row r="2265" spans="1:1" ht="13.15" customHeight="1" x14ac:dyDescent="0.2">
      <c r="A2265" s="103"/>
    </row>
    <row r="2266" spans="1:1" ht="13.15" customHeight="1" x14ac:dyDescent="0.2">
      <c r="A2266" s="103"/>
    </row>
    <row r="2267" spans="1:1" ht="13.15" customHeight="1" x14ac:dyDescent="0.2">
      <c r="A2267" s="103"/>
    </row>
    <row r="2268" spans="1:1" ht="13.15" customHeight="1" x14ac:dyDescent="0.2">
      <c r="A2268" s="103"/>
    </row>
    <row r="2269" spans="1:1" ht="13.15" customHeight="1" x14ac:dyDescent="0.2">
      <c r="A2269" s="103"/>
    </row>
    <row r="2270" spans="1:1" ht="13.15" customHeight="1" x14ac:dyDescent="0.2">
      <c r="A2270" s="103"/>
    </row>
    <row r="2271" spans="1:1" ht="13.15" customHeight="1" x14ac:dyDescent="0.2">
      <c r="A2271" s="103"/>
    </row>
    <row r="2272" spans="1:1" ht="13.15" customHeight="1" x14ac:dyDescent="0.2">
      <c r="A2272" s="103"/>
    </row>
    <row r="2273" spans="1:1" ht="13.15" customHeight="1" x14ac:dyDescent="0.2">
      <c r="A2273" s="103"/>
    </row>
    <row r="2274" spans="1:1" ht="13.15" customHeight="1" x14ac:dyDescent="0.2">
      <c r="A2274" s="103"/>
    </row>
    <row r="2275" spans="1:1" ht="13.15" customHeight="1" x14ac:dyDescent="0.2">
      <c r="A2275" s="103"/>
    </row>
    <row r="2276" spans="1:1" ht="13.15" customHeight="1" x14ac:dyDescent="0.2">
      <c r="A2276" s="103"/>
    </row>
    <row r="2277" spans="1:1" ht="13.15" customHeight="1" x14ac:dyDescent="0.2">
      <c r="A2277" s="103"/>
    </row>
    <row r="2278" spans="1:1" ht="13.15" customHeight="1" x14ac:dyDescent="0.2">
      <c r="A2278" s="103"/>
    </row>
    <row r="2279" spans="1:1" ht="13.15" customHeight="1" x14ac:dyDescent="0.2">
      <c r="A2279" s="103"/>
    </row>
    <row r="2280" spans="1:1" ht="13.15" customHeight="1" x14ac:dyDescent="0.2">
      <c r="A2280" s="103"/>
    </row>
    <row r="2281" spans="1:1" ht="13.15" customHeight="1" x14ac:dyDescent="0.2">
      <c r="A2281" s="103"/>
    </row>
    <row r="2282" spans="1:1" ht="13.15" customHeight="1" x14ac:dyDescent="0.2">
      <c r="A2282" s="103"/>
    </row>
    <row r="2283" spans="1:1" ht="13.15" customHeight="1" x14ac:dyDescent="0.2">
      <c r="A2283" s="103"/>
    </row>
    <row r="2284" spans="1:1" ht="13.15" customHeight="1" x14ac:dyDescent="0.2">
      <c r="A2284" s="103"/>
    </row>
    <row r="2285" spans="1:1" ht="13.15" customHeight="1" x14ac:dyDescent="0.2">
      <c r="A2285" s="103"/>
    </row>
    <row r="2286" spans="1:1" ht="13.15" customHeight="1" x14ac:dyDescent="0.2">
      <c r="A2286" s="103"/>
    </row>
    <row r="2287" spans="1:1" ht="13.15" customHeight="1" x14ac:dyDescent="0.2">
      <c r="A2287" s="103"/>
    </row>
    <row r="2288" spans="1:1" ht="13.15" customHeight="1" x14ac:dyDescent="0.2">
      <c r="A2288" s="103"/>
    </row>
    <row r="2289" spans="1:1" ht="13.15" customHeight="1" x14ac:dyDescent="0.2">
      <c r="A2289" s="103"/>
    </row>
    <row r="2290" spans="1:1" ht="13.15" customHeight="1" x14ac:dyDescent="0.2">
      <c r="A2290" s="103"/>
    </row>
    <row r="2291" spans="1:1" ht="13.15" customHeight="1" x14ac:dyDescent="0.2">
      <c r="A2291" s="103"/>
    </row>
    <row r="2292" spans="1:1" ht="13.15" customHeight="1" x14ac:dyDescent="0.2">
      <c r="A2292" s="103"/>
    </row>
    <row r="2293" spans="1:1" ht="13.15" customHeight="1" x14ac:dyDescent="0.2">
      <c r="A2293" s="103"/>
    </row>
    <row r="2294" spans="1:1" ht="13.15" customHeight="1" x14ac:dyDescent="0.2">
      <c r="A2294" s="103"/>
    </row>
    <row r="2295" spans="1:1" ht="13.15" customHeight="1" x14ac:dyDescent="0.2">
      <c r="A2295" s="103"/>
    </row>
    <row r="2296" spans="1:1" ht="13.15" customHeight="1" x14ac:dyDescent="0.2">
      <c r="A2296" s="103"/>
    </row>
    <row r="2297" spans="1:1" ht="13.15" customHeight="1" x14ac:dyDescent="0.2">
      <c r="A2297" s="103"/>
    </row>
    <row r="2298" spans="1:1" ht="13.15" customHeight="1" x14ac:dyDescent="0.2">
      <c r="A2298" s="103"/>
    </row>
    <row r="2299" spans="1:1" ht="13.15" customHeight="1" x14ac:dyDescent="0.2">
      <c r="A2299" s="103"/>
    </row>
    <row r="2300" spans="1:1" ht="13.15" customHeight="1" x14ac:dyDescent="0.2">
      <c r="A2300" s="103"/>
    </row>
    <row r="2301" spans="1:1" ht="13.15" customHeight="1" x14ac:dyDescent="0.2">
      <c r="A2301" s="103"/>
    </row>
    <row r="2302" spans="1:1" ht="13.15" customHeight="1" x14ac:dyDescent="0.2">
      <c r="A2302" s="103"/>
    </row>
    <row r="2303" spans="1:1" ht="13.15" customHeight="1" x14ac:dyDescent="0.2">
      <c r="A2303" s="103"/>
    </row>
    <row r="2304" spans="1:1" ht="13.15" customHeight="1" x14ac:dyDescent="0.2">
      <c r="A2304" s="103"/>
    </row>
    <row r="2305" spans="1:1" ht="13.15" customHeight="1" x14ac:dyDescent="0.2">
      <c r="A2305" s="103"/>
    </row>
    <row r="2306" spans="1:1" ht="13.15" customHeight="1" x14ac:dyDescent="0.2">
      <c r="A2306" s="103"/>
    </row>
    <row r="2307" spans="1:1" ht="13.15" customHeight="1" x14ac:dyDescent="0.2">
      <c r="A2307" s="103"/>
    </row>
    <row r="2308" spans="1:1" ht="13.15" customHeight="1" x14ac:dyDescent="0.2">
      <c r="A2308" s="103"/>
    </row>
    <row r="2309" spans="1:1" ht="13.15" customHeight="1" x14ac:dyDescent="0.2">
      <c r="A2309" s="103"/>
    </row>
    <row r="2310" spans="1:1" ht="13.15" customHeight="1" x14ac:dyDescent="0.2">
      <c r="A2310" s="103"/>
    </row>
    <row r="2311" spans="1:1" ht="13.15" customHeight="1" x14ac:dyDescent="0.2">
      <c r="A2311" s="103"/>
    </row>
    <row r="2312" spans="1:1" ht="13.15" customHeight="1" x14ac:dyDescent="0.2">
      <c r="A2312" s="103"/>
    </row>
    <row r="2313" spans="1:1" ht="13.15" customHeight="1" x14ac:dyDescent="0.2">
      <c r="A2313" s="103"/>
    </row>
    <row r="2314" spans="1:1" ht="13.15" customHeight="1" x14ac:dyDescent="0.2">
      <c r="A2314" s="103"/>
    </row>
    <row r="2315" spans="1:1" ht="13.15" customHeight="1" x14ac:dyDescent="0.2">
      <c r="A2315" s="103"/>
    </row>
    <row r="2316" spans="1:1" ht="13.15" customHeight="1" x14ac:dyDescent="0.2">
      <c r="A2316" s="103"/>
    </row>
    <row r="2317" spans="1:1" ht="13.15" customHeight="1" x14ac:dyDescent="0.2">
      <c r="A2317" s="103"/>
    </row>
    <row r="2318" spans="1:1" ht="13.15" customHeight="1" x14ac:dyDescent="0.2">
      <c r="A2318" s="103"/>
    </row>
    <row r="2319" spans="1:1" ht="13.15" customHeight="1" x14ac:dyDescent="0.2">
      <c r="A2319" s="103"/>
    </row>
    <row r="2320" spans="1:1" ht="13.15" customHeight="1" x14ac:dyDescent="0.2">
      <c r="A2320" s="103"/>
    </row>
    <row r="2321" spans="1:1" ht="13.15" customHeight="1" x14ac:dyDescent="0.2">
      <c r="A2321" s="103"/>
    </row>
    <row r="2322" spans="1:1" ht="13.15" customHeight="1" x14ac:dyDescent="0.2">
      <c r="A2322" s="103"/>
    </row>
    <row r="2323" spans="1:1" ht="13.15" customHeight="1" x14ac:dyDescent="0.2">
      <c r="A2323" s="103"/>
    </row>
    <row r="2324" spans="1:1" ht="13.15" customHeight="1" x14ac:dyDescent="0.2">
      <c r="A2324" s="103"/>
    </row>
    <row r="2325" spans="1:1" ht="13.15" customHeight="1" x14ac:dyDescent="0.2">
      <c r="A2325" s="103"/>
    </row>
    <row r="2326" spans="1:1" ht="13.15" customHeight="1" x14ac:dyDescent="0.2">
      <c r="A2326" s="103"/>
    </row>
    <row r="2327" spans="1:1" ht="13.15" customHeight="1" x14ac:dyDescent="0.2">
      <c r="A2327" s="103"/>
    </row>
    <row r="2328" spans="1:1" ht="13.15" customHeight="1" x14ac:dyDescent="0.2">
      <c r="A2328" s="103"/>
    </row>
    <row r="2329" spans="1:1" ht="13.15" customHeight="1" x14ac:dyDescent="0.2">
      <c r="A2329" s="103"/>
    </row>
    <row r="2330" spans="1:1" ht="13.15" customHeight="1" x14ac:dyDescent="0.2">
      <c r="A2330" s="103"/>
    </row>
    <row r="2331" spans="1:1" ht="13.15" customHeight="1" x14ac:dyDescent="0.2">
      <c r="A2331" s="103"/>
    </row>
    <row r="2332" spans="1:1" ht="13.15" customHeight="1" x14ac:dyDescent="0.2">
      <c r="A2332" s="103"/>
    </row>
    <row r="2333" spans="1:1" ht="13.15" customHeight="1" x14ac:dyDescent="0.2">
      <c r="A2333" s="103"/>
    </row>
    <row r="2334" spans="1:1" ht="13.15" customHeight="1" x14ac:dyDescent="0.2">
      <c r="A2334" s="103"/>
    </row>
    <row r="2335" spans="1:1" ht="13.15" customHeight="1" x14ac:dyDescent="0.2">
      <c r="A2335" s="103"/>
    </row>
    <row r="2336" spans="1:1" ht="13.15" customHeight="1" x14ac:dyDescent="0.2">
      <c r="A2336" s="103"/>
    </row>
    <row r="2337" spans="1:1" ht="13.15" customHeight="1" x14ac:dyDescent="0.2">
      <c r="A2337" s="103"/>
    </row>
    <row r="2338" spans="1:1" ht="13.15" customHeight="1" x14ac:dyDescent="0.2">
      <c r="A2338" s="103"/>
    </row>
    <row r="2339" spans="1:1" ht="13.15" customHeight="1" x14ac:dyDescent="0.2">
      <c r="A2339" s="103"/>
    </row>
    <row r="2340" spans="1:1" ht="13.15" customHeight="1" x14ac:dyDescent="0.2">
      <c r="A2340" s="103"/>
    </row>
    <row r="2341" spans="1:1" ht="13.15" customHeight="1" x14ac:dyDescent="0.2">
      <c r="A2341" s="103"/>
    </row>
    <row r="2342" spans="1:1" ht="13.15" customHeight="1" x14ac:dyDescent="0.2">
      <c r="A2342" s="103"/>
    </row>
    <row r="2343" spans="1:1" ht="13.15" customHeight="1" x14ac:dyDescent="0.2">
      <c r="A2343" s="103"/>
    </row>
    <row r="2344" spans="1:1" ht="13.15" customHeight="1" x14ac:dyDescent="0.2">
      <c r="A2344" s="103"/>
    </row>
    <row r="2345" spans="1:1" ht="13.15" customHeight="1" x14ac:dyDescent="0.2">
      <c r="A2345" s="103"/>
    </row>
    <row r="2346" spans="1:1" ht="13.15" customHeight="1" x14ac:dyDescent="0.2">
      <c r="A2346" s="103"/>
    </row>
    <row r="2347" spans="1:1" ht="13.15" customHeight="1" x14ac:dyDescent="0.2">
      <c r="A2347" s="103"/>
    </row>
    <row r="2348" spans="1:1" ht="13.15" customHeight="1" x14ac:dyDescent="0.2">
      <c r="A2348" s="103"/>
    </row>
    <row r="2349" spans="1:1" ht="13.15" customHeight="1" x14ac:dyDescent="0.2">
      <c r="A2349" s="103"/>
    </row>
    <row r="2350" spans="1:1" ht="13.15" customHeight="1" x14ac:dyDescent="0.2">
      <c r="A2350" s="103"/>
    </row>
    <row r="2351" spans="1:1" ht="13.15" customHeight="1" x14ac:dyDescent="0.2">
      <c r="A2351" s="103"/>
    </row>
    <row r="2352" spans="1:1" ht="13.15" customHeight="1" x14ac:dyDescent="0.2">
      <c r="A2352" s="103"/>
    </row>
    <row r="2353" spans="1:1" ht="13.15" customHeight="1" x14ac:dyDescent="0.2">
      <c r="A2353" s="103"/>
    </row>
    <row r="2354" spans="1:1" ht="13.15" customHeight="1" x14ac:dyDescent="0.2">
      <c r="A2354" s="103"/>
    </row>
    <row r="2355" spans="1:1" ht="13.15" customHeight="1" x14ac:dyDescent="0.2">
      <c r="A2355" s="103"/>
    </row>
    <row r="2356" spans="1:1" ht="13.15" customHeight="1" x14ac:dyDescent="0.2">
      <c r="A2356" s="103"/>
    </row>
    <row r="2357" spans="1:1" ht="13.15" customHeight="1" x14ac:dyDescent="0.2">
      <c r="A2357" s="103"/>
    </row>
    <row r="2358" spans="1:1" ht="13.15" customHeight="1" x14ac:dyDescent="0.2">
      <c r="A2358" s="103"/>
    </row>
    <row r="2359" spans="1:1" ht="13.15" customHeight="1" x14ac:dyDescent="0.2">
      <c r="A2359" s="103"/>
    </row>
    <row r="2360" spans="1:1" ht="13.15" customHeight="1" x14ac:dyDescent="0.2">
      <c r="A2360" s="103"/>
    </row>
    <row r="2361" spans="1:1" ht="13.15" customHeight="1" x14ac:dyDescent="0.2">
      <c r="A2361" s="103"/>
    </row>
    <row r="2362" spans="1:1" ht="13.15" customHeight="1" x14ac:dyDescent="0.2">
      <c r="A2362" s="103"/>
    </row>
    <row r="2363" spans="1:1" ht="13.15" customHeight="1" x14ac:dyDescent="0.2">
      <c r="A2363" s="103"/>
    </row>
    <row r="2364" spans="1:1" ht="13.15" customHeight="1" x14ac:dyDescent="0.2">
      <c r="A2364" s="103"/>
    </row>
    <row r="2365" spans="1:1" ht="13.15" customHeight="1" x14ac:dyDescent="0.2">
      <c r="A2365" s="103"/>
    </row>
    <row r="2366" spans="1:1" ht="13.15" customHeight="1" x14ac:dyDescent="0.2">
      <c r="A2366" s="103"/>
    </row>
    <row r="2367" spans="1:1" ht="13.15" customHeight="1" x14ac:dyDescent="0.2">
      <c r="A2367" s="103"/>
    </row>
    <row r="2368" spans="1:1" ht="13.15" customHeight="1" x14ac:dyDescent="0.2">
      <c r="A2368" s="103"/>
    </row>
    <row r="2369" spans="1:1" ht="13.15" customHeight="1" x14ac:dyDescent="0.2">
      <c r="A2369" s="103"/>
    </row>
    <row r="2370" spans="1:1" ht="13.15" customHeight="1" x14ac:dyDescent="0.2">
      <c r="A2370" s="103"/>
    </row>
    <row r="2371" spans="1:1" ht="13.15" customHeight="1" x14ac:dyDescent="0.2">
      <c r="A2371" s="103"/>
    </row>
    <row r="2372" spans="1:1" ht="13.15" customHeight="1" x14ac:dyDescent="0.2">
      <c r="A2372" s="103"/>
    </row>
    <row r="2373" spans="1:1" ht="13.15" customHeight="1" x14ac:dyDescent="0.2">
      <c r="A2373" s="103"/>
    </row>
    <row r="2374" spans="1:1" ht="13.15" customHeight="1" x14ac:dyDescent="0.2">
      <c r="A2374" s="103"/>
    </row>
    <row r="2375" spans="1:1" ht="13.15" customHeight="1" x14ac:dyDescent="0.2">
      <c r="A2375" s="103"/>
    </row>
    <row r="2376" spans="1:1" ht="13.15" customHeight="1" x14ac:dyDescent="0.2">
      <c r="A2376" s="103"/>
    </row>
    <row r="2377" spans="1:1" ht="13.15" customHeight="1" x14ac:dyDescent="0.2">
      <c r="A2377" s="103"/>
    </row>
    <row r="2378" spans="1:1" ht="13.15" customHeight="1" x14ac:dyDescent="0.2">
      <c r="A2378" s="103"/>
    </row>
    <row r="2379" spans="1:1" ht="13.15" customHeight="1" x14ac:dyDescent="0.2">
      <c r="A2379" s="103"/>
    </row>
    <row r="2380" spans="1:1" ht="13.15" customHeight="1" x14ac:dyDescent="0.2">
      <c r="A2380" s="103"/>
    </row>
    <row r="2381" spans="1:1" ht="13.15" customHeight="1" x14ac:dyDescent="0.2">
      <c r="A2381" s="103"/>
    </row>
    <row r="2382" spans="1:1" ht="13.15" customHeight="1" x14ac:dyDescent="0.2">
      <c r="A2382" s="103"/>
    </row>
    <row r="2383" spans="1:1" ht="13.15" customHeight="1" x14ac:dyDescent="0.2">
      <c r="A2383" s="103"/>
    </row>
    <row r="2384" spans="1:1" ht="13.15" customHeight="1" x14ac:dyDescent="0.2">
      <c r="A2384" s="103"/>
    </row>
    <row r="2385" spans="1:1" ht="13.15" customHeight="1" x14ac:dyDescent="0.2">
      <c r="A2385" s="103"/>
    </row>
    <row r="2386" spans="1:1" ht="13.15" customHeight="1" x14ac:dyDescent="0.2">
      <c r="A2386" s="103"/>
    </row>
    <row r="2387" spans="1:1" ht="13.15" customHeight="1" x14ac:dyDescent="0.2">
      <c r="A2387" s="103"/>
    </row>
    <row r="2388" spans="1:1" ht="13.15" customHeight="1" x14ac:dyDescent="0.2">
      <c r="A2388" s="103"/>
    </row>
    <row r="2389" spans="1:1" ht="13.15" customHeight="1" x14ac:dyDescent="0.2">
      <c r="A2389" s="103"/>
    </row>
    <row r="2390" spans="1:1" ht="13.15" customHeight="1" x14ac:dyDescent="0.2">
      <c r="A2390" s="103"/>
    </row>
    <row r="2391" spans="1:1" ht="13.15" customHeight="1" x14ac:dyDescent="0.2">
      <c r="A2391" s="103"/>
    </row>
    <row r="2392" spans="1:1" ht="13.15" customHeight="1" x14ac:dyDescent="0.2">
      <c r="A2392" s="103"/>
    </row>
    <row r="2393" spans="1:1" ht="13.15" customHeight="1" x14ac:dyDescent="0.2">
      <c r="A2393" s="103"/>
    </row>
    <row r="2394" spans="1:1" ht="13.15" customHeight="1" x14ac:dyDescent="0.2">
      <c r="A2394" s="103"/>
    </row>
    <row r="2395" spans="1:1" ht="13.15" customHeight="1" x14ac:dyDescent="0.2">
      <c r="A2395" s="103"/>
    </row>
    <row r="2396" spans="1:1" ht="13.15" customHeight="1" x14ac:dyDescent="0.2">
      <c r="A2396" s="103"/>
    </row>
    <row r="2397" spans="1:1" ht="13.15" customHeight="1" x14ac:dyDescent="0.2">
      <c r="A2397" s="103"/>
    </row>
    <row r="2398" spans="1:1" ht="13.15" customHeight="1" x14ac:dyDescent="0.2">
      <c r="A2398" s="103"/>
    </row>
    <row r="2399" spans="1:1" ht="13.15" customHeight="1" x14ac:dyDescent="0.2">
      <c r="A2399" s="103"/>
    </row>
    <row r="2400" spans="1:1" ht="13.15" customHeight="1" x14ac:dyDescent="0.2">
      <c r="A2400" s="103"/>
    </row>
    <row r="2401" spans="1:1" ht="13.15" customHeight="1" x14ac:dyDescent="0.2">
      <c r="A2401" s="103"/>
    </row>
    <row r="2402" spans="1:1" ht="13.15" customHeight="1" x14ac:dyDescent="0.2">
      <c r="A2402" s="103"/>
    </row>
    <row r="2403" spans="1:1" ht="13.15" customHeight="1" x14ac:dyDescent="0.2">
      <c r="A2403" s="103"/>
    </row>
    <row r="2404" spans="1:1" ht="13.15" customHeight="1" x14ac:dyDescent="0.2">
      <c r="A2404" s="103"/>
    </row>
    <row r="2405" spans="1:1" ht="13.15" customHeight="1" x14ac:dyDescent="0.2">
      <c r="A2405" s="103"/>
    </row>
    <row r="2406" spans="1:1" ht="13.15" customHeight="1" x14ac:dyDescent="0.2">
      <c r="A2406" s="103"/>
    </row>
    <row r="2407" spans="1:1" ht="13.15" customHeight="1" x14ac:dyDescent="0.2">
      <c r="A2407" s="103"/>
    </row>
    <row r="2408" spans="1:1" ht="13.15" customHeight="1" x14ac:dyDescent="0.2">
      <c r="A2408" s="103"/>
    </row>
    <row r="2409" spans="1:1" ht="13.15" customHeight="1" x14ac:dyDescent="0.2">
      <c r="A2409" s="103"/>
    </row>
    <row r="2410" spans="1:1" ht="13.15" customHeight="1" x14ac:dyDescent="0.2">
      <c r="A2410" s="103"/>
    </row>
    <row r="2411" spans="1:1" ht="13.15" customHeight="1" x14ac:dyDescent="0.2">
      <c r="A2411" s="103"/>
    </row>
    <row r="2412" spans="1:1" ht="13.15" customHeight="1" x14ac:dyDescent="0.2">
      <c r="A2412" s="103"/>
    </row>
    <row r="2413" spans="1:1" ht="13.15" customHeight="1" x14ac:dyDescent="0.2">
      <c r="A2413" s="103"/>
    </row>
    <row r="2414" spans="1:1" ht="13.15" customHeight="1" x14ac:dyDescent="0.2">
      <c r="A2414" s="103"/>
    </row>
    <row r="2415" spans="1:1" ht="13.15" customHeight="1" x14ac:dyDescent="0.2">
      <c r="A2415" s="103"/>
    </row>
    <row r="2416" spans="1:1" ht="13.15" customHeight="1" x14ac:dyDescent="0.2">
      <c r="A2416" s="103"/>
    </row>
    <row r="2417" spans="1:1" ht="13.15" customHeight="1" x14ac:dyDescent="0.2">
      <c r="A2417" s="103"/>
    </row>
    <row r="2418" spans="1:1" ht="13.15" customHeight="1" x14ac:dyDescent="0.2">
      <c r="A2418" s="103"/>
    </row>
    <row r="2419" spans="1:1" ht="13.15" customHeight="1" x14ac:dyDescent="0.2">
      <c r="A2419" s="103"/>
    </row>
    <row r="2420" spans="1:1" ht="13.15" customHeight="1" x14ac:dyDescent="0.2">
      <c r="A2420" s="103"/>
    </row>
    <row r="2421" spans="1:1" ht="13.15" customHeight="1" x14ac:dyDescent="0.2">
      <c r="A2421" s="103"/>
    </row>
    <row r="2422" spans="1:1" ht="13.15" customHeight="1" x14ac:dyDescent="0.2">
      <c r="A2422" s="103"/>
    </row>
    <row r="2423" spans="1:1" ht="13.15" customHeight="1" x14ac:dyDescent="0.2">
      <c r="A2423" s="103"/>
    </row>
    <row r="2424" spans="1:1" ht="13.15" customHeight="1" x14ac:dyDescent="0.2">
      <c r="A2424" s="103"/>
    </row>
    <row r="2425" spans="1:1" ht="13.15" customHeight="1" x14ac:dyDescent="0.2">
      <c r="A2425" s="103"/>
    </row>
    <row r="2426" spans="1:1" ht="13.15" customHeight="1" x14ac:dyDescent="0.2">
      <c r="A2426" s="103"/>
    </row>
    <row r="2427" spans="1:1" ht="13.15" customHeight="1" x14ac:dyDescent="0.2">
      <c r="A2427" s="103"/>
    </row>
    <row r="2428" spans="1:1" ht="13.15" customHeight="1" x14ac:dyDescent="0.2">
      <c r="A2428" s="103"/>
    </row>
    <row r="2429" spans="1:1" ht="13.15" customHeight="1" x14ac:dyDescent="0.2">
      <c r="A2429" s="103"/>
    </row>
    <row r="2430" spans="1:1" ht="13.15" customHeight="1" x14ac:dyDescent="0.2">
      <c r="A2430" s="103"/>
    </row>
    <row r="2431" spans="1:1" ht="13.15" customHeight="1" x14ac:dyDescent="0.2">
      <c r="A2431" s="103"/>
    </row>
    <row r="2432" spans="1:1" ht="13.15" customHeight="1" x14ac:dyDescent="0.2">
      <c r="A2432" s="103"/>
    </row>
    <row r="2433" spans="1:1" ht="13.15" customHeight="1" x14ac:dyDescent="0.2">
      <c r="A2433" s="103"/>
    </row>
    <row r="2434" spans="1:1" ht="13.15" customHeight="1" x14ac:dyDescent="0.2">
      <c r="A2434" s="103"/>
    </row>
    <row r="2435" spans="1:1" ht="13.15" customHeight="1" x14ac:dyDescent="0.2">
      <c r="A2435" s="103"/>
    </row>
    <row r="2436" spans="1:1" ht="13.15" customHeight="1" x14ac:dyDescent="0.2">
      <c r="A2436" s="103"/>
    </row>
    <row r="2437" spans="1:1" ht="13.15" customHeight="1" x14ac:dyDescent="0.2">
      <c r="A2437" s="103"/>
    </row>
    <row r="2438" spans="1:1" ht="13.15" customHeight="1" x14ac:dyDescent="0.2">
      <c r="A2438" s="103"/>
    </row>
    <row r="2439" spans="1:1" ht="13.15" customHeight="1" x14ac:dyDescent="0.2">
      <c r="A2439" s="103"/>
    </row>
    <row r="2440" spans="1:1" ht="13.15" customHeight="1" x14ac:dyDescent="0.2">
      <c r="A2440" s="103"/>
    </row>
    <row r="2441" spans="1:1" ht="13.15" customHeight="1" x14ac:dyDescent="0.2">
      <c r="A2441" s="103"/>
    </row>
    <row r="2442" spans="1:1" ht="13.15" customHeight="1" x14ac:dyDescent="0.2">
      <c r="A2442" s="103"/>
    </row>
    <row r="2443" spans="1:1" ht="13.15" customHeight="1" x14ac:dyDescent="0.2">
      <c r="A2443" s="103"/>
    </row>
    <row r="2444" spans="1:1" ht="13.15" customHeight="1" x14ac:dyDescent="0.2">
      <c r="A2444" s="103"/>
    </row>
    <row r="2445" spans="1:1" ht="13.15" customHeight="1" x14ac:dyDescent="0.2">
      <c r="A2445" s="103"/>
    </row>
    <row r="2446" spans="1:1" ht="13.15" customHeight="1" x14ac:dyDescent="0.2">
      <c r="A2446" s="103"/>
    </row>
    <row r="2447" spans="1:1" ht="13.15" customHeight="1" x14ac:dyDescent="0.2">
      <c r="A2447" s="103"/>
    </row>
    <row r="2448" spans="1:1" ht="13.15" customHeight="1" x14ac:dyDescent="0.2">
      <c r="A2448" s="103"/>
    </row>
    <row r="2449" spans="1:1" ht="13.15" customHeight="1" x14ac:dyDescent="0.2">
      <c r="A2449" s="103"/>
    </row>
    <row r="2450" spans="1:1" ht="13.15" customHeight="1" x14ac:dyDescent="0.2">
      <c r="A2450" s="103"/>
    </row>
    <row r="2451" spans="1:1" ht="13.15" customHeight="1" x14ac:dyDescent="0.2">
      <c r="A2451" s="103"/>
    </row>
    <row r="2452" spans="1:1" ht="13.15" customHeight="1" x14ac:dyDescent="0.2">
      <c r="A2452" s="103"/>
    </row>
    <row r="2453" spans="1:1" ht="13.15" customHeight="1" x14ac:dyDescent="0.2">
      <c r="A2453" s="103"/>
    </row>
    <row r="2454" spans="1:1" ht="13.15" customHeight="1" x14ac:dyDescent="0.2">
      <c r="A2454" s="103"/>
    </row>
    <row r="2455" spans="1:1" ht="13.15" customHeight="1" x14ac:dyDescent="0.2">
      <c r="A2455" s="103"/>
    </row>
    <row r="2456" spans="1:1" ht="13.15" customHeight="1" x14ac:dyDescent="0.2">
      <c r="A2456" s="103"/>
    </row>
    <row r="2457" spans="1:1" ht="13.15" customHeight="1" x14ac:dyDescent="0.2">
      <c r="A2457" s="103"/>
    </row>
    <row r="2458" spans="1:1" ht="13.15" customHeight="1" x14ac:dyDescent="0.2">
      <c r="A2458" s="103"/>
    </row>
    <row r="2459" spans="1:1" ht="13.15" customHeight="1" x14ac:dyDescent="0.2">
      <c r="A2459" s="103"/>
    </row>
    <row r="2460" spans="1:1" ht="13.15" customHeight="1" x14ac:dyDescent="0.2">
      <c r="A2460" s="103"/>
    </row>
    <row r="2461" spans="1:1" ht="13.15" customHeight="1" x14ac:dyDescent="0.2">
      <c r="A2461" s="103"/>
    </row>
    <row r="2462" spans="1:1" ht="13.15" customHeight="1" x14ac:dyDescent="0.2">
      <c r="A2462" s="103"/>
    </row>
    <row r="2463" spans="1:1" ht="13.15" customHeight="1" x14ac:dyDescent="0.2">
      <c r="A2463" s="103"/>
    </row>
    <row r="2464" spans="1:1" ht="13.15" customHeight="1" x14ac:dyDescent="0.2">
      <c r="A2464" s="103"/>
    </row>
    <row r="2465" spans="1:1" ht="13.15" customHeight="1" x14ac:dyDescent="0.2">
      <c r="A2465" s="103"/>
    </row>
    <row r="2466" spans="1:1" ht="13.15" customHeight="1" x14ac:dyDescent="0.2">
      <c r="A2466" s="103"/>
    </row>
    <row r="2467" spans="1:1" ht="13.15" customHeight="1" x14ac:dyDescent="0.2">
      <c r="A2467" s="103"/>
    </row>
    <row r="2468" spans="1:1" ht="13.15" customHeight="1" x14ac:dyDescent="0.2">
      <c r="A2468" s="103"/>
    </row>
    <row r="2469" spans="1:1" ht="13.15" customHeight="1" x14ac:dyDescent="0.2">
      <c r="A2469" s="103"/>
    </row>
    <row r="2470" spans="1:1" ht="13.15" customHeight="1" x14ac:dyDescent="0.2">
      <c r="A2470" s="103"/>
    </row>
    <row r="2471" spans="1:1" ht="13.15" customHeight="1" x14ac:dyDescent="0.2">
      <c r="A2471" s="103"/>
    </row>
    <row r="2472" spans="1:1" ht="13.15" customHeight="1" x14ac:dyDescent="0.2">
      <c r="A2472" s="103"/>
    </row>
    <row r="2473" spans="1:1" ht="13.15" customHeight="1" x14ac:dyDescent="0.2">
      <c r="A2473" s="103"/>
    </row>
    <row r="2474" spans="1:1" ht="13.15" customHeight="1" x14ac:dyDescent="0.2">
      <c r="A2474" s="103"/>
    </row>
    <row r="2475" spans="1:1" ht="13.15" customHeight="1" x14ac:dyDescent="0.2">
      <c r="A2475" s="103"/>
    </row>
    <row r="2476" spans="1:1" ht="13.15" customHeight="1" x14ac:dyDescent="0.2">
      <c r="A2476" s="103"/>
    </row>
    <row r="2477" spans="1:1" ht="13.15" customHeight="1" x14ac:dyDescent="0.2">
      <c r="A2477" s="103"/>
    </row>
    <row r="2478" spans="1:1" ht="13.15" customHeight="1" x14ac:dyDescent="0.2">
      <c r="A2478" s="103"/>
    </row>
    <row r="2479" spans="1:1" ht="13.15" customHeight="1" x14ac:dyDescent="0.2">
      <c r="A2479" s="103"/>
    </row>
    <row r="2480" spans="1:1" ht="13.15" customHeight="1" x14ac:dyDescent="0.2">
      <c r="A2480" s="103"/>
    </row>
    <row r="2481" spans="1:1" ht="13.15" customHeight="1" x14ac:dyDescent="0.2">
      <c r="A2481" s="103"/>
    </row>
    <row r="2482" spans="1:1" ht="13.15" customHeight="1" x14ac:dyDescent="0.2">
      <c r="A2482" s="103"/>
    </row>
    <row r="2483" spans="1:1" ht="13.15" customHeight="1" x14ac:dyDescent="0.2">
      <c r="A2483" s="103"/>
    </row>
    <row r="2484" spans="1:1" ht="13.15" customHeight="1" x14ac:dyDescent="0.2">
      <c r="A2484" s="103"/>
    </row>
    <row r="2485" spans="1:1" ht="13.15" customHeight="1" x14ac:dyDescent="0.2">
      <c r="A2485" s="103"/>
    </row>
    <row r="2486" spans="1:1" ht="13.15" customHeight="1" x14ac:dyDescent="0.2">
      <c r="A2486" s="103"/>
    </row>
    <row r="2487" spans="1:1" ht="13.15" customHeight="1" x14ac:dyDescent="0.2">
      <c r="A2487" s="103"/>
    </row>
    <row r="2488" spans="1:1" ht="13.15" customHeight="1" x14ac:dyDescent="0.2">
      <c r="A2488" s="103"/>
    </row>
    <row r="2489" spans="1:1" ht="13.15" customHeight="1" x14ac:dyDescent="0.2">
      <c r="A2489" s="103"/>
    </row>
    <row r="2490" spans="1:1" ht="13.15" customHeight="1" x14ac:dyDescent="0.2">
      <c r="A2490" s="103"/>
    </row>
    <row r="2491" spans="1:1" ht="13.15" customHeight="1" x14ac:dyDescent="0.2">
      <c r="A2491" s="103"/>
    </row>
    <row r="2492" spans="1:1" ht="13.15" customHeight="1" x14ac:dyDescent="0.2">
      <c r="A2492" s="103"/>
    </row>
    <row r="2493" spans="1:1" ht="13.15" customHeight="1" x14ac:dyDescent="0.2">
      <c r="A2493" s="103"/>
    </row>
    <row r="2494" spans="1:1" ht="13.15" customHeight="1" x14ac:dyDescent="0.2">
      <c r="A2494" s="103"/>
    </row>
    <row r="2495" spans="1:1" ht="13.15" customHeight="1" x14ac:dyDescent="0.2">
      <c r="A2495" s="103"/>
    </row>
    <row r="2496" spans="1:1" ht="13.15" customHeight="1" x14ac:dyDescent="0.2">
      <c r="A2496" s="103"/>
    </row>
    <row r="2497" spans="1:1" ht="13.15" customHeight="1" x14ac:dyDescent="0.2">
      <c r="A2497" s="103"/>
    </row>
    <row r="2498" spans="1:1" ht="13.15" customHeight="1" x14ac:dyDescent="0.2">
      <c r="A2498" s="103"/>
    </row>
    <row r="2499" spans="1:1" ht="13.15" customHeight="1" x14ac:dyDescent="0.2">
      <c r="A2499" s="103"/>
    </row>
    <row r="2500" spans="1:1" ht="13.15" customHeight="1" x14ac:dyDescent="0.2">
      <c r="A2500" s="103"/>
    </row>
    <row r="2501" spans="1:1" ht="13.15" customHeight="1" x14ac:dyDescent="0.2">
      <c r="A2501" s="103"/>
    </row>
    <row r="2502" spans="1:1" ht="13.15" customHeight="1" x14ac:dyDescent="0.2">
      <c r="A2502" s="103"/>
    </row>
    <row r="2503" spans="1:1" ht="13.15" customHeight="1" x14ac:dyDescent="0.2">
      <c r="A2503" s="103"/>
    </row>
    <row r="2504" spans="1:1" ht="13.15" customHeight="1" x14ac:dyDescent="0.2">
      <c r="A2504" s="103"/>
    </row>
    <row r="2505" spans="1:1" ht="13.15" customHeight="1" x14ac:dyDescent="0.2">
      <c r="A2505" s="103"/>
    </row>
    <row r="2506" spans="1:1" ht="13.15" customHeight="1" x14ac:dyDescent="0.2">
      <c r="A2506" s="103"/>
    </row>
    <row r="2507" spans="1:1" ht="13.15" customHeight="1" x14ac:dyDescent="0.2">
      <c r="A2507" s="103"/>
    </row>
    <row r="2508" spans="1:1" ht="13.15" customHeight="1" x14ac:dyDescent="0.2">
      <c r="A2508" s="103"/>
    </row>
    <row r="2509" spans="1:1" ht="13.15" customHeight="1" x14ac:dyDescent="0.2">
      <c r="A2509" s="103"/>
    </row>
    <row r="2510" spans="1:1" ht="13.15" customHeight="1" x14ac:dyDescent="0.2">
      <c r="A2510" s="103"/>
    </row>
    <row r="2511" spans="1:1" ht="13.15" customHeight="1" x14ac:dyDescent="0.2">
      <c r="A2511" s="103"/>
    </row>
    <row r="2512" spans="1:1" ht="13.15" customHeight="1" x14ac:dyDescent="0.2">
      <c r="A2512" s="103"/>
    </row>
    <row r="2513" spans="1:1" ht="13.15" customHeight="1" x14ac:dyDescent="0.2">
      <c r="A2513" s="103"/>
    </row>
    <row r="2514" spans="1:1" ht="13.15" customHeight="1" x14ac:dyDescent="0.2">
      <c r="A2514" s="103"/>
    </row>
    <row r="2515" spans="1:1" ht="13.15" customHeight="1" x14ac:dyDescent="0.2">
      <c r="A2515" s="103"/>
    </row>
    <row r="2516" spans="1:1" ht="13.15" customHeight="1" x14ac:dyDescent="0.2">
      <c r="A2516" s="103"/>
    </row>
    <row r="2517" spans="1:1" ht="13.15" customHeight="1" x14ac:dyDescent="0.2">
      <c r="A2517" s="103"/>
    </row>
    <row r="2518" spans="1:1" ht="13.15" customHeight="1" x14ac:dyDescent="0.2">
      <c r="A2518" s="103"/>
    </row>
    <row r="2519" spans="1:1" ht="13.15" customHeight="1" x14ac:dyDescent="0.2">
      <c r="A2519" s="103"/>
    </row>
    <row r="2520" spans="1:1" ht="13.15" customHeight="1" x14ac:dyDescent="0.2">
      <c r="A2520" s="103"/>
    </row>
    <row r="2521" spans="1:1" ht="13.15" customHeight="1" x14ac:dyDescent="0.2">
      <c r="A2521" s="103"/>
    </row>
    <row r="2522" spans="1:1" ht="13.15" customHeight="1" x14ac:dyDescent="0.2">
      <c r="A2522" s="103"/>
    </row>
    <row r="2523" spans="1:1" ht="13.15" customHeight="1" x14ac:dyDescent="0.2">
      <c r="A2523" s="103"/>
    </row>
    <row r="2524" spans="1:1" ht="13.15" customHeight="1" x14ac:dyDescent="0.2">
      <c r="A2524" s="103"/>
    </row>
    <row r="2525" spans="1:1" ht="13.15" customHeight="1" x14ac:dyDescent="0.2">
      <c r="A2525" s="103"/>
    </row>
    <row r="2526" spans="1:1" ht="13.15" customHeight="1" x14ac:dyDescent="0.2">
      <c r="A2526" s="103"/>
    </row>
    <row r="2527" spans="1:1" ht="13.15" customHeight="1" x14ac:dyDescent="0.2">
      <c r="A2527" s="103"/>
    </row>
    <row r="2528" spans="1:1" ht="13.15" customHeight="1" x14ac:dyDescent="0.2">
      <c r="A2528" s="103"/>
    </row>
    <row r="2529" spans="1:1" ht="13.15" customHeight="1" x14ac:dyDescent="0.2">
      <c r="A2529" s="103"/>
    </row>
    <row r="2530" spans="1:1" ht="13.15" customHeight="1" x14ac:dyDescent="0.2">
      <c r="A2530" s="103"/>
    </row>
    <row r="2531" spans="1:1" ht="13.15" customHeight="1" x14ac:dyDescent="0.2">
      <c r="A2531" s="103"/>
    </row>
    <row r="2532" spans="1:1" ht="13.15" customHeight="1" x14ac:dyDescent="0.2">
      <c r="A2532" s="103"/>
    </row>
    <row r="2533" spans="1:1" ht="13.15" customHeight="1" x14ac:dyDescent="0.2">
      <c r="A2533" s="103"/>
    </row>
    <row r="2534" spans="1:1" ht="13.15" customHeight="1" x14ac:dyDescent="0.2">
      <c r="A2534" s="103"/>
    </row>
    <row r="2535" spans="1:1" ht="13.15" customHeight="1" x14ac:dyDescent="0.2">
      <c r="A2535" s="103"/>
    </row>
    <row r="2536" spans="1:1" ht="13.15" customHeight="1" x14ac:dyDescent="0.2">
      <c r="A2536" s="103"/>
    </row>
    <row r="2537" spans="1:1" ht="13.15" customHeight="1" x14ac:dyDescent="0.2">
      <c r="A2537" s="103"/>
    </row>
    <row r="2538" spans="1:1" ht="13.15" customHeight="1" x14ac:dyDescent="0.2">
      <c r="A2538" s="103"/>
    </row>
    <row r="2539" spans="1:1" ht="13.15" customHeight="1" x14ac:dyDescent="0.2">
      <c r="A2539" s="103"/>
    </row>
    <row r="2540" spans="1:1" ht="13.15" customHeight="1" x14ac:dyDescent="0.2">
      <c r="A2540" s="103"/>
    </row>
    <row r="2541" spans="1:1" ht="13.15" customHeight="1" x14ac:dyDescent="0.2">
      <c r="A2541" s="103"/>
    </row>
    <row r="2542" spans="1:1" ht="13.15" customHeight="1" x14ac:dyDescent="0.2">
      <c r="A2542" s="103"/>
    </row>
    <row r="2543" spans="1:1" ht="13.15" customHeight="1" x14ac:dyDescent="0.2">
      <c r="A2543" s="103"/>
    </row>
    <row r="2544" spans="1:1" ht="13.15" customHeight="1" x14ac:dyDescent="0.2">
      <c r="A2544" s="103"/>
    </row>
    <row r="2545" spans="1:1" ht="13.15" customHeight="1" x14ac:dyDescent="0.2">
      <c r="A2545" s="103"/>
    </row>
    <row r="2546" spans="1:1" ht="13.15" customHeight="1" x14ac:dyDescent="0.2">
      <c r="A2546" s="103"/>
    </row>
    <row r="2547" spans="1:1" ht="13.15" customHeight="1" x14ac:dyDescent="0.2">
      <c r="A2547" s="103"/>
    </row>
    <row r="2548" spans="1:1" ht="13.15" customHeight="1" x14ac:dyDescent="0.2">
      <c r="A2548" s="103"/>
    </row>
    <row r="2549" spans="1:1" ht="13.15" customHeight="1" x14ac:dyDescent="0.2">
      <c r="A2549" s="103"/>
    </row>
    <row r="2550" spans="1:1" ht="13.15" customHeight="1" x14ac:dyDescent="0.2">
      <c r="A2550" s="103"/>
    </row>
    <row r="2551" spans="1:1" ht="13.15" customHeight="1" x14ac:dyDescent="0.2">
      <c r="A2551" s="103"/>
    </row>
    <row r="2552" spans="1:1" ht="13.15" customHeight="1" x14ac:dyDescent="0.2">
      <c r="A2552" s="103"/>
    </row>
    <row r="2553" spans="1:1" ht="13.15" customHeight="1" x14ac:dyDescent="0.2">
      <c r="A2553" s="103"/>
    </row>
    <row r="2554" spans="1:1" ht="13.15" customHeight="1" x14ac:dyDescent="0.2">
      <c r="A2554" s="103"/>
    </row>
    <row r="2555" spans="1:1" ht="13.15" customHeight="1" x14ac:dyDescent="0.2">
      <c r="A2555" s="103"/>
    </row>
    <row r="2556" spans="1:1" ht="13.15" customHeight="1" x14ac:dyDescent="0.2">
      <c r="A2556" s="103"/>
    </row>
    <row r="2557" spans="1:1" ht="13.15" customHeight="1" x14ac:dyDescent="0.2">
      <c r="A2557" s="103"/>
    </row>
    <row r="2558" spans="1:1" ht="13.15" customHeight="1" x14ac:dyDescent="0.2">
      <c r="A2558" s="103"/>
    </row>
    <row r="2559" spans="1:1" ht="13.15" customHeight="1" x14ac:dyDescent="0.2">
      <c r="A2559" s="103"/>
    </row>
    <row r="2560" spans="1:1" ht="13.15" customHeight="1" x14ac:dyDescent="0.2">
      <c r="A2560" s="103"/>
    </row>
    <row r="2561" spans="1:1" ht="13.15" customHeight="1" x14ac:dyDescent="0.2">
      <c r="A2561" s="103"/>
    </row>
    <row r="2562" spans="1:1" ht="13.15" customHeight="1" x14ac:dyDescent="0.2">
      <c r="A2562" s="103"/>
    </row>
    <row r="2563" spans="1:1" ht="13.15" customHeight="1" x14ac:dyDescent="0.2">
      <c r="A2563" s="103"/>
    </row>
    <row r="2564" spans="1:1" ht="13.15" customHeight="1" x14ac:dyDescent="0.2">
      <c r="A2564" s="103"/>
    </row>
    <row r="2565" spans="1:1" ht="13.15" customHeight="1" x14ac:dyDescent="0.2">
      <c r="A2565" s="103"/>
    </row>
    <row r="2566" spans="1:1" ht="13.15" customHeight="1" x14ac:dyDescent="0.2">
      <c r="A2566" s="103"/>
    </row>
    <row r="2567" spans="1:1" ht="13.15" customHeight="1" x14ac:dyDescent="0.2">
      <c r="A2567" s="103"/>
    </row>
    <row r="2568" spans="1:1" ht="13.15" customHeight="1" x14ac:dyDescent="0.2">
      <c r="A2568" s="103"/>
    </row>
    <row r="2569" spans="1:1" ht="13.15" customHeight="1" x14ac:dyDescent="0.2">
      <c r="A2569" s="103"/>
    </row>
    <row r="2570" spans="1:1" ht="13.15" customHeight="1" x14ac:dyDescent="0.2">
      <c r="A2570" s="103"/>
    </row>
    <row r="2571" spans="1:1" ht="13.15" customHeight="1" x14ac:dyDescent="0.2">
      <c r="A2571" s="103"/>
    </row>
    <row r="2572" spans="1:1" ht="13.15" customHeight="1" x14ac:dyDescent="0.2">
      <c r="A2572" s="103"/>
    </row>
    <row r="2573" spans="1:1" ht="13.15" customHeight="1" x14ac:dyDescent="0.2">
      <c r="A2573" s="103"/>
    </row>
    <row r="2574" spans="1:1" ht="13.15" customHeight="1" x14ac:dyDescent="0.2">
      <c r="A2574" s="103"/>
    </row>
    <row r="2575" spans="1:1" ht="13.15" customHeight="1" x14ac:dyDescent="0.2">
      <c r="A2575" s="103"/>
    </row>
    <row r="2576" spans="1:1" ht="13.15" customHeight="1" x14ac:dyDescent="0.2">
      <c r="A2576" s="103"/>
    </row>
    <row r="2577" spans="1:1" ht="13.15" customHeight="1" x14ac:dyDescent="0.2">
      <c r="A2577" s="103"/>
    </row>
    <row r="2578" spans="1:1" ht="13.15" customHeight="1" x14ac:dyDescent="0.2">
      <c r="A2578" s="103"/>
    </row>
    <row r="2579" spans="1:1" ht="13.15" customHeight="1" x14ac:dyDescent="0.2">
      <c r="A2579" s="103"/>
    </row>
    <row r="2580" spans="1:1" ht="13.15" customHeight="1" x14ac:dyDescent="0.2">
      <c r="A2580" s="103"/>
    </row>
    <row r="2581" spans="1:1" ht="13.15" customHeight="1" x14ac:dyDescent="0.2">
      <c r="A2581" s="103"/>
    </row>
    <row r="2582" spans="1:1" ht="13.15" customHeight="1" x14ac:dyDescent="0.2">
      <c r="A2582" s="103"/>
    </row>
    <row r="2583" spans="1:1" ht="13.15" customHeight="1" x14ac:dyDescent="0.2">
      <c r="A2583" s="103"/>
    </row>
    <row r="2584" spans="1:1" ht="13.15" customHeight="1" x14ac:dyDescent="0.2">
      <c r="A2584" s="103"/>
    </row>
    <row r="2585" spans="1:1" ht="13.15" customHeight="1" x14ac:dyDescent="0.2">
      <c r="A2585" s="103"/>
    </row>
    <row r="2586" spans="1:1" ht="13.15" customHeight="1" x14ac:dyDescent="0.2">
      <c r="A2586" s="103"/>
    </row>
    <row r="2587" spans="1:1" ht="13.15" customHeight="1" x14ac:dyDescent="0.2">
      <c r="A2587" s="103"/>
    </row>
    <row r="2588" spans="1:1" ht="13.15" customHeight="1" x14ac:dyDescent="0.2">
      <c r="A2588" s="103"/>
    </row>
    <row r="2589" spans="1:1" ht="13.15" customHeight="1" x14ac:dyDescent="0.2">
      <c r="A2589" s="103"/>
    </row>
    <row r="2590" spans="1:1" ht="13.15" customHeight="1" x14ac:dyDescent="0.2">
      <c r="A2590" s="103"/>
    </row>
    <row r="2591" spans="1:1" ht="13.15" customHeight="1" x14ac:dyDescent="0.2">
      <c r="A2591" s="103"/>
    </row>
    <row r="2592" spans="1:1" ht="13.15" customHeight="1" x14ac:dyDescent="0.2">
      <c r="A2592" s="103"/>
    </row>
    <row r="2593" spans="1:1" ht="13.15" customHeight="1" x14ac:dyDescent="0.2">
      <c r="A2593" s="103"/>
    </row>
    <row r="2594" spans="1:1" ht="13.15" customHeight="1" x14ac:dyDescent="0.2">
      <c r="A2594" s="103"/>
    </row>
    <row r="2595" spans="1:1" ht="13.15" customHeight="1" x14ac:dyDescent="0.2">
      <c r="A2595" s="103"/>
    </row>
    <row r="2596" spans="1:1" ht="13.15" customHeight="1" x14ac:dyDescent="0.2">
      <c r="A2596" s="103"/>
    </row>
    <row r="2597" spans="1:1" ht="13.15" customHeight="1" x14ac:dyDescent="0.2">
      <c r="A2597" s="103"/>
    </row>
    <row r="2598" spans="1:1" ht="13.15" customHeight="1" x14ac:dyDescent="0.2">
      <c r="A2598" s="103"/>
    </row>
    <row r="2599" spans="1:1" ht="13.15" customHeight="1" x14ac:dyDescent="0.2">
      <c r="A2599" s="103"/>
    </row>
    <row r="2600" spans="1:1" ht="13.15" customHeight="1" x14ac:dyDescent="0.2">
      <c r="A2600" s="103"/>
    </row>
    <row r="2601" spans="1:1" ht="13.15" customHeight="1" x14ac:dyDescent="0.2">
      <c r="A2601" s="103"/>
    </row>
    <row r="2602" spans="1:1" ht="13.15" customHeight="1" x14ac:dyDescent="0.2">
      <c r="A2602" s="103"/>
    </row>
    <row r="2603" spans="1:1" ht="13.15" customHeight="1" x14ac:dyDescent="0.2">
      <c r="A2603" s="103"/>
    </row>
    <row r="2604" spans="1:1" ht="13.15" customHeight="1" x14ac:dyDescent="0.2">
      <c r="A2604" s="103"/>
    </row>
    <row r="2605" spans="1:1" ht="13.15" customHeight="1" x14ac:dyDescent="0.2">
      <c r="A2605" s="103"/>
    </row>
    <row r="2606" spans="1:1" ht="13.15" customHeight="1" x14ac:dyDescent="0.2">
      <c r="A2606" s="103"/>
    </row>
    <row r="2607" spans="1:1" ht="13.15" customHeight="1" x14ac:dyDescent="0.2">
      <c r="A2607" s="103"/>
    </row>
    <row r="2608" spans="1:1" ht="13.15" customHeight="1" x14ac:dyDescent="0.2">
      <c r="A2608" s="103"/>
    </row>
    <row r="2609" spans="1:1" ht="13.15" customHeight="1" x14ac:dyDescent="0.2">
      <c r="A2609" s="103"/>
    </row>
    <row r="2610" spans="1:1" ht="13.15" customHeight="1" x14ac:dyDescent="0.2">
      <c r="A2610" s="103"/>
    </row>
    <row r="2611" spans="1:1" ht="13.15" customHeight="1" x14ac:dyDescent="0.2">
      <c r="A2611" s="103"/>
    </row>
    <row r="2612" spans="1:1" ht="13.15" customHeight="1" x14ac:dyDescent="0.2">
      <c r="A2612" s="103"/>
    </row>
    <row r="2613" spans="1:1" ht="13.15" customHeight="1" x14ac:dyDescent="0.2">
      <c r="A2613" s="103"/>
    </row>
    <row r="2614" spans="1:1" ht="13.15" customHeight="1" x14ac:dyDescent="0.2">
      <c r="A2614" s="103"/>
    </row>
    <row r="2615" spans="1:1" ht="13.15" customHeight="1" x14ac:dyDescent="0.2">
      <c r="A2615" s="103"/>
    </row>
    <row r="2616" spans="1:1" ht="13.15" customHeight="1" x14ac:dyDescent="0.2">
      <c r="A2616" s="103"/>
    </row>
    <row r="2617" spans="1:1" ht="13.15" customHeight="1" x14ac:dyDescent="0.2">
      <c r="A2617" s="103"/>
    </row>
    <row r="2618" spans="1:1" ht="13.15" customHeight="1" x14ac:dyDescent="0.2">
      <c r="A2618" s="103"/>
    </row>
    <row r="2619" spans="1:1" ht="13.15" customHeight="1" x14ac:dyDescent="0.2">
      <c r="A2619" s="103"/>
    </row>
    <row r="2620" spans="1:1" ht="13.15" customHeight="1" x14ac:dyDescent="0.2">
      <c r="A2620" s="103"/>
    </row>
    <row r="2621" spans="1:1" ht="13.15" customHeight="1" x14ac:dyDescent="0.2">
      <c r="A2621" s="103"/>
    </row>
    <row r="2622" spans="1:1" ht="13.15" customHeight="1" x14ac:dyDescent="0.2">
      <c r="A2622" s="103"/>
    </row>
    <row r="2623" spans="1:1" ht="13.15" customHeight="1" x14ac:dyDescent="0.2">
      <c r="A2623" s="103"/>
    </row>
    <row r="2624" spans="1:1" ht="13.15" customHeight="1" x14ac:dyDescent="0.2">
      <c r="A2624" s="103"/>
    </row>
    <row r="2625" spans="1:1" ht="13.15" customHeight="1" x14ac:dyDescent="0.2">
      <c r="A2625" s="103"/>
    </row>
    <row r="2626" spans="1:1" ht="13.15" customHeight="1" x14ac:dyDescent="0.2">
      <c r="A2626" s="103"/>
    </row>
    <row r="2627" spans="1:1" ht="13.15" customHeight="1" x14ac:dyDescent="0.2">
      <c r="A2627" s="103"/>
    </row>
    <row r="2628" spans="1:1" ht="13.15" customHeight="1" x14ac:dyDescent="0.2">
      <c r="A2628" s="103"/>
    </row>
    <row r="2629" spans="1:1" ht="13.15" customHeight="1" x14ac:dyDescent="0.2">
      <c r="A2629" s="103"/>
    </row>
    <row r="2630" spans="1:1" ht="13.15" customHeight="1" x14ac:dyDescent="0.2">
      <c r="A2630" s="103"/>
    </row>
    <row r="2631" spans="1:1" ht="13.15" customHeight="1" x14ac:dyDescent="0.2">
      <c r="A2631" s="103"/>
    </row>
    <row r="2632" spans="1:1" ht="13.15" customHeight="1" x14ac:dyDescent="0.2">
      <c r="A2632" s="103"/>
    </row>
    <row r="2633" spans="1:1" ht="13.15" customHeight="1" x14ac:dyDescent="0.2">
      <c r="A2633" s="103"/>
    </row>
    <row r="2634" spans="1:1" ht="13.15" customHeight="1" x14ac:dyDescent="0.2">
      <c r="A2634" s="103"/>
    </row>
    <row r="2635" spans="1:1" ht="13.15" customHeight="1" x14ac:dyDescent="0.2">
      <c r="A2635" s="103"/>
    </row>
    <row r="2636" spans="1:1" ht="13.15" customHeight="1" x14ac:dyDescent="0.2">
      <c r="A2636" s="103"/>
    </row>
    <row r="2637" spans="1:1" ht="13.15" customHeight="1" x14ac:dyDescent="0.2">
      <c r="A2637" s="103"/>
    </row>
    <row r="2638" spans="1:1" ht="13.15" customHeight="1" x14ac:dyDescent="0.2">
      <c r="A2638" s="103"/>
    </row>
    <row r="2639" spans="1:1" ht="13.15" customHeight="1" x14ac:dyDescent="0.2">
      <c r="A2639" s="103"/>
    </row>
    <row r="2640" spans="1:1" ht="13.15" customHeight="1" x14ac:dyDescent="0.2">
      <c r="A2640" s="103"/>
    </row>
    <row r="2641" spans="1:1" ht="13.15" customHeight="1" x14ac:dyDescent="0.2">
      <c r="A2641" s="103"/>
    </row>
    <row r="2642" spans="1:1" ht="13.15" customHeight="1" x14ac:dyDescent="0.2">
      <c r="A2642" s="103"/>
    </row>
    <row r="2643" spans="1:1" ht="13.15" customHeight="1" x14ac:dyDescent="0.2">
      <c r="A2643" s="103"/>
    </row>
    <row r="2644" spans="1:1" ht="13.15" customHeight="1" x14ac:dyDescent="0.2">
      <c r="A2644" s="103"/>
    </row>
    <row r="2645" spans="1:1" ht="13.15" customHeight="1" x14ac:dyDescent="0.2">
      <c r="A2645" s="103"/>
    </row>
    <row r="2646" spans="1:1" ht="13.15" customHeight="1" x14ac:dyDescent="0.2">
      <c r="A2646" s="103"/>
    </row>
    <row r="2647" spans="1:1" ht="13.15" customHeight="1" x14ac:dyDescent="0.2">
      <c r="A2647" s="103"/>
    </row>
    <row r="2648" spans="1:1" ht="13.15" customHeight="1" x14ac:dyDescent="0.2">
      <c r="A2648" s="103"/>
    </row>
    <row r="2649" spans="1:1" ht="13.15" customHeight="1" x14ac:dyDescent="0.2">
      <c r="A2649" s="103"/>
    </row>
    <row r="2650" spans="1:1" ht="13.15" customHeight="1" x14ac:dyDescent="0.2">
      <c r="A2650" s="103"/>
    </row>
    <row r="2651" spans="1:1" ht="13.15" customHeight="1" x14ac:dyDescent="0.2">
      <c r="A2651" s="103"/>
    </row>
    <row r="2652" spans="1:1" ht="13.15" customHeight="1" x14ac:dyDescent="0.2">
      <c r="A2652" s="103"/>
    </row>
    <row r="2653" spans="1:1" ht="13.15" customHeight="1" x14ac:dyDescent="0.2">
      <c r="A2653" s="103"/>
    </row>
    <row r="2654" spans="1:1" ht="13.15" customHeight="1" x14ac:dyDescent="0.2">
      <c r="A2654" s="103"/>
    </row>
    <row r="2655" spans="1:1" ht="13.15" customHeight="1" x14ac:dyDescent="0.2">
      <c r="A2655" s="103"/>
    </row>
    <row r="2656" spans="1:1" ht="13.15" customHeight="1" x14ac:dyDescent="0.2">
      <c r="A2656" s="103"/>
    </row>
    <row r="2657" spans="1:1" ht="13.15" customHeight="1" x14ac:dyDescent="0.2">
      <c r="A2657" s="103"/>
    </row>
    <row r="2658" spans="1:1" ht="13.15" customHeight="1" x14ac:dyDescent="0.2">
      <c r="A2658" s="103"/>
    </row>
    <row r="2659" spans="1:1" ht="13.15" customHeight="1" x14ac:dyDescent="0.2">
      <c r="A2659" s="103"/>
    </row>
    <row r="2660" spans="1:1" ht="13.15" customHeight="1" x14ac:dyDescent="0.2">
      <c r="A2660" s="103"/>
    </row>
    <row r="2661" spans="1:1" ht="13.15" customHeight="1" x14ac:dyDescent="0.2">
      <c r="A2661" s="103"/>
    </row>
    <row r="2662" spans="1:1" ht="13.15" customHeight="1" x14ac:dyDescent="0.2">
      <c r="A2662" s="103"/>
    </row>
    <row r="2663" spans="1:1" ht="13.15" customHeight="1" x14ac:dyDescent="0.2">
      <c r="A2663" s="103"/>
    </row>
    <row r="2664" spans="1:1" ht="13.15" customHeight="1" x14ac:dyDescent="0.2">
      <c r="A2664" s="103"/>
    </row>
    <row r="2665" spans="1:1" ht="13.15" customHeight="1" x14ac:dyDescent="0.2">
      <c r="A2665" s="103"/>
    </row>
    <row r="2666" spans="1:1" ht="13.15" customHeight="1" x14ac:dyDescent="0.2">
      <c r="A2666" s="103"/>
    </row>
    <row r="2667" spans="1:1" ht="13.15" customHeight="1" x14ac:dyDescent="0.2">
      <c r="A2667" s="103"/>
    </row>
    <row r="2668" spans="1:1" ht="13.15" customHeight="1" x14ac:dyDescent="0.2">
      <c r="A2668" s="103"/>
    </row>
    <row r="2669" spans="1:1" ht="13.15" customHeight="1" x14ac:dyDescent="0.2">
      <c r="A2669" s="103"/>
    </row>
    <row r="2670" spans="1:1" ht="13.15" customHeight="1" x14ac:dyDescent="0.2">
      <c r="A2670" s="103"/>
    </row>
    <row r="2671" spans="1:1" ht="13.15" customHeight="1" x14ac:dyDescent="0.2">
      <c r="A2671" s="103"/>
    </row>
    <row r="2672" spans="1:1" ht="13.15" customHeight="1" x14ac:dyDescent="0.2">
      <c r="A2672" s="103"/>
    </row>
    <row r="2673" spans="1:1" ht="13.15" customHeight="1" x14ac:dyDescent="0.2">
      <c r="A2673" s="103"/>
    </row>
    <row r="2674" spans="1:1" ht="13.15" customHeight="1" x14ac:dyDescent="0.2">
      <c r="A2674" s="103"/>
    </row>
    <row r="2675" spans="1:1" ht="13.15" customHeight="1" x14ac:dyDescent="0.2">
      <c r="A2675" s="103"/>
    </row>
    <row r="2676" spans="1:1" ht="13.15" customHeight="1" x14ac:dyDescent="0.2">
      <c r="A2676" s="103"/>
    </row>
    <row r="2677" spans="1:1" ht="13.15" customHeight="1" x14ac:dyDescent="0.2">
      <c r="A2677" s="103"/>
    </row>
    <row r="2678" spans="1:1" ht="13.15" customHeight="1" x14ac:dyDescent="0.2">
      <c r="A2678" s="103"/>
    </row>
    <row r="2679" spans="1:1" ht="13.15" customHeight="1" x14ac:dyDescent="0.2">
      <c r="A2679" s="103"/>
    </row>
    <row r="2680" spans="1:1" ht="13.15" customHeight="1" x14ac:dyDescent="0.2">
      <c r="A2680" s="103"/>
    </row>
    <row r="2681" spans="1:1" ht="13.15" customHeight="1" x14ac:dyDescent="0.2">
      <c r="A2681" s="103"/>
    </row>
    <row r="2682" spans="1:1" ht="13.15" customHeight="1" x14ac:dyDescent="0.2">
      <c r="A2682" s="103"/>
    </row>
    <row r="2683" spans="1:1" ht="13.15" customHeight="1" x14ac:dyDescent="0.2">
      <c r="A2683" s="103"/>
    </row>
    <row r="2684" spans="1:1" ht="13.15" customHeight="1" x14ac:dyDescent="0.2">
      <c r="A2684" s="103"/>
    </row>
    <row r="2685" spans="1:1" ht="13.15" customHeight="1" x14ac:dyDescent="0.2">
      <c r="A2685" s="103"/>
    </row>
    <row r="2686" spans="1:1" ht="13.15" customHeight="1" x14ac:dyDescent="0.2">
      <c r="A2686" s="103"/>
    </row>
    <row r="2687" spans="1:1" ht="13.15" customHeight="1" x14ac:dyDescent="0.2">
      <c r="A2687" s="103"/>
    </row>
    <row r="2688" spans="1:1" ht="13.15" customHeight="1" x14ac:dyDescent="0.2">
      <c r="A2688" s="103"/>
    </row>
    <row r="2689" spans="1:1" ht="13.15" customHeight="1" x14ac:dyDescent="0.2">
      <c r="A2689" s="103"/>
    </row>
    <row r="2690" spans="1:1" ht="13.15" customHeight="1" x14ac:dyDescent="0.2">
      <c r="A2690" s="103"/>
    </row>
    <row r="2691" spans="1:1" ht="13.15" customHeight="1" x14ac:dyDescent="0.2">
      <c r="A2691" s="103"/>
    </row>
    <row r="2692" spans="1:1" ht="13.15" customHeight="1" x14ac:dyDescent="0.2">
      <c r="A2692" s="103"/>
    </row>
    <row r="2693" spans="1:1" ht="13.15" customHeight="1" x14ac:dyDescent="0.2">
      <c r="A2693" s="103"/>
    </row>
    <row r="2694" spans="1:1" ht="13.15" customHeight="1" x14ac:dyDescent="0.2">
      <c r="A2694" s="103"/>
    </row>
    <row r="2695" spans="1:1" ht="13.15" customHeight="1" x14ac:dyDescent="0.2">
      <c r="A2695" s="103"/>
    </row>
    <row r="2696" spans="1:1" ht="13.15" customHeight="1" x14ac:dyDescent="0.2">
      <c r="A2696" s="103"/>
    </row>
    <row r="2697" spans="1:1" ht="13.15" customHeight="1" x14ac:dyDescent="0.2">
      <c r="A2697" s="103"/>
    </row>
    <row r="2698" spans="1:1" ht="13.15" customHeight="1" x14ac:dyDescent="0.2">
      <c r="A2698" s="103"/>
    </row>
    <row r="2699" spans="1:1" ht="13.15" customHeight="1" x14ac:dyDescent="0.2">
      <c r="A2699" s="103"/>
    </row>
    <row r="2700" spans="1:1" ht="13.15" customHeight="1" x14ac:dyDescent="0.2">
      <c r="A2700" s="103"/>
    </row>
    <row r="2701" spans="1:1" ht="13.15" customHeight="1" x14ac:dyDescent="0.2">
      <c r="A2701" s="103"/>
    </row>
    <row r="2702" spans="1:1" ht="13.15" customHeight="1" x14ac:dyDescent="0.2">
      <c r="A2702" s="103"/>
    </row>
    <row r="2703" spans="1:1" ht="13.15" customHeight="1" x14ac:dyDescent="0.2">
      <c r="A2703" s="103"/>
    </row>
    <row r="2704" spans="1:1" ht="13.15" customHeight="1" x14ac:dyDescent="0.2">
      <c r="A2704" s="103"/>
    </row>
    <row r="2705" spans="1:1" ht="13.15" customHeight="1" x14ac:dyDescent="0.2">
      <c r="A2705" s="103"/>
    </row>
    <row r="2706" spans="1:1" ht="13.15" customHeight="1" x14ac:dyDescent="0.2">
      <c r="A2706" s="103"/>
    </row>
    <row r="2707" spans="1:1" ht="13.15" customHeight="1" x14ac:dyDescent="0.2">
      <c r="A2707" s="103"/>
    </row>
    <row r="2708" spans="1:1" ht="13.15" customHeight="1" x14ac:dyDescent="0.2">
      <c r="A2708" s="103"/>
    </row>
    <row r="2709" spans="1:1" ht="13.15" customHeight="1" x14ac:dyDescent="0.2">
      <c r="A2709" s="103"/>
    </row>
    <row r="2710" spans="1:1" ht="13.15" customHeight="1" x14ac:dyDescent="0.2">
      <c r="A2710" s="103"/>
    </row>
    <row r="2711" spans="1:1" ht="13.15" customHeight="1" x14ac:dyDescent="0.2">
      <c r="A2711" s="103"/>
    </row>
    <row r="2712" spans="1:1" ht="13.15" customHeight="1" x14ac:dyDescent="0.2">
      <c r="A2712" s="103"/>
    </row>
    <row r="2713" spans="1:1" ht="13.15" customHeight="1" x14ac:dyDescent="0.2">
      <c r="A2713" s="103"/>
    </row>
    <row r="2714" spans="1:1" ht="13.15" customHeight="1" x14ac:dyDescent="0.2">
      <c r="A2714" s="103"/>
    </row>
    <row r="2715" spans="1:1" ht="13.15" customHeight="1" x14ac:dyDescent="0.2">
      <c r="A2715" s="103"/>
    </row>
    <row r="2716" spans="1:1" ht="13.15" customHeight="1" x14ac:dyDescent="0.2">
      <c r="A2716" s="103"/>
    </row>
    <row r="2717" spans="1:1" ht="13.15" customHeight="1" x14ac:dyDescent="0.2">
      <c r="A2717" s="103"/>
    </row>
    <row r="2718" spans="1:1" ht="13.15" customHeight="1" x14ac:dyDescent="0.2">
      <c r="A2718" s="103"/>
    </row>
    <row r="2719" spans="1:1" ht="13.15" customHeight="1" x14ac:dyDescent="0.2">
      <c r="A2719" s="103"/>
    </row>
    <row r="2720" spans="1:1" ht="13.15" customHeight="1" x14ac:dyDescent="0.2">
      <c r="A2720" s="103"/>
    </row>
    <row r="2721" spans="1:1" ht="13.15" customHeight="1" x14ac:dyDescent="0.2">
      <c r="A2721" s="103"/>
    </row>
    <row r="2722" spans="1:1" ht="13.15" customHeight="1" x14ac:dyDescent="0.2">
      <c r="A2722" s="103"/>
    </row>
    <row r="2723" spans="1:1" ht="13.15" customHeight="1" x14ac:dyDescent="0.2">
      <c r="A2723" s="103"/>
    </row>
    <row r="2724" spans="1:1" ht="13.15" customHeight="1" x14ac:dyDescent="0.2">
      <c r="A2724" s="103"/>
    </row>
    <row r="2725" spans="1:1" ht="13.15" customHeight="1" x14ac:dyDescent="0.2">
      <c r="A2725" s="103"/>
    </row>
    <row r="2726" spans="1:1" ht="13.15" customHeight="1" x14ac:dyDescent="0.2">
      <c r="A2726" s="103"/>
    </row>
    <row r="2727" spans="1:1" ht="13.15" customHeight="1" x14ac:dyDescent="0.2">
      <c r="A2727" s="103"/>
    </row>
    <row r="2728" spans="1:1" ht="13.15" customHeight="1" x14ac:dyDescent="0.2">
      <c r="A2728" s="103"/>
    </row>
    <row r="2729" spans="1:1" ht="13.15" customHeight="1" x14ac:dyDescent="0.2">
      <c r="A2729" s="103"/>
    </row>
    <row r="2730" spans="1:1" ht="13.15" customHeight="1" x14ac:dyDescent="0.2">
      <c r="A2730" s="103"/>
    </row>
    <row r="2731" spans="1:1" ht="13.15" customHeight="1" x14ac:dyDescent="0.2">
      <c r="A2731" s="103"/>
    </row>
    <row r="2732" spans="1:1" ht="13.15" customHeight="1" x14ac:dyDescent="0.2">
      <c r="A2732" s="103"/>
    </row>
    <row r="2733" spans="1:1" ht="13.15" customHeight="1" x14ac:dyDescent="0.2">
      <c r="A2733" s="103"/>
    </row>
    <row r="2734" spans="1:1" ht="13.15" customHeight="1" x14ac:dyDescent="0.2">
      <c r="A2734" s="103"/>
    </row>
    <row r="2735" spans="1:1" ht="13.15" customHeight="1" x14ac:dyDescent="0.2">
      <c r="A2735" s="103"/>
    </row>
    <row r="2736" spans="1:1" ht="13.15" customHeight="1" x14ac:dyDescent="0.2">
      <c r="A2736" s="103"/>
    </row>
    <row r="2737" spans="1:1" ht="13.15" customHeight="1" x14ac:dyDescent="0.2">
      <c r="A2737" s="103"/>
    </row>
    <row r="2738" spans="1:1" ht="13.15" customHeight="1" x14ac:dyDescent="0.2">
      <c r="A2738" s="103"/>
    </row>
    <row r="2739" spans="1:1" ht="13.15" customHeight="1" x14ac:dyDescent="0.2">
      <c r="A2739" s="103"/>
    </row>
    <row r="2740" spans="1:1" ht="13.15" customHeight="1" x14ac:dyDescent="0.2">
      <c r="A2740" s="103"/>
    </row>
    <row r="2741" spans="1:1" ht="13.15" customHeight="1" x14ac:dyDescent="0.2">
      <c r="A2741" s="103"/>
    </row>
    <row r="2742" spans="1:1" ht="13.15" customHeight="1" x14ac:dyDescent="0.2">
      <c r="A2742" s="103"/>
    </row>
    <row r="2743" spans="1:1" ht="13.15" customHeight="1" x14ac:dyDescent="0.2">
      <c r="A2743" s="103"/>
    </row>
    <row r="2744" spans="1:1" ht="13.15" customHeight="1" x14ac:dyDescent="0.2">
      <c r="A2744" s="103"/>
    </row>
    <row r="2745" spans="1:1" ht="13.15" customHeight="1" x14ac:dyDescent="0.2">
      <c r="A2745" s="103"/>
    </row>
    <row r="2746" spans="1:1" ht="13.15" customHeight="1" x14ac:dyDescent="0.2">
      <c r="A2746" s="103"/>
    </row>
    <row r="2747" spans="1:1" ht="13.15" customHeight="1" x14ac:dyDescent="0.2">
      <c r="A2747" s="103"/>
    </row>
    <row r="2748" spans="1:1" ht="13.15" customHeight="1" x14ac:dyDescent="0.2">
      <c r="A2748" s="103"/>
    </row>
    <row r="2749" spans="1:1" ht="13.15" customHeight="1" x14ac:dyDescent="0.2">
      <c r="A2749" s="103"/>
    </row>
    <row r="2750" spans="1:1" ht="13.15" customHeight="1" x14ac:dyDescent="0.2">
      <c r="A2750" s="103"/>
    </row>
    <row r="2751" spans="1:1" ht="13.15" customHeight="1" x14ac:dyDescent="0.2">
      <c r="A2751" s="103"/>
    </row>
    <row r="2752" spans="1:1" ht="13.15" customHeight="1" x14ac:dyDescent="0.2">
      <c r="A2752" s="103"/>
    </row>
    <row r="2753" spans="1:1" ht="13.15" customHeight="1" x14ac:dyDescent="0.2">
      <c r="A2753" s="103"/>
    </row>
    <row r="2754" spans="1:1" ht="13.15" customHeight="1" x14ac:dyDescent="0.2">
      <c r="A2754" s="103"/>
    </row>
    <row r="2755" spans="1:1" ht="13.15" customHeight="1" x14ac:dyDescent="0.2">
      <c r="A2755" s="103"/>
    </row>
    <row r="2756" spans="1:1" ht="13.15" customHeight="1" x14ac:dyDescent="0.2">
      <c r="A2756" s="103"/>
    </row>
    <row r="2757" spans="1:1" ht="13.15" customHeight="1" x14ac:dyDescent="0.2">
      <c r="A2757" s="103"/>
    </row>
    <row r="2758" spans="1:1" ht="13.15" customHeight="1" x14ac:dyDescent="0.2">
      <c r="A2758" s="103"/>
    </row>
    <row r="2759" spans="1:1" ht="13.15" customHeight="1" x14ac:dyDescent="0.2">
      <c r="A2759" s="103"/>
    </row>
    <row r="2760" spans="1:1" ht="13.15" customHeight="1" x14ac:dyDescent="0.2">
      <c r="A2760" s="103"/>
    </row>
    <row r="2761" spans="1:1" ht="13.15" customHeight="1" x14ac:dyDescent="0.2">
      <c r="A2761" s="103"/>
    </row>
    <row r="2762" spans="1:1" ht="13.15" customHeight="1" x14ac:dyDescent="0.2">
      <c r="A2762" s="103"/>
    </row>
    <row r="2763" spans="1:1" ht="13.15" customHeight="1" x14ac:dyDescent="0.2">
      <c r="A2763" s="103"/>
    </row>
    <row r="2764" spans="1:1" ht="13.15" customHeight="1" x14ac:dyDescent="0.2">
      <c r="A2764" s="103"/>
    </row>
    <row r="2765" spans="1:1" ht="13.15" customHeight="1" x14ac:dyDescent="0.2">
      <c r="A2765" s="103"/>
    </row>
    <row r="2766" spans="1:1" ht="13.15" customHeight="1" x14ac:dyDescent="0.2">
      <c r="A2766" s="103"/>
    </row>
    <row r="2767" spans="1:1" ht="13.15" customHeight="1" x14ac:dyDescent="0.2">
      <c r="A2767" s="103"/>
    </row>
    <row r="2768" spans="1:1" ht="13.15" customHeight="1" x14ac:dyDescent="0.2">
      <c r="A2768" s="103"/>
    </row>
    <row r="2769" spans="1:1" ht="13.15" customHeight="1" x14ac:dyDescent="0.2">
      <c r="A2769" s="103"/>
    </row>
    <row r="2770" spans="1:1" ht="13.15" customHeight="1" x14ac:dyDescent="0.2">
      <c r="A2770" s="103"/>
    </row>
    <row r="2771" spans="1:1" ht="13.15" customHeight="1" x14ac:dyDescent="0.2">
      <c r="A2771" s="103"/>
    </row>
    <row r="2772" spans="1:1" ht="13.15" customHeight="1" x14ac:dyDescent="0.2">
      <c r="A2772" s="103"/>
    </row>
    <row r="2773" spans="1:1" ht="13.15" customHeight="1" x14ac:dyDescent="0.2">
      <c r="A2773" s="103"/>
    </row>
    <row r="2774" spans="1:1" ht="13.15" customHeight="1" x14ac:dyDescent="0.2">
      <c r="A2774" s="103"/>
    </row>
    <row r="2775" spans="1:1" ht="13.15" customHeight="1" x14ac:dyDescent="0.2">
      <c r="A2775" s="103"/>
    </row>
    <row r="2776" spans="1:1" ht="13.15" customHeight="1" x14ac:dyDescent="0.2">
      <c r="A2776" s="103"/>
    </row>
    <row r="2777" spans="1:1" ht="13.15" customHeight="1" x14ac:dyDescent="0.2">
      <c r="A2777" s="103"/>
    </row>
    <row r="2778" spans="1:1" ht="13.15" customHeight="1" x14ac:dyDescent="0.2">
      <c r="A2778" s="103"/>
    </row>
    <row r="2779" spans="1:1" ht="13.15" customHeight="1" x14ac:dyDescent="0.2">
      <c r="A2779" s="103"/>
    </row>
    <row r="2780" spans="1:1" ht="13.15" customHeight="1" x14ac:dyDescent="0.2">
      <c r="A2780" s="103"/>
    </row>
    <row r="2781" spans="1:1" ht="13.15" customHeight="1" x14ac:dyDescent="0.2">
      <c r="A2781" s="103"/>
    </row>
    <row r="2782" spans="1:1" ht="13.15" customHeight="1" x14ac:dyDescent="0.2">
      <c r="A2782" s="103"/>
    </row>
    <row r="2783" spans="1:1" ht="13.15" customHeight="1" x14ac:dyDescent="0.2">
      <c r="A2783" s="103"/>
    </row>
    <row r="2784" spans="1:1" ht="13.15" customHeight="1" x14ac:dyDescent="0.2">
      <c r="A2784" s="103"/>
    </row>
    <row r="2785" spans="1:1" ht="13.15" customHeight="1" x14ac:dyDescent="0.2">
      <c r="A2785" s="103"/>
    </row>
    <row r="2786" spans="1:1" ht="13.15" customHeight="1" x14ac:dyDescent="0.2">
      <c r="A2786" s="103"/>
    </row>
    <row r="2787" spans="1:1" ht="13.15" customHeight="1" x14ac:dyDescent="0.2">
      <c r="A2787" s="103"/>
    </row>
    <row r="2788" spans="1:1" ht="13.15" customHeight="1" x14ac:dyDescent="0.2">
      <c r="A2788" s="103"/>
    </row>
    <row r="2789" spans="1:1" ht="13.15" customHeight="1" x14ac:dyDescent="0.2">
      <c r="A2789" s="103"/>
    </row>
    <row r="2790" spans="1:1" ht="13.15" customHeight="1" x14ac:dyDescent="0.2">
      <c r="A2790" s="103"/>
    </row>
    <row r="2791" spans="1:1" ht="13.15" customHeight="1" x14ac:dyDescent="0.2">
      <c r="A2791" s="103"/>
    </row>
    <row r="2792" spans="1:1" ht="13.15" customHeight="1" x14ac:dyDescent="0.2">
      <c r="A2792" s="103"/>
    </row>
    <row r="2793" spans="1:1" ht="13.15" customHeight="1" x14ac:dyDescent="0.2">
      <c r="A2793" s="103"/>
    </row>
    <row r="2794" spans="1:1" ht="13.15" customHeight="1" x14ac:dyDescent="0.2">
      <c r="A2794" s="103"/>
    </row>
    <row r="2795" spans="1:1" ht="13.15" customHeight="1" x14ac:dyDescent="0.2">
      <c r="A2795" s="103"/>
    </row>
    <row r="2796" spans="1:1" ht="13.15" customHeight="1" x14ac:dyDescent="0.2">
      <c r="A2796" s="103"/>
    </row>
    <row r="2797" spans="1:1" ht="13.15" customHeight="1" x14ac:dyDescent="0.2">
      <c r="A2797" s="103"/>
    </row>
    <row r="2798" spans="1:1" ht="13.15" customHeight="1" x14ac:dyDescent="0.2">
      <c r="A2798" s="103"/>
    </row>
    <row r="2799" spans="1:1" ht="13.15" customHeight="1" x14ac:dyDescent="0.2">
      <c r="A2799" s="103"/>
    </row>
    <row r="2800" spans="1:1" ht="13.15" customHeight="1" x14ac:dyDescent="0.2">
      <c r="A2800" s="103"/>
    </row>
    <row r="2801" spans="1:1" ht="13.15" customHeight="1" x14ac:dyDescent="0.2">
      <c r="A2801" s="103"/>
    </row>
    <row r="2802" spans="1:1" ht="13.15" customHeight="1" x14ac:dyDescent="0.2">
      <c r="A2802" s="103"/>
    </row>
    <row r="2803" spans="1:1" ht="13.15" customHeight="1" x14ac:dyDescent="0.2">
      <c r="A2803" s="103"/>
    </row>
    <row r="2804" spans="1:1" ht="13.15" customHeight="1" x14ac:dyDescent="0.2">
      <c r="A2804" s="103"/>
    </row>
    <row r="2805" spans="1:1" ht="13.15" customHeight="1" x14ac:dyDescent="0.2">
      <c r="A2805" s="103"/>
    </row>
    <row r="2806" spans="1:1" ht="13.15" customHeight="1" x14ac:dyDescent="0.2">
      <c r="A2806" s="103"/>
    </row>
    <row r="2807" spans="1:1" ht="13.15" customHeight="1" x14ac:dyDescent="0.2">
      <c r="A2807" s="103"/>
    </row>
    <row r="2808" spans="1:1" ht="13.15" customHeight="1" x14ac:dyDescent="0.2">
      <c r="A2808" s="103"/>
    </row>
    <row r="2809" spans="1:1" ht="13.15" customHeight="1" x14ac:dyDescent="0.2">
      <c r="A2809" s="103"/>
    </row>
    <row r="2810" spans="1:1" ht="13.15" customHeight="1" x14ac:dyDescent="0.2">
      <c r="A2810" s="103"/>
    </row>
    <row r="2811" spans="1:1" ht="13.15" customHeight="1" x14ac:dyDescent="0.2">
      <c r="A2811" s="103"/>
    </row>
    <row r="2812" spans="1:1" ht="13.15" customHeight="1" x14ac:dyDescent="0.2">
      <c r="A2812" s="103"/>
    </row>
    <row r="2813" spans="1:1" ht="13.15" customHeight="1" x14ac:dyDescent="0.2">
      <c r="A2813" s="103"/>
    </row>
    <row r="2814" spans="1:1" ht="13.15" customHeight="1" x14ac:dyDescent="0.2">
      <c r="A2814" s="103"/>
    </row>
    <row r="2815" spans="1:1" ht="13.15" customHeight="1" x14ac:dyDescent="0.2">
      <c r="A2815" s="103"/>
    </row>
    <row r="2816" spans="1:1" ht="13.15" customHeight="1" x14ac:dyDescent="0.2">
      <c r="A2816" s="103"/>
    </row>
    <row r="2817" spans="1:1" ht="13.15" customHeight="1" x14ac:dyDescent="0.2">
      <c r="A2817" s="103"/>
    </row>
    <row r="2818" spans="1:1" ht="13.15" customHeight="1" x14ac:dyDescent="0.2">
      <c r="A2818" s="103"/>
    </row>
    <row r="2819" spans="1:1" ht="13.15" customHeight="1" x14ac:dyDescent="0.2">
      <c r="A2819" s="103"/>
    </row>
    <row r="2820" spans="1:1" ht="13.15" customHeight="1" x14ac:dyDescent="0.2">
      <c r="A2820" s="103"/>
    </row>
    <row r="2821" spans="1:1" ht="13.15" customHeight="1" x14ac:dyDescent="0.2">
      <c r="A2821" s="103"/>
    </row>
    <row r="2822" spans="1:1" ht="13.15" customHeight="1" x14ac:dyDescent="0.2">
      <c r="A2822" s="103"/>
    </row>
    <row r="2823" spans="1:1" ht="13.15" customHeight="1" x14ac:dyDescent="0.2">
      <c r="A2823" s="103"/>
    </row>
    <row r="2824" spans="1:1" ht="13.15" customHeight="1" x14ac:dyDescent="0.2">
      <c r="A2824" s="103"/>
    </row>
    <row r="2825" spans="1:1" ht="13.15" customHeight="1" x14ac:dyDescent="0.2">
      <c r="A2825" s="103"/>
    </row>
    <row r="2826" spans="1:1" ht="13.15" customHeight="1" x14ac:dyDescent="0.2">
      <c r="A2826" s="103"/>
    </row>
    <row r="2827" spans="1:1" ht="13.15" customHeight="1" x14ac:dyDescent="0.2">
      <c r="A2827" s="103"/>
    </row>
    <row r="2828" spans="1:1" ht="13.15" customHeight="1" x14ac:dyDescent="0.2">
      <c r="A2828" s="103"/>
    </row>
    <row r="2829" spans="1:1" ht="13.15" customHeight="1" x14ac:dyDescent="0.2">
      <c r="A2829" s="103"/>
    </row>
    <row r="2830" spans="1:1" ht="13.15" customHeight="1" x14ac:dyDescent="0.2">
      <c r="A2830" s="103"/>
    </row>
    <row r="2831" spans="1:1" ht="13.15" customHeight="1" x14ac:dyDescent="0.2">
      <c r="A2831" s="103"/>
    </row>
    <row r="2832" spans="1:1" ht="13.15" customHeight="1" x14ac:dyDescent="0.2">
      <c r="A2832" s="103"/>
    </row>
    <row r="2833" spans="1:1" ht="13.15" customHeight="1" x14ac:dyDescent="0.2">
      <c r="A2833" s="103"/>
    </row>
    <row r="2834" spans="1:1" ht="13.15" customHeight="1" x14ac:dyDescent="0.2">
      <c r="A2834" s="103"/>
    </row>
    <row r="2835" spans="1:1" ht="13.15" customHeight="1" x14ac:dyDescent="0.2">
      <c r="A2835" s="103"/>
    </row>
    <row r="2836" spans="1:1" ht="13.15" customHeight="1" x14ac:dyDescent="0.2">
      <c r="A2836" s="103"/>
    </row>
    <row r="2837" spans="1:1" ht="13.15" customHeight="1" x14ac:dyDescent="0.2">
      <c r="A2837" s="103"/>
    </row>
    <row r="2838" spans="1:1" ht="13.15" customHeight="1" x14ac:dyDescent="0.2">
      <c r="A2838" s="103"/>
    </row>
    <row r="2839" spans="1:1" ht="13.15" customHeight="1" x14ac:dyDescent="0.2">
      <c r="A2839" s="103"/>
    </row>
    <row r="2840" spans="1:1" ht="13.15" customHeight="1" x14ac:dyDescent="0.2">
      <c r="A2840" s="103"/>
    </row>
    <row r="2841" spans="1:1" ht="13.15" customHeight="1" x14ac:dyDescent="0.2">
      <c r="A2841" s="103"/>
    </row>
    <row r="2842" spans="1:1" ht="13.15" customHeight="1" x14ac:dyDescent="0.2">
      <c r="A2842" s="103"/>
    </row>
    <row r="2843" spans="1:1" ht="13.15" customHeight="1" x14ac:dyDescent="0.2">
      <c r="A2843" s="103"/>
    </row>
    <row r="2844" spans="1:1" ht="13.15" customHeight="1" x14ac:dyDescent="0.2">
      <c r="A2844" s="103"/>
    </row>
    <row r="2845" spans="1:1" ht="13.15" customHeight="1" x14ac:dyDescent="0.2">
      <c r="A2845" s="103"/>
    </row>
    <row r="2846" spans="1:1" ht="13.15" customHeight="1" x14ac:dyDescent="0.2">
      <c r="A2846" s="103"/>
    </row>
    <row r="2847" spans="1:1" ht="13.15" customHeight="1" x14ac:dyDescent="0.2">
      <c r="A2847" s="103"/>
    </row>
    <row r="2848" spans="1:1" ht="13.15" customHeight="1" x14ac:dyDescent="0.2">
      <c r="A2848" s="103"/>
    </row>
    <row r="2849" spans="1:1" ht="13.15" customHeight="1" x14ac:dyDescent="0.2">
      <c r="A2849" s="103"/>
    </row>
    <row r="2850" spans="1:1" ht="13.15" customHeight="1" x14ac:dyDescent="0.2">
      <c r="A2850" s="103"/>
    </row>
    <row r="2851" spans="1:1" ht="13.15" customHeight="1" x14ac:dyDescent="0.2">
      <c r="A2851" s="103"/>
    </row>
    <row r="2852" spans="1:1" ht="13.15" customHeight="1" x14ac:dyDescent="0.2">
      <c r="A2852" s="103"/>
    </row>
    <row r="2853" spans="1:1" ht="13.15" customHeight="1" x14ac:dyDescent="0.2">
      <c r="A2853" s="103"/>
    </row>
    <row r="2854" spans="1:1" ht="13.15" customHeight="1" x14ac:dyDescent="0.2">
      <c r="A2854" s="103"/>
    </row>
    <row r="2855" spans="1:1" ht="13.15" customHeight="1" x14ac:dyDescent="0.2">
      <c r="A2855" s="103"/>
    </row>
    <row r="2856" spans="1:1" ht="13.15" customHeight="1" x14ac:dyDescent="0.2">
      <c r="A2856" s="103"/>
    </row>
    <row r="2857" spans="1:1" ht="13.15" customHeight="1" x14ac:dyDescent="0.2">
      <c r="A2857" s="103"/>
    </row>
    <row r="2858" spans="1:1" ht="13.15" customHeight="1" x14ac:dyDescent="0.2">
      <c r="A2858" s="103"/>
    </row>
    <row r="2859" spans="1:1" ht="13.15" customHeight="1" x14ac:dyDescent="0.2">
      <c r="A2859" s="103"/>
    </row>
    <row r="2860" spans="1:1" ht="13.15" customHeight="1" x14ac:dyDescent="0.2">
      <c r="A2860" s="103"/>
    </row>
    <row r="2861" spans="1:1" ht="13.15" customHeight="1" x14ac:dyDescent="0.2">
      <c r="A2861" s="103"/>
    </row>
    <row r="2862" spans="1:1" ht="13.15" customHeight="1" x14ac:dyDescent="0.2">
      <c r="A2862" s="103"/>
    </row>
    <row r="2863" spans="1:1" ht="13.15" customHeight="1" x14ac:dyDescent="0.2">
      <c r="A2863" s="103"/>
    </row>
    <row r="2864" spans="1:1" ht="13.15" customHeight="1" x14ac:dyDescent="0.2">
      <c r="A2864" s="103"/>
    </row>
    <row r="2865" spans="1:1" ht="13.15" customHeight="1" x14ac:dyDescent="0.2">
      <c r="A2865" s="103"/>
    </row>
    <row r="2866" spans="1:1" ht="13.15" customHeight="1" x14ac:dyDescent="0.2">
      <c r="A2866" s="103"/>
    </row>
    <row r="2867" spans="1:1" ht="13.15" customHeight="1" x14ac:dyDescent="0.2">
      <c r="A2867" s="103"/>
    </row>
    <row r="2868" spans="1:1" ht="13.15" customHeight="1" x14ac:dyDescent="0.2">
      <c r="A2868" s="103"/>
    </row>
    <row r="2869" spans="1:1" ht="13.15" customHeight="1" x14ac:dyDescent="0.2">
      <c r="A2869" s="103"/>
    </row>
    <row r="2870" spans="1:1" ht="13.15" customHeight="1" x14ac:dyDescent="0.2">
      <c r="A2870" s="103"/>
    </row>
    <row r="2871" spans="1:1" ht="13.15" customHeight="1" x14ac:dyDescent="0.2">
      <c r="A2871" s="103"/>
    </row>
    <row r="2872" spans="1:1" ht="13.15" customHeight="1" x14ac:dyDescent="0.2">
      <c r="A2872" s="103"/>
    </row>
    <row r="2873" spans="1:1" ht="13.15" customHeight="1" x14ac:dyDescent="0.2">
      <c r="A2873" s="103"/>
    </row>
    <row r="2874" spans="1:1" ht="13.15" customHeight="1" x14ac:dyDescent="0.2">
      <c r="A2874" s="103"/>
    </row>
    <row r="2875" spans="1:1" ht="13.15" customHeight="1" x14ac:dyDescent="0.2">
      <c r="A2875" s="103"/>
    </row>
    <row r="2876" spans="1:1" ht="13.15" customHeight="1" x14ac:dyDescent="0.2">
      <c r="A2876" s="103"/>
    </row>
    <row r="2877" spans="1:1" ht="13.15" customHeight="1" x14ac:dyDescent="0.2">
      <c r="A2877" s="103"/>
    </row>
    <row r="2878" spans="1:1" ht="13.15" customHeight="1" x14ac:dyDescent="0.2">
      <c r="A2878" s="103"/>
    </row>
    <row r="2879" spans="1:1" ht="13.15" customHeight="1" x14ac:dyDescent="0.2">
      <c r="A2879" s="103"/>
    </row>
    <row r="2880" spans="1:1" ht="13.15" customHeight="1" x14ac:dyDescent="0.2">
      <c r="A2880" s="103"/>
    </row>
    <row r="2881" spans="1:1" ht="13.15" customHeight="1" x14ac:dyDescent="0.2">
      <c r="A2881" s="103"/>
    </row>
    <row r="2882" spans="1:1" ht="13.15" customHeight="1" x14ac:dyDescent="0.2">
      <c r="A2882" s="103"/>
    </row>
    <row r="2883" spans="1:1" ht="13.15" customHeight="1" x14ac:dyDescent="0.2">
      <c r="A2883" s="103"/>
    </row>
    <row r="2884" spans="1:1" ht="13.15" customHeight="1" x14ac:dyDescent="0.2">
      <c r="A2884" s="103"/>
    </row>
    <row r="2885" spans="1:1" ht="13.15" customHeight="1" x14ac:dyDescent="0.2">
      <c r="A2885" s="103"/>
    </row>
    <row r="2886" spans="1:1" ht="13.15" customHeight="1" x14ac:dyDescent="0.2">
      <c r="A2886" s="103"/>
    </row>
    <row r="2887" spans="1:1" ht="13.15" customHeight="1" x14ac:dyDescent="0.2">
      <c r="A2887" s="103"/>
    </row>
    <row r="2888" spans="1:1" ht="13.15" customHeight="1" x14ac:dyDescent="0.2">
      <c r="A2888" s="103"/>
    </row>
    <row r="2889" spans="1:1" ht="13.15" customHeight="1" x14ac:dyDescent="0.2">
      <c r="A2889" s="103"/>
    </row>
    <row r="2890" spans="1:1" ht="13.15" customHeight="1" x14ac:dyDescent="0.2">
      <c r="A2890" s="103"/>
    </row>
    <row r="2891" spans="1:1" ht="13.15" customHeight="1" x14ac:dyDescent="0.2">
      <c r="A2891" s="103"/>
    </row>
    <row r="2892" spans="1:1" ht="13.15" customHeight="1" x14ac:dyDescent="0.2">
      <c r="A2892" s="103"/>
    </row>
    <row r="2893" spans="1:1" ht="13.15" customHeight="1" x14ac:dyDescent="0.2">
      <c r="A2893" s="103"/>
    </row>
    <row r="2894" spans="1:1" ht="13.15" customHeight="1" x14ac:dyDescent="0.2">
      <c r="A2894" s="103"/>
    </row>
    <row r="2895" spans="1:1" ht="13.15" customHeight="1" x14ac:dyDescent="0.2">
      <c r="A2895" s="103"/>
    </row>
    <row r="2896" spans="1:1" ht="13.15" customHeight="1" x14ac:dyDescent="0.2">
      <c r="A2896" s="103"/>
    </row>
    <row r="2897" spans="1:1" ht="13.15" customHeight="1" x14ac:dyDescent="0.2">
      <c r="A2897" s="103"/>
    </row>
    <row r="2898" spans="1:1" ht="13.15" customHeight="1" x14ac:dyDescent="0.2">
      <c r="A2898" s="103"/>
    </row>
    <row r="2899" spans="1:1" ht="13.15" customHeight="1" x14ac:dyDescent="0.2">
      <c r="A2899" s="103"/>
    </row>
    <row r="2900" spans="1:1" ht="13.15" customHeight="1" x14ac:dyDescent="0.2">
      <c r="A2900" s="103"/>
    </row>
    <row r="2901" spans="1:1" ht="13.15" customHeight="1" x14ac:dyDescent="0.2">
      <c r="A2901" s="103"/>
    </row>
    <row r="2902" spans="1:1" ht="13.15" customHeight="1" x14ac:dyDescent="0.2">
      <c r="A2902" s="103"/>
    </row>
    <row r="2903" spans="1:1" ht="13.15" customHeight="1" x14ac:dyDescent="0.2">
      <c r="A2903" s="103"/>
    </row>
    <row r="2904" spans="1:1" ht="13.15" customHeight="1" x14ac:dyDescent="0.2">
      <c r="A2904" s="103"/>
    </row>
    <row r="2905" spans="1:1" ht="13.15" customHeight="1" x14ac:dyDescent="0.2">
      <c r="A2905" s="103"/>
    </row>
    <row r="2906" spans="1:1" ht="13.15" customHeight="1" x14ac:dyDescent="0.2">
      <c r="A2906" s="103"/>
    </row>
    <row r="2907" spans="1:1" ht="13.15" customHeight="1" x14ac:dyDescent="0.2">
      <c r="A2907" s="103"/>
    </row>
    <row r="2908" spans="1:1" ht="13.15" customHeight="1" x14ac:dyDescent="0.2">
      <c r="A2908" s="103"/>
    </row>
    <row r="2909" spans="1:1" ht="13.15" customHeight="1" x14ac:dyDescent="0.2">
      <c r="A2909" s="103"/>
    </row>
    <row r="2910" spans="1:1" ht="13.15" customHeight="1" x14ac:dyDescent="0.2">
      <c r="A2910" s="103"/>
    </row>
    <row r="2911" spans="1:1" ht="13.15" customHeight="1" x14ac:dyDescent="0.2">
      <c r="A2911" s="103"/>
    </row>
    <row r="2912" spans="1:1" ht="13.15" customHeight="1" x14ac:dyDescent="0.2">
      <c r="A2912" s="103"/>
    </row>
    <row r="2913" spans="1:1" ht="13.15" customHeight="1" x14ac:dyDescent="0.2">
      <c r="A2913" s="103"/>
    </row>
    <row r="2914" spans="1:1" ht="13.15" customHeight="1" x14ac:dyDescent="0.2">
      <c r="A2914" s="103"/>
    </row>
    <row r="2915" spans="1:1" ht="13.15" customHeight="1" x14ac:dyDescent="0.2">
      <c r="A2915" s="103"/>
    </row>
    <row r="2916" spans="1:1" ht="13.15" customHeight="1" x14ac:dyDescent="0.2">
      <c r="A2916" s="103"/>
    </row>
    <row r="2917" spans="1:1" ht="13.15" customHeight="1" x14ac:dyDescent="0.2">
      <c r="A2917" s="103"/>
    </row>
    <row r="2918" spans="1:1" ht="13.15" customHeight="1" x14ac:dyDescent="0.2">
      <c r="A2918" s="103"/>
    </row>
    <row r="2919" spans="1:1" ht="13.15" customHeight="1" x14ac:dyDescent="0.2">
      <c r="A2919" s="103"/>
    </row>
    <row r="2920" spans="1:1" ht="13.15" customHeight="1" x14ac:dyDescent="0.2">
      <c r="A2920" s="103"/>
    </row>
    <row r="2921" spans="1:1" ht="13.15" customHeight="1" x14ac:dyDescent="0.2">
      <c r="A2921" s="103"/>
    </row>
    <row r="2922" spans="1:1" ht="13.15" customHeight="1" x14ac:dyDescent="0.2">
      <c r="A2922" s="103"/>
    </row>
    <row r="2923" spans="1:1" ht="13.15" customHeight="1" x14ac:dyDescent="0.2">
      <c r="A2923" s="103"/>
    </row>
    <row r="2924" spans="1:1" ht="13.15" customHeight="1" x14ac:dyDescent="0.2">
      <c r="A2924" s="103"/>
    </row>
    <row r="2925" spans="1:1" ht="13.15" customHeight="1" x14ac:dyDescent="0.2">
      <c r="A2925" s="103"/>
    </row>
    <row r="2926" spans="1:1" ht="13.15" customHeight="1" x14ac:dyDescent="0.2">
      <c r="A2926" s="103"/>
    </row>
    <row r="2927" spans="1:1" ht="13.15" customHeight="1" x14ac:dyDescent="0.2">
      <c r="A2927" s="103"/>
    </row>
    <row r="2928" spans="1:1" ht="13.15" customHeight="1" x14ac:dyDescent="0.2">
      <c r="A2928" s="103"/>
    </row>
    <row r="2929" spans="1:1" ht="13.15" customHeight="1" x14ac:dyDescent="0.2">
      <c r="A2929" s="103"/>
    </row>
    <row r="2930" spans="1:1" ht="13.15" customHeight="1" x14ac:dyDescent="0.2">
      <c r="A2930" s="103"/>
    </row>
    <row r="2931" spans="1:1" ht="13.15" customHeight="1" x14ac:dyDescent="0.2">
      <c r="A2931" s="103"/>
    </row>
    <row r="2932" spans="1:1" ht="13.15" customHeight="1" x14ac:dyDescent="0.2">
      <c r="A2932" s="103"/>
    </row>
    <row r="2933" spans="1:1" ht="13.15" customHeight="1" x14ac:dyDescent="0.2">
      <c r="A2933" s="103"/>
    </row>
    <row r="2934" spans="1:1" ht="13.15" customHeight="1" x14ac:dyDescent="0.2">
      <c r="A2934" s="103"/>
    </row>
    <row r="2935" spans="1:1" ht="13.15" customHeight="1" x14ac:dyDescent="0.2">
      <c r="A2935" s="103"/>
    </row>
    <row r="2936" spans="1:1" ht="13.15" customHeight="1" x14ac:dyDescent="0.2">
      <c r="A2936" s="103"/>
    </row>
    <row r="2937" spans="1:1" ht="13.15" customHeight="1" x14ac:dyDescent="0.2">
      <c r="A2937" s="103"/>
    </row>
    <row r="2938" spans="1:1" ht="13.15" customHeight="1" x14ac:dyDescent="0.2">
      <c r="A2938" s="103"/>
    </row>
    <row r="2939" spans="1:1" ht="13.15" customHeight="1" x14ac:dyDescent="0.2">
      <c r="A2939" s="103"/>
    </row>
    <row r="2940" spans="1:1" ht="13.15" customHeight="1" x14ac:dyDescent="0.2">
      <c r="A2940" s="103"/>
    </row>
    <row r="2941" spans="1:1" ht="13.15" customHeight="1" x14ac:dyDescent="0.2">
      <c r="A2941" s="103"/>
    </row>
    <row r="2942" spans="1:1" ht="13.15" customHeight="1" x14ac:dyDescent="0.2">
      <c r="A2942" s="103"/>
    </row>
    <row r="2943" spans="1:1" ht="13.15" customHeight="1" x14ac:dyDescent="0.2">
      <c r="A2943" s="103"/>
    </row>
    <row r="2944" spans="1:1" ht="13.15" customHeight="1" x14ac:dyDescent="0.2">
      <c r="A2944" s="103"/>
    </row>
    <row r="2945" spans="1:1" ht="13.15" customHeight="1" x14ac:dyDescent="0.2">
      <c r="A2945" s="103"/>
    </row>
    <row r="2946" spans="1:1" ht="13.15" customHeight="1" x14ac:dyDescent="0.2">
      <c r="A2946" s="103"/>
    </row>
    <row r="2947" spans="1:1" ht="13.15" customHeight="1" x14ac:dyDescent="0.2">
      <c r="A2947" s="103"/>
    </row>
    <row r="2948" spans="1:1" ht="13.15" customHeight="1" x14ac:dyDescent="0.2">
      <c r="A2948" s="103"/>
    </row>
    <row r="2949" spans="1:1" ht="13.15" customHeight="1" x14ac:dyDescent="0.2">
      <c r="A2949" s="103"/>
    </row>
    <row r="2950" spans="1:1" ht="13.15" customHeight="1" x14ac:dyDescent="0.2">
      <c r="A2950" s="103"/>
    </row>
    <row r="2951" spans="1:1" ht="13.15" customHeight="1" x14ac:dyDescent="0.2">
      <c r="A2951" s="103"/>
    </row>
    <row r="2952" spans="1:1" ht="13.15" customHeight="1" x14ac:dyDescent="0.2">
      <c r="A2952" s="103"/>
    </row>
    <row r="2953" spans="1:1" ht="13.15" customHeight="1" x14ac:dyDescent="0.2">
      <c r="A2953" s="103"/>
    </row>
    <row r="2954" spans="1:1" ht="13.15" customHeight="1" x14ac:dyDescent="0.2">
      <c r="A2954" s="103"/>
    </row>
    <row r="2955" spans="1:1" ht="13.15" customHeight="1" x14ac:dyDescent="0.2">
      <c r="A2955" s="103"/>
    </row>
    <row r="2956" spans="1:1" ht="13.15" customHeight="1" x14ac:dyDescent="0.2">
      <c r="A2956" s="103"/>
    </row>
    <row r="2957" spans="1:1" ht="13.15" customHeight="1" x14ac:dyDescent="0.2">
      <c r="A2957" s="103"/>
    </row>
    <row r="2958" spans="1:1" ht="13.15" customHeight="1" x14ac:dyDescent="0.2">
      <c r="A2958" s="103"/>
    </row>
    <row r="2959" spans="1:1" ht="13.15" customHeight="1" x14ac:dyDescent="0.2">
      <c r="A2959" s="103"/>
    </row>
    <row r="2960" spans="1:1" ht="13.15" customHeight="1" x14ac:dyDescent="0.2">
      <c r="A2960" s="103"/>
    </row>
    <row r="2961" spans="1:1" ht="13.15" customHeight="1" x14ac:dyDescent="0.2">
      <c r="A2961" s="103"/>
    </row>
    <row r="2962" spans="1:1" ht="13.15" customHeight="1" x14ac:dyDescent="0.2">
      <c r="A2962" s="103"/>
    </row>
    <row r="2963" spans="1:1" ht="13.15" customHeight="1" x14ac:dyDescent="0.2">
      <c r="A2963" s="103"/>
    </row>
    <row r="2964" spans="1:1" ht="13.15" customHeight="1" x14ac:dyDescent="0.2">
      <c r="A2964" s="103"/>
    </row>
    <row r="2965" spans="1:1" ht="13.15" customHeight="1" x14ac:dyDescent="0.2">
      <c r="A2965" s="103"/>
    </row>
    <row r="2966" spans="1:1" ht="13.15" customHeight="1" x14ac:dyDescent="0.2">
      <c r="A2966" s="103"/>
    </row>
    <row r="2967" spans="1:1" ht="13.15" customHeight="1" x14ac:dyDescent="0.2">
      <c r="A2967" s="103"/>
    </row>
    <row r="2968" spans="1:1" ht="13.15" customHeight="1" x14ac:dyDescent="0.2">
      <c r="A2968" s="103"/>
    </row>
    <row r="2969" spans="1:1" ht="13.15" customHeight="1" x14ac:dyDescent="0.2">
      <c r="A2969" s="103"/>
    </row>
    <row r="2970" spans="1:1" ht="13.15" customHeight="1" x14ac:dyDescent="0.2">
      <c r="A2970" s="103"/>
    </row>
    <row r="2971" spans="1:1" ht="13.15" customHeight="1" x14ac:dyDescent="0.2">
      <c r="A2971" s="103"/>
    </row>
    <row r="2972" spans="1:1" ht="13.15" customHeight="1" x14ac:dyDescent="0.2">
      <c r="A2972" s="103"/>
    </row>
    <row r="2973" spans="1:1" ht="13.15" customHeight="1" x14ac:dyDescent="0.2">
      <c r="A2973" s="103"/>
    </row>
    <row r="2974" spans="1:1" ht="13.15" customHeight="1" x14ac:dyDescent="0.2">
      <c r="A2974" s="103"/>
    </row>
    <row r="2975" spans="1:1" ht="13.15" customHeight="1" x14ac:dyDescent="0.2">
      <c r="A2975" s="103"/>
    </row>
    <row r="2976" spans="1:1" ht="13.15" customHeight="1" x14ac:dyDescent="0.2">
      <c r="A2976" s="103"/>
    </row>
    <row r="2977" spans="1:1" ht="13.15" customHeight="1" x14ac:dyDescent="0.2">
      <c r="A2977" s="103"/>
    </row>
    <row r="2978" spans="1:1" ht="13.15" customHeight="1" x14ac:dyDescent="0.2">
      <c r="A2978" s="103"/>
    </row>
    <row r="2979" spans="1:1" ht="13.15" customHeight="1" x14ac:dyDescent="0.2">
      <c r="A2979" s="103"/>
    </row>
    <row r="2980" spans="1:1" ht="13.15" customHeight="1" x14ac:dyDescent="0.2">
      <c r="A2980" s="103"/>
    </row>
    <row r="2981" spans="1:1" ht="13.15" customHeight="1" x14ac:dyDescent="0.2">
      <c r="A2981" s="103"/>
    </row>
    <row r="2982" spans="1:1" ht="13.15" customHeight="1" x14ac:dyDescent="0.2">
      <c r="A2982" s="103"/>
    </row>
    <row r="2983" spans="1:1" ht="13.15" customHeight="1" x14ac:dyDescent="0.2">
      <c r="A2983" s="103"/>
    </row>
    <row r="2984" spans="1:1" ht="13.15" customHeight="1" x14ac:dyDescent="0.2">
      <c r="A2984" s="103"/>
    </row>
    <row r="2985" spans="1:1" ht="13.15" customHeight="1" x14ac:dyDescent="0.2">
      <c r="A2985" s="103"/>
    </row>
    <row r="2986" spans="1:1" ht="13.15" customHeight="1" x14ac:dyDescent="0.2">
      <c r="A2986" s="103"/>
    </row>
    <row r="2987" spans="1:1" ht="13.15" customHeight="1" x14ac:dyDescent="0.2">
      <c r="A2987" s="103"/>
    </row>
    <row r="2988" spans="1:1" ht="13.15" customHeight="1" x14ac:dyDescent="0.2">
      <c r="A2988" s="103"/>
    </row>
    <row r="2989" spans="1:1" ht="13.15" customHeight="1" x14ac:dyDescent="0.2">
      <c r="A2989" s="103"/>
    </row>
    <row r="2990" spans="1:1" ht="13.15" customHeight="1" x14ac:dyDescent="0.2">
      <c r="A2990" s="103"/>
    </row>
    <row r="2991" spans="1:1" ht="13.15" customHeight="1" x14ac:dyDescent="0.2">
      <c r="A2991" s="103"/>
    </row>
    <row r="2992" spans="1:1" ht="13.15" customHeight="1" x14ac:dyDescent="0.2">
      <c r="A2992" s="103"/>
    </row>
    <row r="2993" spans="1:1" ht="13.15" customHeight="1" x14ac:dyDescent="0.2">
      <c r="A2993" s="103"/>
    </row>
    <row r="2994" spans="1:1" ht="13.15" customHeight="1" x14ac:dyDescent="0.2">
      <c r="A2994" s="103"/>
    </row>
    <row r="2995" spans="1:1" ht="13.15" customHeight="1" x14ac:dyDescent="0.2">
      <c r="A2995" s="103"/>
    </row>
    <row r="2996" spans="1:1" ht="13.15" customHeight="1" x14ac:dyDescent="0.2">
      <c r="A2996" s="103"/>
    </row>
    <row r="2997" spans="1:1" ht="13.15" customHeight="1" x14ac:dyDescent="0.2">
      <c r="A2997" s="103"/>
    </row>
    <row r="2998" spans="1:1" ht="13.15" customHeight="1" x14ac:dyDescent="0.2">
      <c r="A2998" s="103"/>
    </row>
    <row r="2999" spans="1:1" ht="13.15" customHeight="1" x14ac:dyDescent="0.2">
      <c r="A2999" s="103"/>
    </row>
    <row r="3000" spans="1:1" ht="13.15" customHeight="1" x14ac:dyDescent="0.2">
      <c r="A3000" s="103"/>
    </row>
    <row r="3001" spans="1:1" ht="13.15" customHeight="1" x14ac:dyDescent="0.2">
      <c r="A3001" s="103"/>
    </row>
    <row r="3002" spans="1:1" ht="13.15" customHeight="1" x14ac:dyDescent="0.2">
      <c r="A3002" s="103"/>
    </row>
    <row r="3003" spans="1:1" ht="13.15" customHeight="1" x14ac:dyDescent="0.2">
      <c r="A3003" s="103"/>
    </row>
    <row r="3004" spans="1:1" ht="13.15" customHeight="1" x14ac:dyDescent="0.2">
      <c r="A3004" s="103"/>
    </row>
    <row r="3005" spans="1:1" ht="13.15" customHeight="1" x14ac:dyDescent="0.2">
      <c r="A3005" s="103"/>
    </row>
    <row r="3006" spans="1:1" ht="13.15" customHeight="1" x14ac:dyDescent="0.2">
      <c r="A3006" s="103"/>
    </row>
    <row r="3007" spans="1:1" ht="13.15" customHeight="1" x14ac:dyDescent="0.2">
      <c r="A3007" s="103"/>
    </row>
    <row r="3008" spans="1:1" ht="13.15" customHeight="1" x14ac:dyDescent="0.2">
      <c r="A3008" s="103"/>
    </row>
    <row r="3009" spans="1:1" ht="13.15" customHeight="1" x14ac:dyDescent="0.2">
      <c r="A3009" s="103"/>
    </row>
    <row r="3010" spans="1:1" ht="13.15" customHeight="1" x14ac:dyDescent="0.2">
      <c r="A3010" s="103"/>
    </row>
    <row r="3011" spans="1:1" ht="13.15" customHeight="1" x14ac:dyDescent="0.2">
      <c r="A3011" s="103"/>
    </row>
    <row r="3012" spans="1:1" ht="13.15" customHeight="1" x14ac:dyDescent="0.2">
      <c r="A3012" s="103"/>
    </row>
    <row r="3013" spans="1:1" ht="13.15" customHeight="1" x14ac:dyDescent="0.2">
      <c r="A3013" s="103"/>
    </row>
    <row r="3014" spans="1:1" ht="13.15" customHeight="1" x14ac:dyDescent="0.2">
      <c r="A3014" s="103"/>
    </row>
    <row r="3015" spans="1:1" ht="13.15" customHeight="1" x14ac:dyDescent="0.2">
      <c r="A3015" s="103"/>
    </row>
    <row r="3016" spans="1:1" ht="13.15" customHeight="1" x14ac:dyDescent="0.2">
      <c r="A3016" s="103"/>
    </row>
    <row r="3017" spans="1:1" ht="13.15" customHeight="1" x14ac:dyDescent="0.2">
      <c r="A3017" s="103"/>
    </row>
    <row r="3018" spans="1:1" ht="13.15" customHeight="1" x14ac:dyDescent="0.2">
      <c r="A3018" s="103"/>
    </row>
    <row r="3019" spans="1:1" ht="13.15" customHeight="1" x14ac:dyDescent="0.2">
      <c r="A3019" s="103"/>
    </row>
    <row r="3020" spans="1:1" ht="13.15" customHeight="1" x14ac:dyDescent="0.2">
      <c r="A3020" s="103"/>
    </row>
    <row r="3021" spans="1:1" ht="13.15" customHeight="1" x14ac:dyDescent="0.2">
      <c r="A3021" s="103"/>
    </row>
    <row r="3022" spans="1:1" ht="13.15" customHeight="1" x14ac:dyDescent="0.2">
      <c r="A3022" s="103"/>
    </row>
    <row r="3023" spans="1:1" ht="13.15" customHeight="1" x14ac:dyDescent="0.2">
      <c r="A3023" s="103"/>
    </row>
    <row r="3024" spans="1:1" ht="13.15" customHeight="1" x14ac:dyDescent="0.2">
      <c r="A3024" s="103"/>
    </row>
    <row r="3025" spans="1:1" ht="13.15" customHeight="1" x14ac:dyDescent="0.2">
      <c r="A3025" s="103"/>
    </row>
    <row r="3026" spans="1:1" ht="13.15" customHeight="1" x14ac:dyDescent="0.2">
      <c r="A3026" s="103"/>
    </row>
    <row r="3027" spans="1:1" ht="13.15" customHeight="1" x14ac:dyDescent="0.2">
      <c r="A3027" s="103"/>
    </row>
    <row r="3028" spans="1:1" ht="13.15" customHeight="1" x14ac:dyDescent="0.2">
      <c r="A3028" s="103"/>
    </row>
    <row r="3029" spans="1:1" ht="13.15" customHeight="1" x14ac:dyDescent="0.2">
      <c r="A3029" s="103"/>
    </row>
    <row r="3030" spans="1:1" ht="13.15" customHeight="1" x14ac:dyDescent="0.2">
      <c r="A3030" s="103"/>
    </row>
    <row r="3031" spans="1:1" ht="13.15" customHeight="1" x14ac:dyDescent="0.2">
      <c r="A3031" s="103"/>
    </row>
    <row r="3032" spans="1:1" ht="13.15" customHeight="1" x14ac:dyDescent="0.2">
      <c r="A3032" s="103"/>
    </row>
    <row r="3033" spans="1:1" ht="13.15" customHeight="1" x14ac:dyDescent="0.2">
      <c r="A3033" s="103"/>
    </row>
    <row r="3034" spans="1:1" ht="13.15" customHeight="1" x14ac:dyDescent="0.2">
      <c r="A3034" s="103"/>
    </row>
    <row r="3035" spans="1:1" ht="13.15" customHeight="1" x14ac:dyDescent="0.2">
      <c r="A3035" s="103"/>
    </row>
    <row r="3036" spans="1:1" ht="13.15" customHeight="1" x14ac:dyDescent="0.2">
      <c r="A3036" s="103"/>
    </row>
    <row r="3037" spans="1:1" ht="13.15" customHeight="1" x14ac:dyDescent="0.2">
      <c r="A3037" s="103"/>
    </row>
    <row r="3038" spans="1:1" ht="13.15" customHeight="1" x14ac:dyDescent="0.2">
      <c r="A3038" s="103"/>
    </row>
    <row r="3039" spans="1:1" ht="13.15" customHeight="1" x14ac:dyDescent="0.2">
      <c r="A3039" s="103"/>
    </row>
    <row r="3040" spans="1:1" ht="13.15" customHeight="1" x14ac:dyDescent="0.2">
      <c r="A3040" s="103"/>
    </row>
    <row r="3041" spans="1:1" ht="13.15" customHeight="1" x14ac:dyDescent="0.2">
      <c r="A3041" s="103"/>
    </row>
    <row r="3042" spans="1:1" ht="13.15" customHeight="1" x14ac:dyDescent="0.2">
      <c r="A3042" s="103"/>
    </row>
    <row r="3043" spans="1:1" ht="13.15" customHeight="1" x14ac:dyDescent="0.2">
      <c r="A3043" s="103"/>
    </row>
    <row r="3044" spans="1:1" ht="13.15" customHeight="1" x14ac:dyDescent="0.2">
      <c r="A3044" s="103"/>
    </row>
    <row r="3045" spans="1:1" ht="13.15" customHeight="1" x14ac:dyDescent="0.2">
      <c r="A3045" s="103"/>
    </row>
    <row r="3046" spans="1:1" ht="13.15" customHeight="1" x14ac:dyDescent="0.2">
      <c r="A3046" s="103"/>
    </row>
    <row r="3047" spans="1:1" ht="13.15" customHeight="1" x14ac:dyDescent="0.2">
      <c r="A3047" s="103"/>
    </row>
    <row r="3048" spans="1:1" ht="13.15" customHeight="1" x14ac:dyDescent="0.2">
      <c r="A3048" s="103"/>
    </row>
    <row r="3049" spans="1:1" ht="13.15" customHeight="1" x14ac:dyDescent="0.2">
      <c r="A3049" s="103"/>
    </row>
    <row r="3050" spans="1:1" ht="13.15" customHeight="1" x14ac:dyDescent="0.2">
      <c r="A3050" s="103"/>
    </row>
    <row r="3051" spans="1:1" ht="13.15" customHeight="1" x14ac:dyDescent="0.2">
      <c r="A3051" s="103"/>
    </row>
    <row r="3052" spans="1:1" ht="13.15" customHeight="1" x14ac:dyDescent="0.2">
      <c r="A3052" s="103"/>
    </row>
    <row r="3053" spans="1:1" ht="13.15" customHeight="1" x14ac:dyDescent="0.2">
      <c r="A3053" s="103"/>
    </row>
    <row r="3054" spans="1:1" ht="13.15" customHeight="1" x14ac:dyDescent="0.2">
      <c r="A3054" s="103"/>
    </row>
    <row r="3055" spans="1:1" ht="13.15" customHeight="1" x14ac:dyDescent="0.2">
      <c r="A3055" s="103"/>
    </row>
    <row r="3056" spans="1:1" ht="13.15" customHeight="1" x14ac:dyDescent="0.2">
      <c r="A3056" s="103"/>
    </row>
    <row r="3057" spans="1:1" ht="13.15" customHeight="1" x14ac:dyDescent="0.2">
      <c r="A3057" s="103"/>
    </row>
    <row r="3058" spans="1:1" ht="13.15" customHeight="1" x14ac:dyDescent="0.2">
      <c r="A3058" s="103"/>
    </row>
    <row r="3059" spans="1:1" ht="13.15" customHeight="1" x14ac:dyDescent="0.2">
      <c r="A3059" s="103"/>
    </row>
    <row r="3060" spans="1:1" ht="13.15" customHeight="1" x14ac:dyDescent="0.2">
      <c r="A3060" s="103"/>
    </row>
    <row r="3061" spans="1:1" ht="13.15" customHeight="1" x14ac:dyDescent="0.2">
      <c r="A3061" s="103"/>
    </row>
    <row r="3062" spans="1:1" ht="13.15" customHeight="1" x14ac:dyDescent="0.2">
      <c r="A3062" s="103"/>
    </row>
    <row r="3063" spans="1:1" ht="13.15" customHeight="1" x14ac:dyDescent="0.2">
      <c r="A3063" s="103"/>
    </row>
    <row r="3064" spans="1:1" ht="13.15" customHeight="1" x14ac:dyDescent="0.2">
      <c r="A3064" s="103"/>
    </row>
    <row r="3065" spans="1:1" ht="13.15" customHeight="1" x14ac:dyDescent="0.2">
      <c r="A3065" s="103"/>
    </row>
    <row r="3066" spans="1:1" ht="13.15" customHeight="1" x14ac:dyDescent="0.2">
      <c r="A3066" s="103"/>
    </row>
    <row r="3067" spans="1:1" ht="13.15" customHeight="1" x14ac:dyDescent="0.2">
      <c r="A3067" s="103"/>
    </row>
    <row r="3068" spans="1:1" ht="13.15" customHeight="1" x14ac:dyDescent="0.2">
      <c r="A3068" s="103"/>
    </row>
    <row r="3069" spans="1:1" ht="13.15" customHeight="1" x14ac:dyDescent="0.2">
      <c r="A3069" s="103"/>
    </row>
    <row r="3070" spans="1:1" ht="13.15" customHeight="1" x14ac:dyDescent="0.2">
      <c r="A3070" s="103"/>
    </row>
    <row r="3071" spans="1:1" ht="13.15" customHeight="1" x14ac:dyDescent="0.2">
      <c r="A3071" s="103"/>
    </row>
    <row r="3072" spans="1:1" ht="13.15" customHeight="1" x14ac:dyDescent="0.2">
      <c r="A3072" s="103"/>
    </row>
    <row r="3073" spans="1:1" ht="13.15" customHeight="1" x14ac:dyDescent="0.2">
      <c r="A3073" s="103"/>
    </row>
    <row r="3074" spans="1:1" ht="13.15" customHeight="1" x14ac:dyDescent="0.2">
      <c r="A3074" s="103"/>
    </row>
    <row r="3075" spans="1:1" ht="13.15" customHeight="1" x14ac:dyDescent="0.2">
      <c r="A3075" s="103"/>
    </row>
    <row r="3076" spans="1:1" ht="13.15" customHeight="1" x14ac:dyDescent="0.2">
      <c r="A3076" s="103"/>
    </row>
    <row r="3077" spans="1:1" ht="13.15" customHeight="1" x14ac:dyDescent="0.2">
      <c r="A3077" s="103"/>
    </row>
    <row r="3078" spans="1:1" ht="13.15" customHeight="1" x14ac:dyDescent="0.2">
      <c r="A3078" s="103"/>
    </row>
    <row r="3079" spans="1:1" ht="13.15" customHeight="1" x14ac:dyDescent="0.2">
      <c r="A3079" s="103"/>
    </row>
    <row r="3080" spans="1:1" ht="13.15" customHeight="1" x14ac:dyDescent="0.2">
      <c r="A3080" s="103"/>
    </row>
    <row r="3081" spans="1:1" ht="13.15" customHeight="1" x14ac:dyDescent="0.2">
      <c r="A3081" s="103"/>
    </row>
    <row r="3082" spans="1:1" ht="13.15" customHeight="1" x14ac:dyDescent="0.2">
      <c r="A3082" s="103"/>
    </row>
    <row r="3083" spans="1:1" ht="13.15" customHeight="1" x14ac:dyDescent="0.2">
      <c r="A3083" s="103"/>
    </row>
    <row r="3084" spans="1:1" ht="13.15" customHeight="1" x14ac:dyDescent="0.2">
      <c r="A3084" s="103"/>
    </row>
    <row r="3085" spans="1:1" ht="13.15" customHeight="1" x14ac:dyDescent="0.2">
      <c r="A3085" s="103"/>
    </row>
    <row r="3086" spans="1:1" ht="13.15" customHeight="1" x14ac:dyDescent="0.2">
      <c r="A3086" s="103"/>
    </row>
    <row r="3087" spans="1:1" ht="13.15" customHeight="1" x14ac:dyDescent="0.2">
      <c r="A3087" s="103"/>
    </row>
    <row r="3088" spans="1:1" ht="13.15" customHeight="1" x14ac:dyDescent="0.2">
      <c r="A3088" s="103"/>
    </row>
    <row r="3089" spans="1:1" ht="13.15" customHeight="1" x14ac:dyDescent="0.2">
      <c r="A3089" s="103"/>
    </row>
    <row r="3090" spans="1:1" ht="13.15" customHeight="1" x14ac:dyDescent="0.2">
      <c r="A3090" s="103"/>
    </row>
    <row r="3091" spans="1:1" ht="13.15" customHeight="1" x14ac:dyDescent="0.2">
      <c r="A3091" s="103"/>
    </row>
    <row r="3092" spans="1:1" ht="13.15" customHeight="1" x14ac:dyDescent="0.2">
      <c r="A3092" s="103"/>
    </row>
    <row r="3093" spans="1:1" ht="13.15" customHeight="1" x14ac:dyDescent="0.2">
      <c r="A3093" s="103"/>
    </row>
    <row r="3094" spans="1:1" ht="13.15" customHeight="1" x14ac:dyDescent="0.2">
      <c r="A3094" s="103"/>
    </row>
    <row r="3095" spans="1:1" ht="13.15" customHeight="1" x14ac:dyDescent="0.2">
      <c r="A3095" s="103"/>
    </row>
    <row r="3096" spans="1:1" ht="13.15" customHeight="1" x14ac:dyDescent="0.2">
      <c r="A3096" s="103"/>
    </row>
    <row r="3097" spans="1:1" ht="13.15" customHeight="1" x14ac:dyDescent="0.2">
      <c r="A3097" s="103"/>
    </row>
    <row r="3098" spans="1:1" ht="13.15" customHeight="1" x14ac:dyDescent="0.2">
      <c r="A3098" s="103"/>
    </row>
    <row r="3099" spans="1:1" ht="13.15" customHeight="1" x14ac:dyDescent="0.2">
      <c r="A3099" s="103"/>
    </row>
    <row r="3100" spans="1:1" ht="13.15" customHeight="1" x14ac:dyDescent="0.2">
      <c r="A3100" s="103"/>
    </row>
    <row r="3101" spans="1:1" ht="13.15" customHeight="1" x14ac:dyDescent="0.2">
      <c r="A3101" s="103"/>
    </row>
    <row r="3102" spans="1:1" ht="13.15" customHeight="1" x14ac:dyDescent="0.2">
      <c r="A3102" s="103"/>
    </row>
    <row r="3103" spans="1:1" ht="13.15" customHeight="1" x14ac:dyDescent="0.2">
      <c r="A3103" s="103"/>
    </row>
    <row r="3104" spans="1:1" ht="13.15" customHeight="1" x14ac:dyDescent="0.2">
      <c r="A3104" s="103"/>
    </row>
    <row r="3105" spans="1:1" ht="13.15" customHeight="1" x14ac:dyDescent="0.2">
      <c r="A3105" s="103"/>
    </row>
    <row r="3106" spans="1:1" ht="13.15" customHeight="1" x14ac:dyDescent="0.2">
      <c r="A3106" s="103"/>
    </row>
    <row r="3107" spans="1:1" ht="13.15" customHeight="1" x14ac:dyDescent="0.2">
      <c r="A3107" s="103"/>
    </row>
    <row r="3108" spans="1:1" ht="13.15" customHeight="1" x14ac:dyDescent="0.2">
      <c r="A3108" s="103"/>
    </row>
    <row r="3109" spans="1:1" ht="13.15" customHeight="1" x14ac:dyDescent="0.2">
      <c r="A3109" s="103"/>
    </row>
    <row r="3110" spans="1:1" ht="13.15" customHeight="1" x14ac:dyDescent="0.2">
      <c r="A3110" s="103"/>
    </row>
    <row r="3111" spans="1:1" ht="13.15" customHeight="1" x14ac:dyDescent="0.2">
      <c r="A3111" s="103"/>
    </row>
    <row r="3112" spans="1:1" ht="13.15" customHeight="1" x14ac:dyDescent="0.2">
      <c r="A3112" s="103"/>
    </row>
    <row r="3113" spans="1:1" ht="13.15" customHeight="1" x14ac:dyDescent="0.2">
      <c r="A3113" s="103"/>
    </row>
    <row r="3114" spans="1:1" ht="13.15" customHeight="1" x14ac:dyDescent="0.2">
      <c r="A3114" s="103"/>
    </row>
    <row r="3115" spans="1:1" ht="13.15" customHeight="1" x14ac:dyDescent="0.2">
      <c r="A3115" s="103"/>
    </row>
    <row r="3116" spans="1:1" ht="13.15" customHeight="1" x14ac:dyDescent="0.2">
      <c r="A3116" s="103"/>
    </row>
    <row r="3117" spans="1:1" ht="13.15" customHeight="1" x14ac:dyDescent="0.2">
      <c r="A3117" s="103"/>
    </row>
    <row r="3118" spans="1:1" ht="13.15" customHeight="1" x14ac:dyDescent="0.2">
      <c r="A3118" s="103"/>
    </row>
    <row r="3119" spans="1:1" ht="13.15" customHeight="1" x14ac:dyDescent="0.2">
      <c r="A3119" s="103"/>
    </row>
    <row r="3120" spans="1:1" ht="13.15" customHeight="1" x14ac:dyDescent="0.2">
      <c r="A3120" s="103"/>
    </row>
    <row r="3121" spans="1:1" ht="13.15" customHeight="1" x14ac:dyDescent="0.2">
      <c r="A3121" s="103"/>
    </row>
    <row r="3122" spans="1:1" ht="13.15" customHeight="1" x14ac:dyDescent="0.2">
      <c r="A3122" s="103"/>
    </row>
    <row r="3123" spans="1:1" ht="13.15" customHeight="1" x14ac:dyDescent="0.2">
      <c r="A3123" s="103"/>
    </row>
    <row r="3124" spans="1:1" ht="13.15" customHeight="1" x14ac:dyDescent="0.2">
      <c r="A3124" s="103"/>
    </row>
    <row r="3125" spans="1:1" ht="13.15" customHeight="1" x14ac:dyDescent="0.2">
      <c r="A3125" s="103"/>
    </row>
    <row r="3126" spans="1:1" ht="13.15" customHeight="1" x14ac:dyDescent="0.2">
      <c r="A3126" s="103"/>
    </row>
    <row r="3127" spans="1:1" ht="13.15" customHeight="1" x14ac:dyDescent="0.2">
      <c r="A3127" s="103"/>
    </row>
    <row r="3128" spans="1:1" ht="13.15" customHeight="1" x14ac:dyDescent="0.2">
      <c r="A3128" s="103"/>
    </row>
    <row r="3129" spans="1:1" ht="13.15" customHeight="1" x14ac:dyDescent="0.2">
      <c r="A3129" s="103"/>
    </row>
    <row r="3130" spans="1:1" ht="13.15" customHeight="1" x14ac:dyDescent="0.2">
      <c r="A3130" s="103"/>
    </row>
    <row r="3131" spans="1:1" ht="13.15" customHeight="1" x14ac:dyDescent="0.2">
      <c r="A3131" s="103"/>
    </row>
    <row r="3132" spans="1:1" ht="13.15" customHeight="1" x14ac:dyDescent="0.2">
      <c r="A3132" s="103"/>
    </row>
    <row r="3133" spans="1:1" ht="13.15" customHeight="1" x14ac:dyDescent="0.2">
      <c r="A3133" s="103"/>
    </row>
    <row r="3134" spans="1:1" ht="13.15" customHeight="1" x14ac:dyDescent="0.2">
      <c r="A3134" s="103"/>
    </row>
    <row r="3135" spans="1:1" ht="13.15" customHeight="1" x14ac:dyDescent="0.2">
      <c r="A3135" s="103"/>
    </row>
    <row r="3136" spans="1:1" ht="13.15" customHeight="1" x14ac:dyDescent="0.2">
      <c r="A3136" s="103"/>
    </row>
    <row r="3137" spans="1:1" ht="13.15" customHeight="1" x14ac:dyDescent="0.2">
      <c r="A3137" s="103"/>
    </row>
    <row r="3138" spans="1:1" ht="13.15" customHeight="1" x14ac:dyDescent="0.2">
      <c r="A3138" s="103"/>
    </row>
    <row r="3139" spans="1:1" ht="13.15" customHeight="1" x14ac:dyDescent="0.2">
      <c r="A3139" s="103"/>
    </row>
    <row r="3140" spans="1:1" ht="13.15" customHeight="1" x14ac:dyDescent="0.2">
      <c r="A3140" s="103"/>
    </row>
    <row r="3141" spans="1:1" ht="13.15" customHeight="1" x14ac:dyDescent="0.2">
      <c r="A3141" s="103"/>
    </row>
    <row r="3142" spans="1:1" ht="13.15" customHeight="1" x14ac:dyDescent="0.2">
      <c r="A3142" s="103"/>
    </row>
    <row r="3143" spans="1:1" ht="13.15" customHeight="1" x14ac:dyDescent="0.2">
      <c r="A3143" s="103"/>
    </row>
    <row r="3144" spans="1:1" ht="13.15" customHeight="1" x14ac:dyDescent="0.2">
      <c r="A3144" s="103"/>
    </row>
    <row r="3145" spans="1:1" ht="13.15" customHeight="1" x14ac:dyDescent="0.2">
      <c r="A3145" s="103"/>
    </row>
    <row r="3146" spans="1:1" ht="13.15" customHeight="1" x14ac:dyDescent="0.2">
      <c r="A3146" s="103"/>
    </row>
    <row r="3147" spans="1:1" ht="13.15" customHeight="1" x14ac:dyDescent="0.2">
      <c r="A3147" s="103"/>
    </row>
    <row r="3148" spans="1:1" ht="13.15" customHeight="1" x14ac:dyDescent="0.2">
      <c r="A3148" s="103"/>
    </row>
    <row r="3149" spans="1:1" ht="13.15" customHeight="1" x14ac:dyDescent="0.2">
      <c r="A3149" s="103"/>
    </row>
    <row r="3150" spans="1:1" ht="13.15" customHeight="1" x14ac:dyDescent="0.2">
      <c r="A3150" s="103"/>
    </row>
    <row r="3151" spans="1:1" ht="13.15" customHeight="1" x14ac:dyDescent="0.2">
      <c r="A3151" s="103"/>
    </row>
    <row r="3152" spans="1:1" ht="13.15" customHeight="1" x14ac:dyDescent="0.2">
      <c r="A3152" s="103"/>
    </row>
    <row r="3153" spans="1:1" ht="13.15" customHeight="1" x14ac:dyDescent="0.2">
      <c r="A3153" s="103"/>
    </row>
    <row r="3154" spans="1:1" ht="13.15" customHeight="1" x14ac:dyDescent="0.2">
      <c r="A3154" s="103"/>
    </row>
    <row r="3155" spans="1:1" ht="13.15" customHeight="1" x14ac:dyDescent="0.2">
      <c r="A3155" s="103"/>
    </row>
    <row r="3156" spans="1:1" ht="13.15" customHeight="1" x14ac:dyDescent="0.2">
      <c r="A3156" s="103"/>
    </row>
    <row r="3157" spans="1:1" ht="13.15" customHeight="1" x14ac:dyDescent="0.2">
      <c r="A3157" s="103"/>
    </row>
    <row r="3158" spans="1:1" ht="13.15" customHeight="1" x14ac:dyDescent="0.2">
      <c r="A3158" s="103"/>
    </row>
    <row r="3159" spans="1:1" ht="13.15" customHeight="1" x14ac:dyDescent="0.2">
      <c r="A3159" s="103"/>
    </row>
    <row r="3160" spans="1:1" ht="13.15" customHeight="1" x14ac:dyDescent="0.2">
      <c r="A3160" s="103"/>
    </row>
    <row r="3161" spans="1:1" ht="13.15" customHeight="1" x14ac:dyDescent="0.2">
      <c r="A3161" s="103"/>
    </row>
    <row r="3162" spans="1:1" ht="13.15" customHeight="1" x14ac:dyDescent="0.2">
      <c r="A3162" s="103"/>
    </row>
    <row r="3163" spans="1:1" ht="13.15" customHeight="1" x14ac:dyDescent="0.2">
      <c r="A3163" s="103"/>
    </row>
    <row r="3164" spans="1:1" ht="13.15" customHeight="1" x14ac:dyDescent="0.2">
      <c r="A3164" s="103"/>
    </row>
    <row r="3165" spans="1:1" ht="13.15" customHeight="1" x14ac:dyDescent="0.2">
      <c r="A3165" s="103"/>
    </row>
    <row r="3166" spans="1:1" ht="13.15" customHeight="1" x14ac:dyDescent="0.2">
      <c r="A3166" s="103"/>
    </row>
    <row r="3167" spans="1:1" ht="13.15" customHeight="1" x14ac:dyDescent="0.2">
      <c r="A3167" s="103"/>
    </row>
    <row r="3168" spans="1:1" ht="13.15" customHeight="1" x14ac:dyDescent="0.2">
      <c r="A3168" s="103"/>
    </row>
    <row r="3169" spans="1:1" ht="13.15" customHeight="1" x14ac:dyDescent="0.2">
      <c r="A3169" s="103"/>
    </row>
    <row r="3170" spans="1:1" ht="13.15" customHeight="1" x14ac:dyDescent="0.2">
      <c r="A3170" s="103"/>
    </row>
    <row r="3171" spans="1:1" ht="13.15" customHeight="1" x14ac:dyDescent="0.2">
      <c r="A3171" s="103"/>
    </row>
    <row r="3172" spans="1:1" ht="13.15" customHeight="1" x14ac:dyDescent="0.2">
      <c r="A3172" s="103"/>
    </row>
    <row r="3173" spans="1:1" ht="13.15" customHeight="1" x14ac:dyDescent="0.2">
      <c r="A3173" s="103"/>
    </row>
    <row r="3174" spans="1:1" ht="13.15" customHeight="1" x14ac:dyDescent="0.2">
      <c r="A3174" s="103"/>
    </row>
    <row r="3175" spans="1:1" ht="13.15" customHeight="1" x14ac:dyDescent="0.2">
      <c r="A3175" s="103"/>
    </row>
    <row r="3176" spans="1:1" ht="13.15" customHeight="1" x14ac:dyDescent="0.2">
      <c r="A3176" s="103"/>
    </row>
    <row r="3177" spans="1:1" ht="13.15" customHeight="1" x14ac:dyDescent="0.2">
      <c r="A3177" s="103"/>
    </row>
    <row r="3178" spans="1:1" ht="13.15" customHeight="1" x14ac:dyDescent="0.2">
      <c r="A3178" s="103"/>
    </row>
    <row r="3179" spans="1:1" ht="13.15" customHeight="1" x14ac:dyDescent="0.2">
      <c r="A3179" s="103"/>
    </row>
    <row r="3180" spans="1:1" ht="13.15" customHeight="1" x14ac:dyDescent="0.2">
      <c r="A3180" s="103"/>
    </row>
    <row r="3181" spans="1:1" ht="13.15" customHeight="1" x14ac:dyDescent="0.2">
      <c r="A3181" s="103"/>
    </row>
    <row r="3182" spans="1:1" ht="13.15" customHeight="1" x14ac:dyDescent="0.2">
      <c r="A3182" s="103"/>
    </row>
    <row r="3183" spans="1:1" ht="13.15" customHeight="1" x14ac:dyDescent="0.2">
      <c r="A3183" s="103"/>
    </row>
    <row r="3184" spans="1:1" ht="13.15" customHeight="1" x14ac:dyDescent="0.2">
      <c r="A3184" s="103"/>
    </row>
    <row r="3185" spans="1:1" ht="13.15" customHeight="1" x14ac:dyDescent="0.2">
      <c r="A3185" s="103"/>
    </row>
    <row r="3186" spans="1:1" ht="13.15" customHeight="1" x14ac:dyDescent="0.2">
      <c r="A3186" s="103"/>
    </row>
    <row r="3187" spans="1:1" ht="13.15" customHeight="1" x14ac:dyDescent="0.2">
      <c r="A3187" s="103"/>
    </row>
    <row r="3188" spans="1:1" ht="13.15" customHeight="1" x14ac:dyDescent="0.2">
      <c r="A3188" s="103"/>
    </row>
    <row r="3189" spans="1:1" ht="13.15" customHeight="1" x14ac:dyDescent="0.2">
      <c r="A3189" s="103"/>
    </row>
    <row r="3190" spans="1:1" ht="13.15" customHeight="1" x14ac:dyDescent="0.2">
      <c r="A3190" s="103"/>
    </row>
    <row r="3191" spans="1:1" ht="13.15" customHeight="1" x14ac:dyDescent="0.2">
      <c r="A3191" s="103"/>
    </row>
    <row r="3192" spans="1:1" ht="13.15" customHeight="1" x14ac:dyDescent="0.2">
      <c r="A3192" s="103"/>
    </row>
    <row r="3193" spans="1:1" ht="13.15" customHeight="1" x14ac:dyDescent="0.2">
      <c r="A3193" s="103"/>
    </row>
    <row r="3194" spans="1:1" ht="13.15" customHeight="1" x14ac:dyDescent="0.2">
      <c r="A3194" s="103"/>
    </row>
    <row r="3195" spans="1:1" ht="13.15" customHeight="1" x14ac:dyDescent="0.2">
      <c r="A3195" s="103"/>
    </row>
    <row r="3196" spans="1:1" ht="13.15" customHeight="1" x14ac:dyDescent="0.2">
      <c r="A3196" s="103"/>
    </row>
    <row r="3197" spans="1:1" ht="13.15" customHeight="1" x14ac:dyDescent="0.2">
      <c r="A3197" s="103"/>
    </row>
    <row r="3198" spans="1:1" ht="13.15" customHeight="1" x14ac:dyDescent="0.2">
      <c r="A3198" s="103"/>
    </row>
    <row r="3199" spans="1:1" ht="13.15" customHeight="1" x14ac:dyDescent="0.2">
      <c r="A3199" s="103"/>
    </row>
    <row r="3200" spans="1:1" ht="13.15" customHeight="1" x14ac:dyDescent="0.2">
      <c r="A3200" s="103"/>
    </row>
    <row r="3201" spans="1:1" ht="13.15" customHeight="1" x14ac:dyDescent="0.2">
      <c r="A3201" s="103"/>
    </row>
    <row r="3202" spans="1:1" ht="13.15" customHeight="1" x14ac:dyDescent="0.2">
      <c r="A3202" s="103"/>
    </row>
    <row r="3203" spans="1:1" ht="13.15" customHeight="1" x14ac:dyDescent="0.2">
      <c r="A3203" s="103"/>
    </row>
    <row r="3204" spans="1:1" ht="13.15" customHeight="1" x14ac:dyDescent="0.2">
      <c r="A3204" s="103"/>
    </row>
    <row r="3205" spans="1:1" ht="13.15" customHeight="1" x14ac:dyDescent="0.2">
      <c r="A3205" s="103"/>
    </row>
    <row r="3206" spans="1:1" ht="13.15" customHeight="1" x14ac:dyDescent="0.2">
      <c r="A3206" s="103"/>
    </row>
    <row r="3207" spans="1:1" ht="13.15" customHeight="1" x14ac:dyDescent="0.2">
      <c r="A3207" s="103"/>
    </row>
    <row r="3208" spans="1:1" ht="13.15" customHeight="1" x14ac:dyDescent="0.2">
      <c r="A3208" s="103"/>
    </row>
    <row r="3209" spans="1:1" ht="13.15" customHeight="1" x14ac:dyDescent="0.2">
      <c r="A3209" s="103"/>
    </row>
    <row r="3210" spans="1:1" ht="13.15" customHeight="1" x14ac:dyDescent="0.2">
      <c r="A3210" s="103"/>
    </row>
    <row r="3211" spans="1:1" ht="13.15" customHeight="1" x14ac:dyDescent="0.2">
      <c r="A3211" s="103"/>
    </row>
    <row r="3212" spans="1:1" ht="13.15" customHeight="1" x14ac:dyDescent="0.2">
      <c r="A3212" s="103"/>
    </row>
    <row r="3213" spans="1:1" ht="13.15" customHeight="1" x14ac:dyDescent="0.2">
      <c r="A3213" s="103"/>
    </row>
    <row r="3214" spans="1:1" ht="13.15" customHeight="1" x14ac:dyDescent="0.2">
      <c r="A3214" s="103"/>
    </row>
    <row r="3215" spans="1:1" ht="13.15" customHeight="1" x14ac:dyDescent="0.2">
      <c r="A3215" s="103"/>
    </row>
    <row r="3216" spans="1:1" ht="13.15" customHeight="1" x14ac:dyDescent="0.2">
      <c r="A3216" s="103"/>
    </row>
    <row r="3217" spans="1:1" ht="13.15" customHeight="1" x14ac:dyDescent="0.2">
      <c r="A3217" s="103"/>
    </row>
    <row r="3218" spans="1:1" ht="13.15" customHeight="1" x14ac:dyDescent="0.2">
      <c r="A3218" s="103"/>
    </row>
    <row r="3219" spans="1:1" ht="13.15" customHeight="1" x14ac:dyDescent="0.2">
      <c r="A3219" s="103"/>
    </row>
    <row r="3220" spans="1:1" ht="13.15" customHeight="1" x14ac:dyDescent="0.2">
      <c r="A3220" s="103"/>
    </row>
    <row r="3221" spans="1:1" ht="13.15" customHeight="1" x14ac:dyDescent="0.2">
      <c r="A3221" s="103"/>
    </row>
    <row r="3222" spans="1:1" ht="13.15" customHeight="1" x14ac:dyDescent="0.2">
      <c r="A3222" s="103"/>
    </row>
    <row r="3223" spans="1:1" ht="13.15" customHeight="1" x14ac:dyDescent="0.2">
      <c r="A3223" s="103"/>
    </row>
    <row r="3224" spans="1:1" ht="13.15" customHeight="1" x14ac:dyDescent="0.2">
      <c r="A3224" s="103"/>
    </row>
    <row r="3225" spans="1:1" ht="13.15" customHeight="1" x14ac:dyDescent="0.2">
      <c r="A3225" s="103"/>
    </row>
    <row r="3226" spans="1:1" ht="13.15" customHeight="1" x14ac:dyDescent="0.2">
      <c r="A3226" s="103"/>
    </row>
    <row r="3227" spans="1:1" ht="13.15" customHeight="1" x14ac:dyDescent="0.2">
      <c r="A3227" s="103"/>
    </row>
    <row r="3228" spans="1:1" ht="13.15" customHeight="1" x14ac:dyDescent="0.2">
      <c r="A3228" s="103"/>
    </row>
    <row r="3229" spans="1:1" ht="13.15" customHeight="1" x14ac:dyDescent="0.2">
      <c r="A3229" s="103"/>
    </row>
    <row r="3230" spans="1:1" ht="13.15" customHeight="1" x14ac:dyDescent="0.2">
      <c r="A3230" s="103"/>
    </row>
    <row r="3231" spans="1:1" ht="13.15" customHeight="1" x14ac:dyDescent="0.2">
      <c r="A3231" s="103"/>
    </row>
    <row r="3232" spans="1:1" ht="13.15" customHeight="1" x14ac:dyDescent="0.2">
      <c r="A3232" s="103"/>
    </row>
    <row r="3233" spans="1:1" ht="13.15" customHeight="1" x14ac:dyDescent="0.2">
      <c r="A3233" s="103"/>
    </row>
    <row r="3234" spans="1:1" ht="13.15" customHeight="1" x14ac:dyDescent="0.2">
      <c r="A3234" s="103"/>
    </row>
    <row r="3235" spans="1:1" ht="13.15" customHeight="1" x14ac:dyDescent="0.2">
      <c r="A3235" s="103"/>
    </row>
    <row r="3236" spans="1:1" ht="13.15" customHeight="1" x14ac:dyDescent="0.2">
      <c r="A3236" s="103"/>
    </row>
    <row r="3237" spans="1:1" ht="13.15" customHeight="1" x14ac:dyDescent="0.2">
      <c r="A3237" s="103"/>
    </row>
    <row r="3238" spans="1:1" ht="13.15" customHeight="1" x14ac:dyDescent="0.2">
      <c r="A3238" s="103"/>
    </row>
    <row r="3239" spans="1:1" ht="13.15" customHeight="1" x14ac:dyDescent="0.2">
      <c r="A3239" s="103"/>
    </row>
    <row r="3240" spans="1:1" ht="13.15" customHeight="1" x14ac:dyDescent="0.2">
      <c r="A3240" s="103"/>
    </row>
    <row r="3241" spans="1:1" ht="13.15" customHeight="1" x14ac:dyDescent="0.2">
      <c r="A3241" s="103"/>
    </row>
    <row r="3242" spans="1:1" ht="13.15" customHeight="1" x14ac:dyDescent="0.2">
      <c r="A3242" s="103"/>
    </row>
    <row r="3243" spans="1:1" ht="13.15" customHeight="1" x14ac:dyDescent="0.2">
      <c r="A3243" s="103"/>
    </row>
    <row r="3244" spans="1:1" ht="13.15" customHeight="1" x14ac:dyDescent="0.2">
      <c r="A3244" s="103"/>
    </row>
    <row r="3245" spans="1:1" ht="13.15" customHeight="1" x14ac:dyDescent="0.2">
      <c r="A3245" s="103"/>
    </row>
    <row r="3246" spans="1:1" ht="13.15" customHeight="1" x14ac:dyDescent="0.2">
      <c r="A3246" s="103"/>
    </row>
    <row r="3247" spans="1:1" ht="13.15" customHeight="1" x14ac:dyDescent="0.2">
      <c r="A3247" s="103"/>
    </row>
    <row r="3248" spans="1:1" ht="13.15" customHeight="1" x14ac:dyDescent="0.2">
      <c r="A3248" s="103"/>
    </row>
    <row r="3249" spans="1:1" ht="13.15" customHeight="1" x14ac:dyDescent="0.2">
      <c r="A3249" s="103"/>
    </row>
    <row r="3250" spans="1:1" ht="13.15" customHeight="1" x14ac:dyDescent="0.2">
      <c r="A3250" s="103"/>
    </row>
    <row r="3251" spans="1:1" ht="13.15" customHeight="1" x14ac:dyDescent="0.2">
      <c r="A3251" s="103"/>
    </row>
    <row r="3252" spans="1:1" ht="13.15" customHeight="1" x14ac:dyDescent="0.2">
      <c r="A3252" s="103"/>
    </row>
    <row r="3253" spans="1:1" ht="13.15" customHeight="1" x14ac:dyDescent="0.2">
      <c r="A3253" s="103"/>
    </row>
    <row r="3254" spans="1:1" ht="13.15" customHeight="1" x14ac:dyDescent="0.2">
      <c r="A3254" s="103"/>
    </row>
    <row r="3255" spans="1:1" ht="13.15" customHeight="1" x14ac:dyDescent="0.2">
      <c r="A3255" s="103"/>
    </row>
    <row r="3256" spans="1:1" ht="13.15" customHeight="1" x14ac:dyDescent="0.2">
      <c r="A3256" s="103"/>
    </row>
    <row r="3257" spans="1:1" ht="13.15" customHeight="1" x14ac:dyDescent="0.2">
      <c r="A3257" s="103"/>
    </row>
    <row r="3258" spans="1:1" ht="13.15" customHeight="1" x14ac:dyDescent="0.2">
      <c r="A3258" s="103"/>
    </row>
    <row r="3259" spans="1:1" ht="13.15" customHeight="1" x14ac:dyDescent="0.2">
      <c r="A3259" s="103"/>
    </row>
    <row r="3260" spans="1:1" ht="13.15" customHeight="1" x14ac:dyDescent="0.2">
      <c r="A3260" s="103"/>
    </row>
    <row r="3261" spans="1:1" ht="13.15" customHeight="1" x14ac:dyDescent="0.2">
      <c r="A3261" s="103"/>
    </row>
    <row r="3262" spans="1:1" ht="13.15" customHeight="1" x14ac:dyDescent="0.2">
      <c r="A3262" s="103"/>
    </row>
    <row r="3263" spans="1:1" ht="13.15" customHeight="1" x14ac:dyDescent="0.2">
      <c r="A3263" s="103"/>
    </row>
    <row r="3264" spans="1:1" ht="13.15" customHeight="1" x14ac:dyDescent="0.2">
      <c r="A3264" s="103"/>
    </row>
    <row r="3265" spans="1:1" ht="13.15" customHeight="1" x14ac:dyDescent="0.2">
      <c r="A3265" s="103"/>
    </row>
    <row r="3266" spans="1:1" ht="13.15" customHeight="1" x14ac:dyDescent="0.2">
      <c r="A3266" s="103"/>
    </row>
    <row r="3267" spans="1:1" ht="13.15" customHeight="1" x14ac:dyDescent="0.2">
      <c r="A3267" s="103"/>
    </row>
    <row r="3268" spans="1:1" ht="13.15" customHeight="1" x14ac:dyDescent="0.2">
      <c r="A3268" s="103"/>
    </row>
    <row r="3269" spans="1:1" ht="13.15" customHeight="1" x14ac:dyDescent="0.2">
      <c r="A3269" s="103"/>
    </row>
    <row r="3270" spans="1:1" ht="13.15" customHeight="1" x14ac:dyDescent="0.2">
      <c r="A3270" s="103"/>
    </row>
    <row r="3271" spans="1:1" ht="13.15" customHeight="1" x14ac:dyDescent="0.2">
      <c r="A3271" s="103"/>
    </row>
    <row r="3272" spans="1:1" ht="13.15" customHeight="1" x14ac:dyDescent="0.2">
      <c r="A3272" s="103"/>
    </row>
    <row r="3273" spans="1:1" ht="13.15" customHeight="1" x14ac:dyDescent="0.2">
      <c r="A3273" s="103"/>
    </row>
    <row r="3274" spans="1:1" ht="13.15" customHeight="1" x14ac:dyDescent="0.2">
      <c r="A3274" s="103"/>
    </row>
    <row r="3275" spans="1:1" ht="13.15" customHeight="1" x14ac:dyDescent="0.2">
      <c r="A3275" s="103"/>
    </row>
    <row r="3276" spans="1:1" ht="13.15" customHeight="1" x14ac:dyDescent="0.2">
      <c r="A3276" s="103"/>
    </row>
    <row r="3277" spans="1:1" ht="13.15" customHeight="1" x14ac:dyDescent="0.2">
      <c r="A3277" s="103"/>
    </row>
    <row r="3278" spans="1:1" ht="13.15" customHeight="1" x14ac:dyDescent="0.2">
      <c r="A3278" s="103"/>
    </row>
    <row r="3279" spans="1:1" ht="13.15" customHeight="1" x14ac:dyDescent="0.2">
      <c r="A3279" s="103"/>
    </row>
    <row r="3280" spans="1:1" ht="13.15" customHeight="1" x14ac:dyDescent="0.2">
      <c r="A3280" s="103"/>
    </row>
    <row r="3281" spans="1:1" ht="13.15" customHeight="1" x14ac:dyDescent="0.2">
      <c r="A3281" s="103"/>
    </row>
    <row r="3282" spans="1:1" ht="13.15" customHeight="1" x14ac:dyDescent="0.2">
      <c r="A3282" s="103"/>
    </row>
    <row r="3283" spans="1:1" ht="13.15" customHeight="1" x14ac:dyDescent="0.2">
      <c r="A3283" s="103"/>
    </row>
    <row r="3284" spans="1:1" ht="13.15" customHeight="1" x14ac:dyDescent="0.2">
      <c r="A3284" s="103"/>
    </row>
    <row r="3285" spans="1:1" ht="13.15" customHeight="1" x14ac:dyDescent="0.2">
      <c r="A3285" s="103"/>
    </row>
    <row r="3286" spans="1:1" ht="13.15" customHeight="1" x14ac:dyDescent="0.2">
      <c r="A3286" s="103"/>
    </row>
    <row r="3287" spans="1:1" ht="13.15" customHeight="1" x14ac:dyDescent="0.2">
      <c r="A3287" s="103"/>
    </row>
    <row r="3288" spans="1:1" ht="13.15" customHeight="1" x14ac:dyDescent="0.2">
      <c r="A3288" s="103"/>
    </row>
    <row r="3289" spans="1:1" ht="13.15" customHeight="1" x14ac:dyDescent="0.2">
      <c r="A3289" s="103"/>
    </row>
    <row r="3290" spans="1:1" ht="13.15" customHeight="1" x14ac:dyDescent="0.2">
      <c r="A3290" s="103"/>
    </row>
    <row r="3291" spans="1:1" ht="13.15" customHeight="1" x14ac:dyDescent="0.2">
      <c r="A3291" s="103"/>
    </row>
    <row r="3292" spans="1:1" ht="13.15" customHeight="1" x14ac:dyDescent="0.2">
      <c r="A3292" s="103"/>
    </row>
    <row r="3293" spans="1:1" ht="13.15" customHeight="1" x14ac:dyDescent="0.2">
      <c r="A3293" s="103"/>
    </row>
    <row r="3294" spans="1:1" ht="13.15" customHeight="1" x14ac:dyDescent="0.2">
      <c r="A3294" s="103"/>
    </row>
    <row r="3295" spans="1:1" ht="13.15" customHeight="1" x14ac:dyDescent="0.2">
      <c r="A3295" s="103"/>
    </row>
    <row r="3296" spans="1:1" ht="13.15" customHeight="1" x14ac:dyDescent="0.2">
      <c r="A3296" s="103"/>
    </row>
    <row r="3297" spans="1:1" ht="13.15" customHeight="1" x14ac:dyDescent="0.2">
      <c r="A3297" s="103"/>
    </row>
    <row r="3298" spans="1:1" ht="13.15" customHeight="1" x14ac:dyDescent="0.2">
      <c r="A3298" s="103"/>
    </row>
    <row r="3299" spans="1:1" ht="13.15" customHeight="1" x14ac:dyDescent="0.2">
      <c r="A3299" s="103"/>
    </row>
    <row r="3300" spans="1:1" ht="13.15" customHeight="1" x14ac:dyDescent="0.2">
      <c r="A3300" s="103"/>
    </row>
    <row r="3301" spans="1:1" ht="13.15" customHeight="1" x14ac:dyDescent="0.2">
      <c r="A3301" s="103"/>
    </row>
    <row r="3302" spans="1:1" ht="13.15" customHeight="1" x14ac:dyDescent="0.2">
      <c r="A3302" s="103"/>
    </row>
    <row r="3303" spans="1:1" ht="13.15" customHeight="1" x14ac:dyDescent="0.2">
      <c r="A3303" s="103"/>
    </row>
    <row r="3304" spans="1:1" ht="13.15" customHeight="1" x14ac:dyDescent="0.2">
      <c r="A3304" s="103"/>
    </row>
    <row r="3305" spans="1:1" ht="13.15" customHeight="1" x14ac:dyDescent="0.2">
      <c r="A3305" s="103"/>
    </row>
    <row r="3306" spans="1:1" ht="13.15" customHeight="1" x14ac:dyDescent="0.2">
      <c r="A3306" s="103"/>
    </row>
    <row r="3307" spans="1:1" ht="13.15" customHeight="1" x14ac:dyDescent="0.2">
      <c r="A3307" s="103"/>
    </row>
    <row r="3308" spans="1:1" ht="13.15" customHeight="1" x14ac:dyDescent="0.2">
      <c r="A3308" s="103"/>
    </row>
    <row r="3309" spans="1:1" ht="13.15" customHeight="1" x14ac:dyDescent="0.2">
      <c r="A3309" s="103"/>
    </row>
    <row r="3310" spans="1:1" ht="13.15" customHeight="1" x14ac:dyDescent="0.2">
      <c r="A3310" s="103"/>
    </row>
    <row r="3311" spans="1:1" ht="13.15" customHeight="1" x14ac:dyDescent="0.2">
      <c r="A3311" s="103"/>
    </row>
    <row r="3312" spans="1:1" ht="13.15" customHeight="1" x14ac:dyDescent="0.2">
      <c r="A3312" s="103"/>
    </row>
    <row r="3313" spans="1:1" ht="13.15" customHeight="1" x14ac:dyDescent="0.2">
      <c r="A3313" s="103"/>
    </row>
    <row r="3314" spans="1:1" ht="13.15" customHeight="1" x14ac:dyDescent="0.2">
      <c r="A3314" s="103"/>
    </row>
    <row r="3315" spans="1:1" ht="13.15" customHeight="1" x14ac:dyDescent="0.2">
      <c r="A3315" s="103"/>
    </row>
    <row r="3316" spans="1:1" ht="13.15" customHeight="1" x14ac:dyDescent="0.2">
      <c r="A3316" s="103"/>
    </row>
    <row r="3317" spans="1:1" ht="13.15" customHeight="1" x14ac:dyDescent="0.2">
      <c r="A3317" s="103"/>
    </row>
    <row r="3318" spans="1:1" ht="13.15" customHeight="1" x14ac:dyDescent="0.2">
      <c r="A3318" s="103"/>
    </row>
    <row r="3319" spans="1:1" ht="13.15" customHeight="1" x14ac:dyDescent="0.2">
      <c r="A3319" s="103"/>
    </row>
    <row r="3320" spans="1:1" ht="13.15" customHeight="1" x14ac:dyDescent="0.2">
      <c r="A3320" s="103"/>
    </row>
    <row r="3321" spans="1:1" ht="13.15" customHeight="1" x14ac:dyDescent="0.2">
      <c r="A3321" s="103"/>
    </row>
    <row r="3322" spans="1:1" ht="13.15" customHeight="1" x14ac:dyDescent="0.2">
      <c r="A3322" s="103"/>
    </row>
    <row r="3323" spans="1:1" ht="13.15" customHeight="1" x14ac:dyDescent="0.2">
      <c r="A3323" s="103"/>
    </row>
    <row r="3324" spans="1:1" ht="13.15" customHeight="1" x14ac:dyDescent="0.2">
      <c r="A3324" s="103"/>
    </row>
    <row r="3325" spans="1:1" ht="13.15" customHeight="1" x14ac:dyDescent="0.2">
      <c r="A3325" s="103"/>
    </row>
    <row r="3326" spans="1:1" ht="13.15" customHeight="1" x14ac:dyDescent="0.2">
      <c r="A3326" s="103"/>
    </row>
    <row r="3327" spans="1:1" ht="13.15" customHeight="1" x14ac:dyDescent="0.2">
      <c r="A3327" s="103"/>
    </row>
    <row r="3328" spans="1:1" ht="13.15" customHeight="1" x14ac:dyDescent="0.2">
      <c r="A3328" s="103"/>
    </row>
    <row r="3329" spans="1:1" ht="13.15" customHeight="1" x14ac:dyDescent="0.2">
      <c r="A3329" s="103"/>
    </row>
    <row r="3330" spans="1:1" ht="13.15" customHeight="1" x14ac:dyDescent="0.2">
      <c r="A3330" s="103"/>
    </row>
    <row r="3331" spans="1:1" ht="13.15" customHeight="1" x14ac:dyDescent="0.2">
      <c r="A3331" s="103"/>
    </row>
    <row r="3332" spans="1:1" ht="13.15" customHeight="1" x14ac:dyDescent="0.2">
      <c r="A3332" s="103"/>
    </row>
    <row r="3333" spans="1:1" ht="13.15" customHeight="1" x14ac:dyDescent="0.2">
      <c r="A3333" s="103"/>
    </row>
    <row r="3334" spans="1:1" ht="13.15" customHeight="1" x14ac:dyDescent="0.2">
      <c r="A3334" s="103"/>
    </row>
    <row r="3335" spans="1:1" ht="13.15" customHeight="1" x14ac:dyDescent="0.2">
      <c r="A3335" s="103"/>
    </row>
    <row r="3336" spans="1:1" ht="13.15" customHeight="1" x14ac:dyDescent="0.2">
      <c r="A3336" s="103"/>
    </row>
    <row r="3337" spans="1:1" ht="13.15" customHeight="1" x14ac:dyDescent="0.2">
      <c r="A3337" s="103"/>
    </row>
    <row r="3338" spans="1:1" ht="13.15" customHeight="1" x14ac:dyDescent="0.2">
      <c r="A3338" s="103"/>
    </row>
    <row r="3339" spans="1:1" ht="13.15" customHeight="1" x14ac:dyDescent="0.2">
      <c r="A3339" s="103"/>
    </row>
    <row r="3340" spans="1:1" ht="13.15" customHeight="1" x14ac:dyDescent="0.2">
      <c r="A3340" s="103"/>
    </row>
    <row r="3341" spans="1:1" ht="13.15" customHeight="1" x14ac:dyDescent="0.2">
      <c r="A3341" s="103"/>
    </row>
    <row r="3342" spans="1:1" ht="13.15" customHeight="1" x14ac:dyDescent="0.2">
      <c r="A3342" s="103"/>
    </row>
    <row r="3343" spans="1:1" ht="13.15" customHeight="1" x14ac:dyDescent="0.2">
      <c r="A3343" s="103"/>
    </row>
    <row r="3344" spans="1:1" ht="13.15" customHeight="1" x14ac:dyDescent="0.2">
      <c r="A3344" s="103"/>
    </row>
    <row r="3345" spans="1:1" ht="13.15" customHeight="1" x14ac:dyDescent="0.2">
      <c r="A3345" s="103"/>
    </row>
    <row r="3346" spans="1:1" ht="13.15" customHeight="1" x14ac:dyDescent="0.2">
      <c r="A3346" s="103"/>
    </row>
    <row r="3347" spans="1:1" ht="13.15" customHeight="1" x14ac:dyDescent="0.2">
      <c r="A3347" s="103"/>
    </row>
    <row r="3348" spans="1:1" ht="13.15" customHeight="1" x14ac:dyDescent="0.2">
      <c r="A3348" s="103"/>
    </row>
    <row r="3349" spans="1:1" ht="13.15" customHeight="1" x14ac:dyDescent="0.2">
      <c r="A3349" s="103"/>
    </row>
    <row r="3350" spans="1:1" ht="13.15" customHeight="1" x14ac:dyDescent="0.2">
      <c r="A3350" s="103"/>
    </row>
    <row r="3351" spans="1:1" ht="13.15" customHeight="1" x14ac:dyDescent="0.2">
      <c r="A3351" s="103"/>
    </row>
    <row r="3352" spans="1:1" ht="13.15" customHeight="1" x14ac:dyDescent="0.2">
      <c r="A3352" s="103"/>
    </row>
    <row r="3353" spans="1:1" ht="13.15" customHeight="1" x14ac:dyDescent="0.2">
      <c r="A3353" s="103"/>
    </row>
    <row r="3354" spans="1:1" ht="13.15" customHeight="1" x14ac:dyDescent="0.2">
      <c r="A3354" s="103"/>
    </row>
    <row r="3355" spans="1:1" ht="13.15" customHeight="1" x14ac:dyDescent="0.2">
      <c r="A3355" s="103"/>
    </row>
    <row r="3356" spans="1:1" ht="13.15" customHeight="1" x14ac:dyDescent="0.2">
      <c r="A3356" s="103"/>
    </row>
    <row r="3357" spans="1:1" ht="13.15" customHeight="1" x14ac:dyDescent="0.2">
      <c r="A3357" s="103"/>
    </row>
    <row r="3358" spans="1:1" ht="13.15" customHeight="1" x14ac:dyDescent="0.2">
      <c r="A3358" s="103"/>
    </row>
    <row r="3359" spans="1:1" ht="13.15" customHeight="1" x14ac:dyDescent="0.2">
      <c r="A3359" s="103"/>
    </row>
    <row r="3360" spans="1:1" ht="13.15" customHeight="1" x14ac:dyDescent="0.2">
      <c r="A3360" s="103"/>
    </row>
    <row r="3361" spans="1:1" ht="13.15" customHeight="1" x14ac:dyDescent="0.2">
      <c r="A3361" s="103"/>
    </row>
    <row r="3362" spans="1:1" ht="13.15" customHeight="1" x14ac:dyDescent="0.2">
      <c r="A3362" s="103"/>
    </row>
    <row r="3363" spans="1:1" ht="13.15" customHeight="1" x14ac:dyDescent="0.2">
      <c r="A3363" s="103"/>
    </row>
    <row r="3364" spans="1:1" ht="13.15" customHeight="1" x14ac:dyDescent="0.2">
      <c r="A3364" s="103"/>
    </row>
    <row r="3365" spans="1:1" ht="13.15" customHeight="1" x14ac:dyDescent="0.2">
      <c r="A3365" s="103"/>
    </row>
    <row r="3366" spans="1:1" ht="13.15" customHeight="1" x14ac:dyDescent="0.2">
      <c r="A3366" s="103"/>
    </row>
    <row r="3367" spans="1:1" ht="13.15" customHeight="1" x14ac:dyDescent="0.2">
      <c r="A3367" s="103"/>
    </row>
    <row r="3368" spans="1:1" ht="13.15" customHeight="1" x14ac:dyDescent="0.2">
      <c r="A3368" s="103"/>
    </row>
    <row r="3369" spans="1:1" ht="13.15" customHeight="1" x14ac:dyDescent="0.2">
      <c r="A3369" s="103"/>
    </row>
    <row r="3370" spans="1:1" ht="13.15" customHeight="1" x14ac:dyDescent="0.2">
      <c r="A3370" s="103"/>
    </row>
    <row r="3371" spans="1:1" ht="13.15" customHeight="1" x14ac:dyDescent="0.2">
      <c r="A3371" s="103"/>
    </row>
    <row r="3372" spans="1:1" ht="13.15" customHeight="1" x14ac:dyDescent="0.2">
      <c r="A3372" s="103"/>
    </row>
    <row r="3373" spans="1:1" ht="13.15" customHeight="1" x14ac:dyDescent="0.2">
      <c r="A3373" s="103"/>
    </row>
    <row r="3374" spans="1:1" ht="13.15" customHeight="1" x14ac:dyDescent="0.2">
      <c r="A3374" s="103"/>
    </row>
    <row r="3375" spans="1:1" ht="13.15" customHeight="1" x14ac:dyDescent="0.2">
      <c r="A3375" s="103"/>
    </row>
    <row r="3376" spans="1:1" ht="13.15" customHeight="1" x14ac:dyDescent="0.2">
      <c r="A3376" s="103"/>
    </row>
    <row r="3377" spans="1:1" ht="13.15" customHeight="1" x14ac:dyDescent="0.2">
      <c r="A3377" s="103"/>
    </row>
    <row r="3378" spans="1:1" ht="13.15" customHeight="1" x14ac:dyDescent="0.2">
      <c r="A3378" s="103"/>
    </row>
    <row r="3379" spans="1:1" ht="13.15" customHeight="1" x14ac:dyDescent="0.2">
      <c r="A3379" s="103"/>
    </row>
    <row r="3380" spans="1:1" ht="13.15" customHeight="1" x14ac:dyDescent="0.2">
      <c r="A3380" s="103"/>
    </row>
    <row r="3381" spans="1:1" ht="13.15" customHeight="1" x14ac:dyDescent="0.2">
      <c r="A3381" s="103"/>
    </row>
    <row r="3382" spans="1:1" ht="13.15" customHeight="1" x14ac:dyDescent="0.2">
      <c r="A3382" s="103"/>
    </row>
    <row r="3383" spans="1:1" ht="13.15" customHeight="1" x14ac:dyDescent="0.2">
      <c r="A3383" s="103"/>
    </row>
    <row r="3384" spans="1:1" ht="13.15" customHeight="1" x14ac:dyDescent="0.2">
      <c r="A3384" s="103"/>
    </row>
    <row r="3385" spans="1:1" ht="13.15" customHeight="1" x14ac:dyDescent="0.2">
      <c r="A3385" s="103"/>
    </row>
    <row r="3386" spans="1:1" ht="13.15" customHeight="1" x14ac:dyDescent="0.2">
      <c r="A3386" s="103"/>
    </row>
    <row r="3387" spans="1:1" ht="13.15" customHeight="1" x14ac:dyDescent="0.2">
      <c r="A3387" s="103"/>
    </row>
    <row r="3388" spans="1:1" ht="13.15" customHeight="1" x14ac:dyDescent="0.2">
      <c r="A3388" s="103"/>
    </row>
    <row r="3389" spans="1:1" ht="13.15" customHeight="1" x14ac:dyDescent="0.2">
      <c r="A3389" s="103"/>
    </row>
    <row r="3390" spans="1:1" ht="13.15" customHeight="1" x14ac:dyDescent="0.2">
      <c r="A3390" s="103"/>
    </row>
    <row r="3391" spans="1:1" ht="13.15" customHeight="1" x14ac:dyDescent="0.2">
      <c r="A3391" s="103"/>
    </row>
    <row r="3392" spans="1:1" ht="13.15" customHeight="1" x14ac:dyDescent="0.2">
      <c r="A3392" s="103"/>
    </row>
    <row r="3393" spans="1:1" ht="13.15" customHeight="1" x14ac:dyDescent="0.2">
      <c r="A3393" s="103"/>
    </row>
    <row r="3394" spans="1:1" ht="13.15" customHeight="1" x14ac:dyDescent="0.2">
      <c r="A3394" s="103"/>
    </row>
    <row r="3395" spans="1:1" ht="13.15" customHeight="1" x14ac:dyDescent="0.2">
      <c r="A3395" s="103"/>
    </row>
    <row r="3396" spans="1:1" ht="13.15" customHeight="1" x14ac:dyDescent="0.2">
      <c r="A3396" s="103"/>
    </row>
    <row r="3397" spans="1:1" ht="13.15" customHeight="1" x14ac:dyDescent="0.2">
      <c r="A3397" s="103"/>
    </row>
    <row r="3398" spans="1:1" ht="13.15" customHeight="1" x14ac:dyDescent="0.2">
      <c r="A3398" s="103"/>
    </row>
    <row r="3399" spans="1:1" ht="13.15" customHeight="1" x14ac:dyDescent="0.2">
      <c r="A3399" s="103"/>
    </row>
    <row r="3400" spans="1:1" ht="13.15" customHeight="1" x14ac:dyDescent="0.2">
      <c r="A3400" s="103"/>
    </row>
    <row r="3401" spans="1:1" ht="13.15" customHeight="1" x14ac:dyDescent="0.2">
      <c r="A3401" s="103"/>
    </row>
    <row r="3402" spans="1:1" ht="13.15" customHeight="1" x14ac:dyDescent="0.2">
      <c r="A3402" s="103"/>
    </row>
    <row r="3403" spans="1:1" ht="13.15" customHeight="1" x14ac:dyDescent="0.2">
      <c r="A3403" s="103"/>
    </row>
    <row r="3404" spans="1:1" ht="13.15" customHeight="1" x14ac:dyDescent="0.2">
      <c r="A3404" s="103"/>
    </row>
    <row r="3405" spans="1:1" ht="13.15" customHeight="1" x14ac:dyDescent="0.2">
      <c r="A3405" s="103"/>
    </row>
    <row r="3406" spans="1:1" ht="13.15" customHeight="1" x14ac:dyDescent="0.2">
      <c r="A3406" s="103"/>
    </row>
    <row r="3407" spans="1:1" ht="13.15" customHeight="1" x14ac:dyDescent="0.2">
      <c r="A3407" s="103"/>
    </row>
    <row r="3408" spans="1:1" ht="13.15" customHeight="1" x14ac:dyDescent="0.2">
      <c r="A3408" s="103"/>
    </row>
    <row r="3409" spans="1:1" ht="13.15" customHeight="1" x14ac:dyDescent="0.2">
      <c r="A3409" s="103"/>
    </row>
    <row r="3410" spans="1:1" ht="13.15" customHeight="1" x14ac:dyDescent="0.2">
      <c r="A3410" s="103"/>
    </row>
    <row r="3411" spans="1:1" ht="13.15" customHeight="1" x14ac:dyDescent="0.2">
      <c r="A3411" s="103"/>
    </row>
    <row r="3412" spans="1:1" ht="13.15" customHeight="1" x14ac:dyDescent="0.2">
      <c r="A3412" s="103"/>
    </row>
    <row r="3413" spans="1:1" ht="13.15" customHeight="1" x14ac:dyDescent="0.2">
      <c r="A3413" s="103"/>
    </row>
    <row r="3414" spans="1:1" ht="13.15" customHeight="1" x14ac:dyDescent="0.2">
      <c r="A3414" s="103"/>
    </row>
    <row r="3415" spans="1:1" ht="13.15" customHeight="1" x14ac:dyDescent="0.2">
      <c r="A3415" s="103"/>
    </row>
    <row r="3416" spans="1:1" ht="13.15" customHeight="1" x14ac:dyDescent="0.2">
      <c r="A3416" s="103"/>
    </row>
    <row r="3417" spans="1:1" ht="13.15" customHeight="1" x14ac:dyDescent="0.2">
      <c r="A3417" s="103"/>
    </row>
    <row r="3418" spans="1:1" ht="13.15" customHeight="1" x14ac:dyDescent="0.2">
      <c r="A3418" s="103"/>
    </row>
    <row r="3419" spans="1:1" ht="13.15" customHeight="1" x14ac:dyDescent="0.2">
      <c r="A3419" s="103"/>
    </row>
    <row r="3420" spans="1:1" ht="13.15" customHeight="1" x14ac:dyDescent="0.2">
      <c r="A3420" s="103"/>
    </row>
    <row r="3421" spans="1:1" ht="13.15" customHeight="1" x14ac:dyDescent="0.2">
      <c r="A3421" s="103"/>
    </row>
    <row r="3422" spans="1:1" ht="13.15" customHeight="1" x14ac:dyDescent="0.2">
      <c r="A3422" s="103"/>
    </row>
    <row r="3423" spans="1:1" ht="13.15" customHeight="1" x14ac:dyDescent="0.2">
      <c r="A3423" s="103"/>
    </row>
    <row r="3424" spans="1:1" ht="13.15" customHeight="1" x14ac:dyDescent="0.2">
      <c r="A3424" s="103"/>
    </row>
    <row r="3425" spans="1:1" ht="13.15" customHeight="1" x14ac:dyDescent="0.2">
      <c r="A3425" s="103"/>
    </row>
    <row r="3426" spans="1:1" ht="13.15" customHeight="1" x14ac:dyDescent="0.2">
      <c r="A3426" s="103"/>
    </row>
    <row r="3427" spans="1:1" ht="13.15" customHeight="1" x14ac:dyDescent="0.2">
      <c r="A3427" s="103"/>
    </row>
    <row r="3428" spans="1:1" ht="13.15" customHeight="1" x14ac:dyDescent="0.2">
      <c r="A3428" s="103"/>
    </row>
    <row r="3429" spans="1:1" ht="13.15" customHeight="1" x14ac:dyDescent="0.2">
      <c r="A3429" s="103"/>
    </row>
    <row r="3430" spans="1:1" ht="13.15" customHeight="1" x14ac:dyDescent="0.2">
      <c r="A3430" s="103"/>
    </row>
    <row r="3431" spans="1:1" ht="13.15" customHeight="1" x14ac:dyDescent="0.2">
      <c r="A3431" s="103"/>
    </row>
    <row r="3432" spans="1:1" ht="13.15" customHeight="1" x14ac:dyDescent="0.2">
      <c r="A3432" s="103"/>
    </row>
    <row r="3433" spans="1:1" ht="13.15" customHeight="1" x14ac:dyDescent="0.2">
      <c r="A3433" s="103"/>
    </row>
    <row r="3434" spans="1:1" ht="13.15" customHeight="1" x14ac:dyDescent="0.2">
      <c r="A3434" s="103"/>
    </row>
    <row r="3435" spans="1:1" ht="13.15" customHeight="1" x14ac:dyDescent="0.2">
      <c r="A3435" s="103"/>
    </row>
    <row r="3436" spans="1:1" ht="13.15" customHeight="1" x14ac:dyDescent="0.2">
      <c r="A3436" s="103"/>
    </row>
    <row r="3437" spans="1:1" ht="13.15" customHeight="1" x14ac:dyDescent="0.2">
      <c r="A3437" s="103"/>
    </row>
    <row r="3438" spans="1:1" ht="13.15" customHeight="1" x14ac:dyDescent="0.2">
      <c r="A3438" s="103"/>
    </row>
    <row r="3439" spans="1:1" ht="13.15" customHeight="1" x14ac:dyDescent="0.2">
      <c r="A3439" s="103"/>
    </row>
    <row r="3440" spans="1:1" ht="13.15" customHeight="1" x14ac:dyDescent="0.2">
      <c r="A3440" s="103"/>
    </row>
    <row r="3441" spans="1:1" ht="13.15" customHeight="1" x14ac:dyDescent="0.2">
      <c r="A3441" s="103"/>
    </row>
    <row r="3442" spans="1:1" ht="13.15" customHeight="1" x14ac:dyDescent="0.2">
      <c r="A3442" s="103"/>
    </row>
    <row r="3443" spans="1:1" ht="13.15" customHeight="1" x14ac:dyDescent="0.2">
      <c r="A3443" s="103"/>
    </row>
    <row r="3444" spans="1:1" ht="13.15" customHeight="1" x14ac:dyDescent="0.2">
      <c r="A3444" s="103"/>
    </row>
    <row r="3445" spans="1:1" ht="13.15" customHeight="1" x14ac:dyDescent="0.2">
      <c r="A3445" s="103"/>
    </row>
    <row r="3446" spans="1:1" ht="13.15" customHeight="1" x14ac:dyDescent="0.2">
      <c r="A3446" s="103"/>
    </row>
    <row r="3447" spans="1:1" ht="13.15" customHeight="1" x14ac:dyDescent="0.2">
      <c r="A3447" s="103"/>
    </row>
    <row r="3448" spans="1:1" ht="13.15" customHeight="1" x14ac:dyDescent="0.2">
      <c r="A3448" s="103"/>
    </row>
    <row r="3449" spans="1:1" ht="13.15" customHeight="1" x14ac:dyDescent="0.2">
      <c r="A3449" s="103"/>
    </row>
    <row r="3450" spans="1:1" ht="13.15" customHeight="1" x14ac:dyDescent="0.2">
      <c r="A3450" s="103"/>
    </row>
    <row r="3451" spans="1:1" ht="13.15" customHeight="1" x14ac:dyDescent="0.2">
      <c r="A3451" s="103"/>
    </row>
    <row r="3452" spans="1:1" ht="13.15" customHeight="1" x14ac:dyDescent="0.2">
      <c r="A3452" s="103"/>
    </row>
    <row r="3453" spans="1:1" ht="13.15" customHeight="1" x14ac:dyDescent="0.2">
      <c r="A3453" s="103"/>
    </row>
    <row r="3454" spans="1:1" ht="13.15" customHeight="1" x14ac:dyDescent="0.2">
      <c r="A3454" s="103"/>
    </row>
    <row r="3455" spans="1:1" ht="13.15" customHeight="1" x14ac:dyDescent="0.2">
      <c r="A3455" s="103"/>
    </row>
    <row r="3456" spans="1:1" ht="13.15" customHeight="1" x14ac:dyDescent="0.2">
      <c r="A3456" s="103"/>
    </row>
    <row r="3457" spans="1:1" ht="13.15" customHeight="1" x14ac:dyDescent="0.2">
      <c r="A3457" s="103"/>
    </row>
    <row r="3458" spans="1:1" ht="13.15" customHeight="1" x14ac:dyDescent="0.2">
      <c r="A3458" s="103"/>
    </row>
    <row r="3459" spans="1:1" ht="13.15" customHeight="1" x14ac:dyDescent="0.2">
      <c r="A3459" s="103"/>
    </row>
    <row r="3460" spans="1:1" ht="13.15" customHeight="1" x14ac:dyDescent="0.2">
      <c r="A3460" s="103"/>
    </row>
    <row r="3461" spans="1:1" ht="13.15" customHeight="1" x14ac:dyDescent="0.2">
      <c r="A3461" s="103"/>
    </row>
    <row r="3462" spans="1:1" ht="13.15" customHeight="1" x14ac:dyDescent="0.2">
      <c r="A3462" s="103"/>
    </row>
    <row r="3463" spans="1:1" ht="13.15" customHeight="1" x14ac:dyDescent="0.2">
      <c r="A3463" s="103"/>
    </row>
    <row r="3464" spans="1:1" ht="13.15" customHeight="1" x14ac:dyDescent="0.2">
      <c r="A3464" s="103"/>
    </row>
    <row r="3465" spans="1:1" ht="13.15" customHeight="1" x14ac:dyDescent="0.2">
      <c r="A3465" s="103"/>
    </row>
    <row r="3466" spans="1:1" ht="13.15" customHeight="1" x14ac:dyDescent="0.2">
      <c r="A3466" s="103"/>
    </row>
    <row r="3467" spans="1:1" ht="13.15" customHeight="1" x14ac:dyDescent="0.2">
      <c r="A3467" s="103"/>
    </row>
    <row r="3468" spans="1:1" ht="13.15" customHeight="1" x14ac:dyDescent="0.2">
      <c r="A3468" s="103"/>
    </row>
    <row r="3469" spans="1:1" ht="13.15" customHeight="1" x14ac:dyDescent="0.2">
      <c r="A3469" s="103"/>
    </row>
    <row r="3470" spans="1:1" ht="13.15" customHeight="1" x14ac:dyDescent="0.2">
      <c r="A3470" s="103"/>
    </row>
    <row r="3471" spans="1:1" ht="13.15" customHeight="1" x14ac:dyDescent="0.2">
      <c r="A3471" s="103"/>
    </row>
    <row r="3472" spans="1:1" ht="13.15" customHeight="1" x14ac:dyDescent="0.2">
      <c r="A3472" s="103"/>
    </row>
    <row r="3473" spans="1:1" ht="13.15" customHeight="1" x14ac:dyDescent="0.2">
      <c r="A3473" s="103"/>
    </row>
    <row r="3474" spans="1:1" ht="13.15" customHeight="1" x14ac:dyDescent="0.2">
      <c r="A3474" s="103"/>
    </row>
    <row r="3475" spans="1:1" ht="13.15" customHeight="1" x14ac:dyDescent="0.2">
      <c r="A3475" s="103"/>
    </row>
    <row r="3476" spans="1:1" ht="13.15" customHeight="1" x14ac:dyDescent="0.2">
      <c r="A3476" s="103"/>
    </row>
    <row r="3477" spans="1:1" ht="13.15" customHeight="1" x14ac:dyDescent="0.2">
      <c r="A3477" s="103"/>
    </row>
    <row r="3478" spans="1:1" ht="13.15" customHeight="1" x14ac:dyDescent="0.2">
      <c r="A3478" s="103"/>
    </row>
    <row r="3479" spans="1:1" ht="13.15" customHeight="1" x14ac:dyDescent="0.2">
      <c r="A3479" s="103"/>
    </row>
    <row r="3480" spans="1:1" ht="13.15" customHeight="1" x14ac:dyDescent="0.2">
      <c r="A3480" s="103"/>
    </row>
    <row r="3481" spans="1:1" ht="13.15" customHeight="1" x14ac:dyDescent="0.2">
      <c r="A3481" s="103"/>
    </row>
    <row r="3482" spans="1:1" ht="13.15" customHeight="1" x14ac:dyDescent="0.2">
      <c r="A3482" s="103"/>
    </row>
    <row r="3483" spans="1:1" ht="13.15" customHeight="1" x14ac:dyDescent="0.2">
      <c r="A3483" s="103"/>
    </row>
    <row r="3484" spans="1:1" ht="13.15" customHeight="1" x14ac:dyDescent="0.2">
      <c r="A3484" s="103"/>
    </row>
    <row r="3485" spans="1:1" ht="13.15" customHeight="1" x14ac:dyDescent="0.2">
      <c r="A3485" s="103"/>
    </row>
    <row r="3486" spans="1:1" ht="13.15" customHeight="1" x14ac:dyDescent="0.2">
      <c r="A3486" s="103"/>
    </row>
    <row r="3487" spans="1:1" ht="13.15" customHeight="1" x14ac:dyDescent="0.2">
      <c r="A3487" s="103"/>
    </row>
    <row r="3488" spans="1:1" ht="13.15" customHeight="1" x14ac:dyDescent="0.2">
      <c r="A3488" s="103"/>
    </row>
    <row r="3489" spans="1:1" ht="13.15" customHeight="1" x14ac:dyDescent="0.2">
      <c r="A3489" s="103"/>
    </row>
    <row r="3490" spans="1:1" ht="13.15" customHeight="1" x14ac:dyDescent="0.2">
      <c r="A3490" s="103"/>
    </row>
    <row r="3491" spans="1:1" ht="13.15" customHeight="1" x14ac:dyDescent="0.2">
      <c r="A3491" s="103"/>
    </row>
    <row r="3492" spans="1:1" ht="13.15" customHeight="1" x14ac:dyDescent="0.2">
      <c r="A3492" s="103"/>
    </row>
    <row r="3493" spans="1:1" ht="13.15" customHeight="1" x14ac:dyDescent="0.2">
      <c r="A3493" s="103"/>
    </row>
    <row r="3494" spans="1:1" ht="13.15" customHeight="1" x14ac:dyDescent="0.2">
      <c r="A3494" s="103"/>
    </row>
    <row r="3495" spans="1:1" ht="13.15" customHeight="1" x14ac:dyDescent="0.2">
      <c r="A3495" s="103"/>
    </row>
    <row r="3496" spans="1:1" ht="13.15" customHeight="1" x14ac:dyDescent="0.2">
      <c r="A3496" s="103"/>
    </row>
    <row r="3497" spans="1:1" ht="13.15" customHeight="1" x14ac:dyDescent="0.2">
      <c r="A3497" s="103"/>
    </row>
    <row r="3498" spans="1:1" ht="13.15" customHeight="1" x14ac:dyDescent="0.2">
      <c r="A3498" s="103"/>
    </row>
    <row r="3499" spans="1:1" ht="13.15" customHeight="1" x14ac:dyDescent="0.2">
      <c r="A3499" s="103"/>
    </row>
    <row r="3500" spans="1:1" ht="13.15" customHeight="1" x14ac:dyDescent="0.2">
      <c r="A3500" s="103"/>
    </row>
    <row r="3501" spans="1:1" ht="13.15" customHeight="1" x14ac:dyDescent="0.2">
      <c r="A3501" s="103"/>
    </row>
    <row r="3502" spans="1:1" ht="13.15" customHeight="1" x14ac:dyDescent="0.2">
      <c r="A3502" s="103"/>
    </row>
    <row r="3503" spans="1:1" ht="13.15" customHeight="1" x14ac:dyDescent="0.2">
      <c r="A3503" s="103"/>
    </row>
    <row r="3504" spans="1:1" ht="13.15" customHeight="1" x14ac:dyDescent="0.2">
      <c r="A3504" s="103"/>
    </row>
    <row r="3505" spans="1:1" ht="13.15" customHeight="1" x14ac:dyDescent="0.2">
      <c r="A3505" s="103"/>
    </row>
    <row r="3506" spans="1:1" ht="13.15" customHeight="1" x14ac:dyDescent="0.2">
      <c r="A3506" s="103"/>
    </row>
    <row r="3507" spans="1:1" ht="13.15" customHeight="1" x14ac:dyDescent="0.2">
      <c r="A3507" s="103"/>
    </row>
    <row r="3508" spans="1:1" ht="13.15" customHeight="1" x14ac:dyDescent="0.2">
      <c r="A3508" s="103"/>
    </row>
    <row r="3509" spans="1:1" ht="13.15" customHeight="1" x14ac:dyDescent="0.2">
      <c r="A3509" s="103"/>
    </row>
    <row r="3510" spans="1:1" ht="13.15" customHeight="1" x14ac:dyDescent="0.2">
      <c r="A3510" s="103"/>
    </row>
    <row r="3511" spans="1:1" ht="13.15" customHeight="1" x14ac:dyDescent="0.2">
      <c r="A3511" s="103"/>
    </row>
    <row r="3512" spans="1:1" ht="13.15" customHeight="1" x14ac:dyDescent="0.2">
      <c r="A3512" s="103"/>
    </row>
    <row r="3513" spans="1:1" ht="13.15" customHeight="1" x14ac:dyDescent="0.2">
      <c r="A3513" s="103"/>
    </row>
    <row r="3514" spans="1:1" ht="13.15" customHeight="1" x14ac:dyDescent="0.2">
      <c r="A3514" s="103"/>
    </row>
    <row r="3515" spans="1:1" ht="13.15" customHeight="1" x14ac:dyDescent="0.2">
      <c r="A3515" s="103"/>
    </row>
    <row r="3516" spans="1:1" ht="13.15" customHeight="1" x14ac:dyDescent="0.2">
      <c r="A3516" s="103"/>
    </row>
    <row r="3517" spans="1:1" ht="13.15" customHeight="1" x14ac:dyDescent="0.2">
      <c r="A3517" s="103"/>
    </row>
    <row r="3518" spans="1:1" ht="13.15" customHeight="1" x14ac:dyDescent="0.2">
      <c r="A3518" s="103"/>
    </row>
    <row r="3519" spans="1:1" ht="13.15" customHeight="1" x14ac:dyDescent="0.2">
      <c r="A3519" s="103"/>
    </row>
    <row r="3520" spans="1:1" ht="13.15" customHeight="1" x14ac:dyDescent="0.2">
      <c r="A3520" s="103"/>
    </row>
    <row r="3521" spans="1:1" ht="13.15" customHeight="1" x14ac:dyDescent="0.2">
      <c r="A3521" s="103"/>
    </row>
    <row r="3522" spans="1:1" ht="13.15" customHeight="1" x14ac:dyDescent="0.2">
      <c r="A3522" s="103"/>
    </row>
    <row r="3523" spans="1:1" ht="13.15" customHeight="1" x14ac:dyDescent="0.2">
      <c r="A3523" s="103"/>
    </row>
    <row r="3524" spans="1:1" ht="13.15" customHeight="1" x14ac:dyDescent="0.2">
      <c r="A3524" s="103"/>
    </row>
    <row r="3525" spans="1:1" ht="13.15" customHeight="1" x14ac:dyDescent="0.2">
      <c r="A3525" s="103"/>
    </row>
    <row r="3526" spans="1:1" ht="13.15" customHeight="1" x14ac:dyDescent="0.2">
      <c r="A3526" s="103"/>
    </row>
    <row r="3527" spans="1:1" ht="13.15" customHeight="1" x14ac:dyDescent="0.2">
      <c r="A3527" s="103"/>
    </row>
    <row r="3528" spans="1:1" ht="13.15" customHeight="1" x14ac:dyDescent="0.2">
      <c r="A3528" s="103"/>
    </row>
    <row r="3529" spans="1:1" ht="13.15" customHeight="1" x14ac:dyDescent="0.2">
      <c r="A3529" s="103"/>
    </row>
    <row r="3530" spans="1:1" ht="13.15" customHeight="1" x14ac:dyDescent="0.2">
      <c r="A3530" s="103"/>
    </row>
    <row r="3531" spans="1:1" ht="13.15" customHeight="1" x14ac:dyDescent="0.2">
      <c r="A3531" s="103"/>
    </row>
    <row r="3532" spans="1:1" ht="13.15" customHeight="1" x14ac:dyDescent="0.2">
      <c r="A3532" s="103"/>
    </row>
    <row r="3533" spans="1:1" ht="13.15" customHeight="1" x14ac:dyDescent="0.2">
      <c r="A3533" s="103"/>
    </row>
    <row r="3534" spans="1:1" ht="13.15" customHeight="1" x14ac:dyDescent="0.2">
      <c r="A3534" s="103"/>
    </row>
    <row r="3535" spans="1:1" ht="13.15" customHeight="1" x14ac:dyDescent="0.2">
      <c r="A3535" s="103"/>
    </row>
    <row r="3536" spans="1:1" ht="13.15" customHeight="1" x14ac:dyDescent="0.2">
      <c r="A3536" s="103"/>
    </row>
    <row r="3537" spans="1:1" ht="13.15" customHeight="1" x14ac:dyDescent="0.2">
      <c r="A3537" s="103"/>
    </row>
    <row r="3538" spans="1:1" ht="13.15" customHeight="1" x14ac:dyDescent="0.2">
      <c r="A3538" s="103"/>
    </row>
    <row r="3539" spans="1:1" ht="13.15" customHeight="1" x14ac:dyDescent="0.2">
      <c r="A3539" s="103"/>
    </row>
    <row r="3540" spans="1:1" ht="13.15" customHeight="1" x14ac:dyDescent="0.2">
      <c r="A3540" s="103"/>
    </row>
    <row r="3541" spans="1:1" ht="13.15" customHeight="1" x14ac:dyDescent="0.2">
      <c r="A3541" s="103"/>
    </row>
    <row r="3542" spans="1:1" ht="13.15" customHeight="1" x14ac:dyDescent="0.2">
      <c r="A3542" s="103"/>
    </row>
    <row r="3543" spans="1:1" ht="13.15" customHeight="1" x14ac:dyDescent="0.2">
      <c r="A3543" s="103"/>
    </row>
    <row r="3544" spans="1:1" ht="13.15" customHeight="1" x14ac:dyDescent="0.2">
      <c r="A3544" s="103"/>
    </row>
    <row r="3545" spans="1:1" ht="13.15" customHeight="1" x14ac:dyDescent="0.2">
      <c r="A3545" s="103"/>
    </row>
    <row r="3546" spans="1:1" ht="13.15" customHeight="1" x14ac:dyDescent="0.2">
      <c r="A3546" s="103"/>
    </row>
    <row r="3547" spans="1:1" ht="13.15" customHeight="1" x14ac:dyDescent="0.2">
      <c r="A3547" s="103"/>
    </row>
    <row r="3548" spans="1:1" ht="13.15" customHeight="1" x14ac:dyDescent="0.2">
      <c r="A3548" s="103"/>
    </row>
    <row r="3549" spans="1:1" ht="13.15" customHeight="1" x14ac:dyDescent="0.2">
      <c r="A3549" s="103"/>
    </row>
    <row r="3550" spans="1:1" ht="13.15" customHeight="1" x14ac:dyDescent="0.2">
      <c r="A3550" s="103"/>
    </row>
    <row r="3551" spans="1:1" ht="13.15" customHeight="1" x14ac:dyDescent="0.2">
      <c r="A3551" s="103"/>
    </row>
    <row r="3552" spans="1:1" ht="13.15" customHeight="1" x14ac:dyDescent="0.2">
      <c r="A3552" s="103"/>
    </row>
    <row r="3553" spans="1:1" ht="13.15" customHeight="1" x14ac:dyDescent="0.2">
      <c r="A3553" s="103"/>
    </row>
    <row r="3554" spans="1:1" ht="13.15" customHeight="1" x14ac:dyDescent="0.2">
      <c r="A3554" s="103"/>
    </row>
    <row r="3555" spans="1:1" ht="13.15" customHeight="1" x14ac:dyDescent="0.2">
      <c r="A3555" s="103"/>
    </row>
    <row r="3556" spans="1:1" ht="13.15" customHeight="1" x14ac:dyDescent="0.2">
      <c r="A3556" s="103"/>
    </row>
    <row r="3557" spans="1:1" ht="13.15" customHeight="1" x14ac:dyDescent="0.2">
      <c r="A3557" s="103"/>
    </row>
    <row r="3558" spans="1:1" ht="13.15" customHeight="1" x14ac:dyDescent="0.2">
      <c r="A3558" s="103"/>
    </row>
    <row r="3559" spans="1:1" ht="13.15" customHeight="1" x14ac:dyDescent="0.2">
      <c r="A3559" s="103"/>
    </row>
    <row r="3560" spans="1:1" ht="13.15" customHeight="1" x14ac:dyDescent="0.2">
      <c r="A3560" s="103"/>
    </row>
    <row r="3561" spans="1:1" ht="13.15" customHeight="1" x14ac:dyDescent="0.2">
      <c r="A3561" s="103"/>
    </row>
    <row r="3562" spans="1:1" ht="13.15" customHeight="1" x14ac:dyDescent="0.2">
      <c r="A3562" s="103"/>
    </row>
    <row r="3563" spans="1:1" ht="13.15" customHeight="1" x14ac:dyDescent="0.2">
      <c r="A3563" s="103"/>
    </row>
    <row r="3564" spans="1:1" ht="13.15" customHeight="1" x14ac:dyDescent="0.2">
      <c r="A3564" s="103"/>
    </row>
    <row r="3565" spans="1:1" ht="13.15" customHeight="1" x14ac:dyDescent="0.2">
      <c r="A3565" s="103"/>
    </row>
    <row r="3566" spans="1:1" ht="13.15" customHeight="1" x14ac:dyDescent="0.2">
      <c r="A3566" s="103"/>
    </row>
    <row r="3567" spans="1:1" ht="13.15" customHeight="1" x14ac:dyDescent="0.2">
      <c r="A3567" s="103"/>
    </row>
    <row r="3568" spans="1:1" ht="13.15" customHeight="1" x14ac:dyDescent="0.2">
      <c r="A3568" s="103"/>
    </row>
    <row r="3569" spans="1:1" ht="13.15" customHeight="1" x14ac:dyDescent="0.2">
      <c r="A3569" s="103"/>
    </row>
    <row r="3570" spans="1:1" ht="13.15" customHeight="1" x14ac:dyDescent="0.2">
      <c r="A3570" s="103"/>
    </row>
    <row r="3571" spans="1:1" ht="13.15" customHeight="1" x14ac:dyDescent="0.2">
      <c r="A3571" s="103"/>
    </row>
    <row r="3572" spans="1:1" ht="13.15" customHeight="1" x14ac:dyDescent="0.2">
      <c r="A3572" s="103"/>
    </row>
    <row r="3573" spans="1:1" ht="13.15" customHeight="1" x14ac:dyDescent="0.2">
      <c r="A3573" s="103"/>
    </row>
    <row r="3574" spans="1:1" ht="13.15" customHeight="1" x14ac:dyDescent="0.2">
      <c r="A3574" s="103"/>
    </row>
    <row r="3575" spans="1:1" ht="13.15" customHeight="1" x14ac:dyDescent="0.2">
      <c r="A3575" s="103"/>
    </row>
    <row r="3576" spans="1:1" ht="13.15" customHeight="1" x14ac:dyDescent="0.2">
      <c r="A3576" s="103"/>
    </row>
    <row r="3577" spans="1:1" ht="13.15" customHeight="1" x14ac:dyDescent="0.2">
      <c r="A3577" s="103"/>
    </row>
    <row r="3578" spans="1:1" ht="13.15" customHeight="1" x14ac:dyDescent="0.2">
      <c r="A3578" s="103"/>
    </row>
    <row r="3579" spans="1:1" ht="13.15" customHeight="1" x14ac:dyDescent="0.2">
      <c r="A3579" s="103"/>
    </row>
    <row r="3580" spans="1:1" ht="13.15" customHeight="1" x14ac:dyDescent="0.2">
      <c r="A3580" s="103"/>
    </row>
    <row r="3581" spans="1:1" ht="13.15" customHeight="1" x14ac:dyDescent="0.2">
      <c r="A3581" s="103"/>
    </row>
    <row r="3582" spans="1:1" ht="13.15" customHeight="1" x14ac:dyDescent="0.2">
      <c r="A3582" s="103"/>
    </row>
    <row r="3583" spans="1:1" ht="13.15" customHeight="1" x14ac:dyDescent="0.2">
      <c r="A3583" s="103"/>
    </row>
    <row r="3584" spans="1:1" ht="13.15" customHeight="1" x14ac:dyDescent="0.2">
      <c r="A3584" s="103"/>
    </row>
    <row r="3585" spans="1:1" ht="13.15" customHeight="1" x14ac:dyDescent="0.2">
      <c r="A3585" s="103"/>
    </row>
    <row r="3586" spans="1:1" ht="13.15" customHeight="1" x14ac:dyDescent="0.2">
      <c r="A3586" s="103"/>
    </row>
    <row r="3587" spans="1:1" ht="13.15" customHeight="1" x14ac:dyDescent="0.2">
      <c r="A3587" s="103"/>
    </row>
    <row r="3588" spans="1:1" ht="13.15" customHeight="1" x14ac:dyDescent="0.2">
      <c r="A3588" s="103"/>
    </row>
    <row r="3589" spans="1:1" ht="13.15" customHeight="1" x14ac:dyDescent="0.2">
      <c r="A3589" s="103"/>
    </row>
    <row r="3590" spans="1:1" ht="13.15" customHeight="1" x14ac:dyDescent="0.2">
      <c r="A3590" s="103"/>
    </row>
    <row r="3591" spans="1:1" ht="13.15" customHeight="1" x14ac:dyDescent="0.2">
      <c r="A3591" s="103"/>
    </row>
    <row r="3592" spans="1:1" ht="13.15" customHeight="1" x14ac:dyDescent="0.2">
      <c r="A3592" s="103"/>
    </row>
    <row r="3593" spans="1:1" ht="13.15" customHeight="1" x14ac:dyDescent="0.2">
      <c r="A3593" s="103"/>
    </row>
    <row r="3594" spans="1:1" ht="13.15" customHeight="1" x14ac:dyDescent="0.2">
      <c r="A3594" s="103"/>
    </row>
    <row r="3595" spans="1:1" ht="13.15" customHeight="1" x14ac:dyDescent="0.2">
      <c r="A3595" s="103"/>
    </row>
    <row r="3596" spans="1:1" ht="13.15" customHeight="1" x14ac:dyDescent="0.2">
      <c r="A3596" s="103"/>
    </row>
    <row r="3597" spans="1:1" ht="13.15" customHeight="1" x14ac:dyDescent="0.2">
      <c r="A3597" s="103"/>
    </row>
    <row r="3598" spans="1:1" ht="13.15" customHeight="1" x14ac:dyDescent="0.2">
      <c r="A3598" s="103"/>
    </row>
    <row r="3599" spans="1:1" ht="13.15" customHeight="1" x14ac:dyDescent="0.2">
      <c r="A3599" s="103"/>
    </row>
    <row r="3600" spans="1:1" ht="13.15" customHeight="1" x14ac:dyDescent="0.2">
      <c r="A3600" s="103"/>
    </row>
    <row r="3601" spans="1:1" ht="13.15" customHeight="1" x14ac:dyDescent="0.2">
      <c r="A3601" s="103"/>
    </row>
    <row r="3602" spans="1:1" ht="13.15" customHeight="1" x14ac:dyDescent="0.2">
      <c r="A3602" s="103"/>
    </row>
    <row r="3603" spans="1:1" ht="13.15" customHeight="1" x14ac:dyDescent="0.2">
      <c r="A3603" s="103"/>
    </row>
    <row r="3604" spans="1:1" ht="13.15" customHeight="1" x14ac:dyDescent="0.2">
      <c r="A3604" s="103"/>
    </row>
    <row r="3605" spans="1:1" ht="13.15" customHeight="1" x14ac:dyDescent="0.2">
      <c r="A3605" s="103"/>
    </row>
    <row r="3606" spans="1:1" ht="13.15" customHeight="1" x14ac:dyDescent="0.2">
      <c r="A3606" s="103"/>
    </row>
    <row r="3607" spans="1:1" ht="13.15" customHeight="1" x14ac:dyDescent="0.2">
      <c r="A3607" s="103"/>
    </row>
    <row r="3608" spans="1:1" ht="13.15" customHeight="1" x14ac:dyDescent="0.2">
      <c r="A3608" s="103"/>
    </row>
    <row r="3609" spans="1:1" ht="13.15" customHeight="1" x14ac:dyDescent="0.2">
      <c r="A3609" s="103"/>
    </row>
    <row r="3610" spans="1:1" ht="13.15" customHeight="1" x14ac:dyDescent="0.2">
      <c r="A3610" s="103"/>
    </row>
    <row r="3611" spans="1:1" ht="13.15" customHeight="1" x14ac:dyDescent="0.2">
      <c r="A3611" s="103"/>
    </row>
    <row r="3612" spans="1:1" ht="13.15" customHeight="1" x14ac:dyDescent="0.2">
      <c r="A3612" s="103"/>
    </row>
    <row r="3613" spans="1:1" ht="13.15" customHeight="1" x14ac:dyDescent="0.2">
      <c r="A3613" s="103"/>
    </row>
    <row r="3614" spans="1:1" ht="13.15" customHeight="1" x14ac:dyDescent="0.2">
      <c r="A3614" s="103"/>
    </row>
    <row r="3615" spans="1:1" ht="13.15" customHeight="1" x14ac:dyDescent="0.2">
      <c r="A3615" s="103"/>
    </row>
    <row r="3616" spans="1:1" ht="13.15" customHeight="1" x14ac:dyDescent="0.2">
      <c r="A3616" s="103"/>
    </row>
    <row r="3617" spans="1:1" ht="13.15" customHeight="1" x14ac:dyDescent="0.2">
      <c r="A3617" s="103"/>
    </row>
    <row r="3618" spans="1:1" ht="13.15" customHeight="1" x14ac:dyDescent="0.2">
      <c r="A3618" s="103"/>
    </row>
    <row r="3619" spans="1:1" ht="13.15" customHeight="1" x14ac:dyDescent="0.2">
      <c r="A3619" s="103"/>
    </row>
    <row r="3620" spans="1:1" ht="13.15" customHeight="1" x14ac:dyDescent="0.2">
      <c r="A3620" s="103"/>
    </row>
    <row r="3621" spans="1:1" ht="13.15" customHeight="1" x14ac:dyDescent="0.2">
      <c r="A3621" s="103"/>
    </row>
    <row r="3622" spans="1:1" ht="13.15" customHeight="1" x14ac:dyDescent="0.2">
      <c r="A3622" s="103"/>
    </row>
    <row r="3623" spans="1:1" ht="13.15" customHeight="1" x14ac:dyDescent="0.2">
      <c r="A3623" s="103"/>
    </row>
    <row r="3624" spans="1:1" ht="13.15" customHeight="1" x14ac:dyDescent="0.2">
      <c r="A3624" s="103"/>
    </row>
    <row r="3625" spans="1:1" ht="13.15" customHeight="1" x14ac:dyDescent="0.2">
      <c r="A3625" s="103"/>
    </row>
    <row r="3626" spans="1:1" ht="13.15" customHeight="1" x14ac:dyDescent="0.2">
      <c r="A3626" s="103"/>
    </row>
    <row r="3627" spans="1:1" ht="13.15" customHeight="1" x14ac:dyDescent="0.2">
      <c r="A3627" s="103"/>
    </row>
    <row r="3628" spans="1:1" ht="13.15" customHeight="1" x14ac:dyDescent="0.2">
      <c r="A3628" s="103"/>
    </row>
    <row r="3629" spans="1:1" ht="13.15" customHeight="1" x14ac:dyDescent="0.2">
      <c r="A3629" s="103"/>
    </row>
    <row r="3630" spans="1:1" ht="13.15" customHeight="1" x14ac:dyDescent="0.2">
      <c r="A3630" s="103"/>
    </row>
    <row r="3631" spans="1:1" ht="13.15" customHeight="1" x14ac:dyDescent="0.2">
      <c r="A3631" s="103"/>
    </row>
    <row r="3632" spans="1:1" ht="13.15" customHeight="1" x14ac:dyDescent="0.2">
      <c r="A3632" s="103"/>
    </row>
    <row r="3633" spans="1:1" ht="13.15" customHeight="1" x14ac:dyDescent="0.2">
      <c r="A3633" s="103"/>
    </row>
    <row r="3634" spans="1:1" ht="13.15" customHeight="1" x14ac:dyDescent="0.2">
      <c r="A3634" s="103"/>
    </row>
    <row r="3635" spans="1:1" ht="13.15" customHeight="1" x14ac:dyDescent="0.2">
      <c r="A3635" s="103"/>
    </row>
    <row r="3636" spans="1:1" ht="13.15" customHeight="1" x14ac:dyDescent="0.2">
      <c r="A3636" s="103"/>
    </row>
    <row r="3637" spans="1:1" ht="13.15" customHeight="1" x14ac:dyDescent="0.2">
      <c r="A3637" s="103"/>
    </row>
    <row r="3638" spans="1:1" ht="13.15" customHeight="1" x14ac:dyDescent="0.2">
      <c r="A3638" s="103"/>
    </row>
    <row r="3639" spans="1:1" ht="13.15" customHeight="1" x14ac:dyDescent="0.2">
      <c r="A3639" s="103"/>
    </row>
    <row r="3640" spans="1:1" ht="13.15" customHeight="1" x14ac:dyDescent="0.2">
      <c r="A3640" s="103"/>
    </row>
    <row r="3641" spans="1:1" ht="13.15" customHeight="1" x14ac:dyDescent="0.2">
      <c r="A3641" s="103"/>
    </row>
    <row r="3642" spans="1:1" ht="13.15" customHeight="1" x14ac:dyDescent="0.2">
      <c r="A3642" s="103"/>
    </row>
    <row r="3643" spans="1:1" ht="13.15" customHeight="1" x14ac:dyDescent="0.2">
      <c r="A3643" s="103"/>
    </row>
    <row r="3644" spans="1:1" ht="13.15" customHeight="1" x14ac:dyDescent="0.2">
      <c r="A3644" s="103"/>
    </row>
    <row r="3645" spans="1:1" ht="13.15" customHeight="1" x14ac:dyDescent="0.2">
      <c r="A3645" s="103"/>
    </row>
    <row r="3646" spans="1:1" ht="13.15" customHeight="1" x14ac:dyDescent="0.2">
      <c r="A3646" s="103"/>
    </row>
    <row r="3647" spans="1:1" ht="13.15" customHeight="1" x14ac:dyDescent="0.2">
      <c r="A3647" s="103"/>
    </row>
    <row r="3648" spans="1:1" ht="13.15" customHeight="1" x14ac:dyDescent="0.2">
      <c r="A3648" s="103"/>
    </row>
    <row r="3649" spans="1:1" ht="13.15" customHeight="1" x14ac:dyDescent="0.2">
      <c r="A3649" s="103"/>
    </row>
    <row r="3650" spans="1:1" ht="13.15" customHeight="1" x14ac:dyDescent="0.2">
      <c r="A3650" s="103"/>
    </row>
    <row r="3651" spans="1:1" ht="13.15" customHeight="1" x14ac:dyDescent="0.2">
      <c r="A3651" s="103"/>
    </row>
    <row r="3652" spans="1:1" ht="13.15" customHeight="1" x14ac:dyDescent="0.2">
      <c r="A3652" s="103"/>
    </row>
    <row r="3653" spans="1:1" ht="13.15" customHeight="1" x14ac:dyDescent="0.2">
      <c r="A3653" s="103"/>
    </row>
    <row r="3654" spans="1:1" ht="13.15" customHeight="1" x14ac:dyDescent="0.2">
      <c r="A3654" s="103"/>
    </row>
    <row r="3655" spans="1:1" ht="13.15" customHeight="1" x14ac:dyDescent="0.2">
      <c r="A3655" s="103"/>
    </row>
    <row r="3656" spans="1:1" ht="13.15" customHeight="1" x14ac:dyDescent="0.2">
      <c r="A3656" s="103"/>
    </row>
    <row r="3657" spans="1:1" ht="13.15" customHeight="1" x14ac:dyDescent="0.2">
      <c r="A3657" s="103"/>
    </row>
    <row r="3658" spans="1:1" ht="13.15" customHeight="1" x14ac:dyDescent="0.2">
      <c r="A3658" s="103"/>
    </row>
    <row r="3659" spans="1:1" ht="13.15" customHeight="1" x14ac:dyDescent="0.2">
      <c r="A3659" s="103"/>
    </row>
    <row r="3660" spans="1:1" ht="13.15" customHeight="1" x14ac:dyDescent="0.2">
      <c r="A3660" s="103"/>
    </row>
    <row r="3661" spans="1:1" ht="13.15" customHeight="1" x14ac:dyDescent="0.2">
      <c r="A3661" s="103"/>
    </row>
    <row r="3662" spans="1:1" ht="13.15" customHeight="1" x14ac:dyDescent="0.2">
      <c r="A3662" s="103"/>
    </row>
    <row r="3663" spans="1:1" ht="13.15" customHeight="1" x14ac:dyDescent="0.2">
      <c r="A3663" s="103"/>
    </row>
    <row r="3664" spans="1:1" ht="13.15" customHeight="1" x14ac:dyDescent="0.2">
      <c r="A3664" s="103"/>
    </row>
    <row r="3665" spans="1:1" ht="13.15" customHeight="1" x14ac:dyDescent="0.2">
      <c r="A3665" s="103"/>
    </row>
    <row r="3666" spans="1:1" ht="13.15" customHeight="1" x14ac:dyDescent="0.2">
      <c r="A3666" s="103"/>
    </row>
    <row r="3667" spans="1:1" ht="13.15" customHeight="1" x14ac:dyDescent="0.2">
      <c r="A3667" s="103"/>
    </row>
    <row r="3668" spans="1:1" ht="13.15" customHeight="1" x14ac:dyDescent="0.2">
      <c r="A3668" s="103"/>
    </row>
    <row r="3669" spans="1:1" ht="13.15" customHeight="1" x14ac:dyDescent="0.2">
      <c r="A3669" s="103"/>
    </row>
    <row r="3670" spans="1:1" ht="13.15" customHeight="1" x14ac:dyDescent="0.2">
      <c r="A3670" s="103"/>
    </row>
    <row r="3671" spans="1:1" ht="13.15" customHeight="1" x14ac:dyDescent="0.2">
      <c r="A3671" s="103"/>
    </row>
    <row r="3672" spans="1:1" ht="13.15" customHeight="1" x14ac:dyDescent="0.2">
      <c r="A3672" s="103"/>
    </row>
    <row r="3673" spans="1:1" ht="13.15" customHeight="1" x14ac:dyDescent="0.2">
      <c r="A3673" s="103"/>
    </row>
    <row r="3674" spans="1:1" ht="13.15" customHeight="1" x14ac:dyDescent="0.2">
      <c r="A3674" s="103"/>
    </row>
    <row r="3675" spans="1:1" ht="13.15" customHeight="1" x14ac:dyDescent="0.2">
      <c r="A3675" s="103"/>
    </row>
    <row r="3676" spans="1:1" ht="13.15" customHeight="1" x14ac:dyDescent="0.2">
      <c r="A3676" s="103"/>
    </row>
    <row r="3677" spans="1:1" ht="13.15" customHeight="1" x14ac:dyDescent="0.2">
      <c r="A3677" s="103"/>
    </row>
    <row r="3678" spans="1:1" ht="13.15" customHeight="1" x14ac:dyDescent="0.2">
      <c r="A3678" s="103"/>
    </row>
    <row r="3679" spans="1:1" ht="13.15" customHeight="1" x14ac:dyDescent="0.2">
      <c r="A3679" s="103"/>
    </row>
    <row r="3680" spans="1:1" ht="13.15" customHeight="1" x14ac:dyDescent="0.2">
      <c r="A3680" s="103"/>
    </row>
    <row r="3681" spans="1:1" ht="13.15" customHeight="1" x14ac:dyDescent="0.2">
      <c r="A3681" s="103"/>
    </row>
    <row r="3682" spans="1:1" ht="13.15" customHeight="1" x14ac:dyDescent="0.2">
      <c r="A3682" s="103"/>
    </row>
    <row r="3683" spans="1:1" ht="13.15" customHeight="1" x14ac:dyDescent="0.2">
      <c r="A3683" s="103"/>
    </row>
    <row r="3684" spans="1:1" ht="13.15" customHeight="1" x14ac:dyDescent="0.2">
      <c r="A3684" s="103"/>
    </row>
    <row r="3685" spans="1:1" ht="13.15" customHeight="1" x14ac:dyDescent="0.2">
      <c r="A3685" s="103"/>
    </row>
    <row r="3686" spans="1:1" ht="13.15" customHeight="1" x14ac:dyDescent="0.2">
      <c r="A3686" s="103"/>
    </row>
    <row r="3687" spans="1:1" ht="13.15" customHeight="1" x14ac:dyDescent="0.2">
      <c r="A3687" s="103"/>
    </row>
    <row r="3688" spans="1:1" ht="13.15" customHeight="1" x14ac:dyDescent="0.2">
      <c r="A3688" s="103"/>
    </row>
    <row r="3689" spans="1:1" ht="13.15" customHeight="1" x14ac:dyDescent="0.2">
      <c r="A3689" s="103"/>
    </row>
    <row r="3690" spans="1:1" ht="13.15" customHeight="1" x14ac:dyDescent="0.2">
      <c r="A3690" s="103"/>
    </row>
    <row r="3691" spans="1:1" ht="13.15" customHeight="1" x14ac:dyDescent="0.2">
      <c r="A3691" s="103"/>
    </row>
    <row r="3692" spans="1:1" ht="13.15" customHeight="1" x14ac:dyDescent="0.2">
      <c r="A3692" s="103"/>
    </row>
    <row r="3693" spans="1:1" ht="13.15" customHeight="1" x14ac:dyDescent="0.2">
      <c r="A3693" s="103"/>
    </row>
    <row r="3694" spans="1:1" ht="13.15" customHeight="1" x14ac:dyDescent="0.2">
      <c r="A3694" s="103"/>
    </row>
    <row r="3695" spans="1:1" ht="13.15" customHeight="1" x14ac:dyDescent="0.2">
      <c r="A3695" s="103"/>
    </row>
    <row r="3696" spans="1:1" ht="13.15" customHeight="1" x14ac:dyDescent="0.2">
      <c r="A3696" s="103"/>
    </row>
    <row r="3697" spans="1:1" ht="13.15" customHeight="1" x14ac:dyDescent="0.2">
      <c r="A3697" s="103"/>
    </row>
    <row r="3698" spans="1:1" ht="13.15" customHeight="1" x14ac:dyDescent="0.2">
      <c r="A3698" s="103"/>
    </row>
    <row r="3699" spans="1:1" ht="13.15" customHeight="1" x14ac:dyDescent="0.2">
      <c r="A3699" s="103"/>
    </row>
    <row r="3700" spans="1:1" ht="13.15" customHeight="1" x14ac:dyDescent="0.2">
      <c r="A3700" s="103"/>
    </row>
    <row r="3701" spans="1:1" ht="13.15" customHeight="1" x14ac:dyDescent="0.2">
      <c r="A3701" s="103"/>
    </row>
    <row r="3702" spans="1:1" ht="13.15" customHeight="1" x14ac:dyDescent="0.2">
      <c r="A3702" s="103"/>
    </row>
    <row r="3703" spans="1:1" ht="13.15" customHeight="1" x14ac:dyDescent="0.2">
      <c r="A3703" s="103"/>
    </row>
    <row r="3704" spans="1:1" ht="13.15" customHeight="1" x14ac:dyDescent="0.2">
      <c r="A3704" s="103"/>
    </row>
    <row r="3705" spans="1:1" ht="13.15" customHeight="1" x14ac:dyDescent="0.2">
      <c r="A3705" s="103"/>
    </row>
    <row r="3706" spans="1:1" ht="13.15" customHeight="1" x14ac:dyDescent="0.2">
      <c r="A3706" s="103"/>
    </row>
    <row r="3707" spans="1:1" ht="13.15" customHeight="1" x14ac:dyDescent="0.2">
      <c r="A3707" s="103"/>
    </row>
    <row r="3708" spans="1:1" ht="13.15" customHeight="1" x14ac:dyDescent="0.2">
      <c r="A3708" s="103"/>
    </row>
    <row r="3709" spans="1:1" ht="13.15" customHeight="1" x14ac:dyDescent="0.2">
      <c r="A3709" s="103"/>
    </row>
    <row r="3710" spans="1:1" ht="13.15" customHeight="1" x14ac:dyDescent="0.2">
      <c r="A3710" s="103"/>
    </row>
    <row r="3711" spans="1:1" ht="13.15" customHeight="1" x14ac:dyDescent="0.2">
      <c r="A3711" s="103"/>
    </row>
    <row r="3712" spans="1:1" ht="13.15" customHeight="1" x14ac:dyDescent="0.2">
      <c r="A3712" s="103"/>
    </row>
    <row r="3713" spans="1:1" ht="13.15" customHeight="1" x14ac:dyDescent="0.2">
      <c r="A3713" s="103"/>
    </row>
    <row r="3714" spans="1:1" ht="13.15" customHeight="1" x14ac:dyDescent="0.2">
      <c r="A3714" s="103"/>
    </row>
    <row r="3715" spans="1:1" ht="13.15" customHeight="1" x14ac:dyDescent="0.2">
      <c r="A3715" s="103"/>
    </row>
    <row r="3716" spans="1:1" ht="13.15" customHeight="1" x14ac:dyDescent="0.2">
      <c r="A3716" s="103"/>
    </row>
    <row r="3717" spans="1:1" ht="13.15" customHeight="1" x14ac:dyDescent="0.2">
      <c r="A3717" s="103"/>
    </row>
    <row r="3718" spans="1:1" ht="13.15" customHeight="1" x14ac:dyDescent="0.2">
      <c r="A3718" s="103"/>
    </row>
    <row r="3719" spans="1:1" ht="13.15" customHeight="1" x14ac:dyDescent="0.2">
      <c r="A3719" s="103"/>
    </row>
    <row r="3720" spans="1:1" ht="13.15" customHeight="1" x14ac:dyDescent="0.2">
      <c r="A3720" s="103"/>
    </row>
    <row r="3721" spans="1:1" ht="13.15" customHeight="1" x14ac:dyDescent="0.2">
      <c r="A3721" s="103"/>
    </row>
    <row r="3722" spans="1:1" ht="13.15" customHeight="1" x14ac:dyDescent="0.2">
      <c r="A3722" s="103"/>
    </row>
    <row r="3723" spans="1:1" ht="13.15" customHeight="1" x14ac:dyDescent="0.2">
      <c r="A3723" s="103"/>
    </row>
    <row r="3724" spans="1:1" ht="13.15" customHeight="1" x14ac:dyDescent="0.2">
      <c r="A3724" s="103"/>
    </row>
    <row r="3725" spans="1:1" ht="13.15" customHeight="1" x14ac:dyDescent="0.2">
      <c r="A3725" s="103"/>
    </row>
    <row r="3726" spans="1:1" ht="13.15" customHeight="1" x14ac:dyDescent="0.2">
      <c r="A3726" s="103"/>
    </row>
    <row r="3727" spans="1:1" ht="13.15" customHeight="1" x14ac:dyDescent="0.2">
      <c r="A3727" s="103"/>
    </row>
    <row r="3728" spans="1:1" ht="13.15" customHeight="1" x14ac:dyDescent="0.2">
      <c r="A3728" s="103"/>
    </row>
    <row r="3729" spans="1:1" ht="13.15" customHeight="1" x14ac:dyDescent="0.2">
      <c r="A3729" s="103"/>
    </row>
    <row r="3730" spans="1:1" ht="13.15" customHeight="1" x14ac:dyDescent="0.2">
      <c r="A3730" s="103"/>
    </row>
    <row r="3731" spans="1:1" ht="13.15" customHeight="1" x14ac:dyDescent="0.2">
      <c r="A3731" s="103"/>
    </row>
    <row r="3732" spans="1:1" ht="13.15" customHeight="1" x14ac:dyDescent="0.2">
      <c r="A3732" s="103"/>
    </row>
    <row r="3733" spans="1:1" ht="13.15" customHeight="1" x14ac:dyDescent="0.2">
      <c r="A3733" s="103"/>
    </row>
    <row r="3734" spans="1:1" ht="13.15" customHeight="1" x14ac:dyDescent="0.2">
      <c r="A3734" s="103"/>
    </row>
    <row r="3735" spans="1:1" ht="13.15" customHeight="1" x14ac:dyDescent="0.2">
      <c r="A3735" s="103"/>
    </row>
    <row r="3736" spans="1:1" ht="13.15" customHeight="1" x14ac:dyDescent="0.2">
      <c r="A3736" s="103"/>
    </row>
    <row r="3737" spans="1:1" ht="13.15" customHeight="1" x14ac:dyDescent="0.2">
      <c r="A3737" s="103"/>
    </row>
    <row r="3738" spans="1:1" ht="13.15" customHeight="1" x14ac:dyDescent="0.2">
      <c r="A3738" s="103"/>
    </row>
    <row r="3739" spans="1:1" ht="13.15" customHeight="1" x14ac:dyDescent="0.2">
      <c r="A3739" s="103"/>
    </row>
    <row r="3740" spans="1:1" ht="13.15" customHeight="1" x14ac:dyDescent="0.2">
      <c r="A3740" s="103"/>
    </row>
    <row r="3741" spans="1:1" ht="13.15" customHeight="1" x14ac:dyDescent="0.2">
      <c r="A3741" s="103"/>
    </row>
    <row r="3742" spans="1:1" ht="13.15" customHeight="1" x14ac:dyDescent="0.2">
      <c r="A3742" s="103"/>
    </row>
    <row r="3743" spans="1:1" ht="13.15" customHeight="1" x14ac:dyDescent="0.2">
      <c r="A3743" s="103"/>
    </row>
    <row r="3744" spans="1:1" ht="13.15" customHeight="1" x14ac:dyDescent="0.2">
      <c r="A3744" s="103"/>
    </row>
    <row r="3745" spans="1:1" ht="13.15" customHeight="1" x14ac:dyDescent="0.2">
      <c r="A3745" s="103"/>
    </row>
    <row r="3746" spans="1:1" ht="13.15" customHeight="1" x14ac:dyDescent="0.2">
      <c r="A3746" s="103"/>
    </row>
    <row r="3747" spans="1:1" ht="13.15" customHeight="1" x14ac:dyDescent="0.2">
      <c r="A3747" s="103"/>
    </row>
    <row r="3748" spans="1:1" ht="13.15" customHeight="1" x14ac:dyDescent="0.2">
      <c r="A3748" s="103"/>
    </row>
    <row r="3749" spans="1:1" ht="13.15" customHeight="1" x14ac:dyDescent="0.2">
      <c r="A3749" s="103"/>
    </row>
    <row r="3750" spans="1:1" ht="13.15" customHeight="1" x14ac:dyDescent="0.2">
      <c r="A3750" s="103"/>
    </row>
    <row r="3751" spans="1:1" ht="13.15" customHeight="1" x14ac:dyDescent="0.2">
      <c r="A3751" s="103"/>
    </row>
    <row r="3752" spans="1:1" ht="13.15" customHeight="1" x14ac:dyDescent="0.2">
      <c r="A3752" s="103"/>
    </row>
    <row r="3753" spans="1:1" ht="13.15" customHeight="1" x14ac:dyDescent="0.2">
      <c r="A3753" s="103"/>
    </row>
    <row r="3754" spans="1:1" ht="13.15" customHeight="1" x14ac:dyDescent="0.2">
      <c r="A3754" s="103"/>
    </row>
    <row r="3755" spans="1:1" ht="13.15" customHeight="1" x14ac:dyDescent="0.2">
      <c r="A3755" s="103"/>
    </row>
    <row r="3756" spans="1:1" ht="13.15" customHeight="1" x14ac:dyDescent="0.2">
      <c r="A3756" s="103"/>
    </row>
    <row r="3757" spans="1:1" ht="13.15" customHeight="1" x14ac:dyDescent="0.2">
      <c r="A3757" s="103"/>
    </row>
    <row r="3758" spans="1:1" ht="13.15" customHeight="1" x14ac:dyDescent="0.2">
      <c r="A3758" s="103"/>
    </row>
    <row r="3759" spans="1:1" ht="13.15" customHeight="1" x14ac:dyDescent="0.2">
      <c r="A3759" s="103"/>
    </row>
    <row r="3760" spans="1:1" ht="13.15" customHeight="1" x14ac:dyDescent="0.2">
      <c r="A3760" s="103"/>
    </row>
    <row r="3761" spans="1:1" ht="13.15" customHeight="1" x14ac:dyDescent="0.2">
      <c r="A3761" s="103"/>
    </row>
    <row r="3762" spans="1:1" ht="13.15" customHeight="1" x14ac:dyDescent="0.2">
      <c r="A3762" s="103"/>
    </row>
    <row r="3763" spans="1:1" ht="13.15" customHeight="1" x14ac:dyDescent="0.2">
      <c r="A3763" s="103"/>
    </row>
    <row r="3764" spans="1:1" ht="13.15" customHeight="1" x14ac:dyDescent="0.2">
      <c r="A3764" s="103"/>
    </row>
    <row r="3765" spans="1:1" ht="13.15" customHeight="1" x14ac:dyDescent="0.2">
      <c r="A3765" s="103"/>
    </row>
    <row r="3766" spans="1:1" ht="13.15" customHeight="1" x14ac:dyDescent="0.2">
      <c r="A3766" s="103"/>
    </row>
    <row r="3767" spans="1:1" ht="13.15" customHeight="1" x14ac:dyDescent="0.2">
      <c r="A3767" s="103"/>
    </row>
    <row r="3768" spans="1:1" ht="13.15" customHeight="1" x14ac:dyDescent="0.2">
      <c r="A3768" s="103"/>
    </row>
    <row r="3769" spans="1:1" ht="13.15" customHeight="1" x14ac:dyDescent="0.2">
      <c r="A3769" s="103"/>
    </row>
    <row r="3770" spans="1:1" ht="13.15" customHeight="1" x14ac:dyDescent="0.2">
      <c r="A3770" s="103"/>
    </row>
    <row r="3771" spans="1:1" ht="13.15" customHeight="1" x14ac:dyDescent="0.2">
      <c r="A3771" s="103"/>
    </row>
    <row r="3772" spans="1:1" ht="13.15" customHeight="1" x14ac:dyDescent="0.2">
      <c r="A3772" s="103"/>
    </row>
    <row r="3773" spans="1:1" ht="13.15" customHeight="1" x14ac:dyDescent="0.2">
      <c r="A3773" s="103"/>
    </row>
    <row r="3774" spans="1:1" ht="13.15" customHeight="1" x14ac:dyDescent="0.2">
      <c r="A3774" s="103"/>
    </row>
    <row r="3775" spans="1:1" ht="13.15" customHeight="1" x14ac:dyDescent="0.2">
      <c r="A3775" s="103"/>
    </row>
    <row r="3776" spans="1:1" ht="13.15" customHeight="1" x14ac:dyDescent="0.2">
      <c r="A3776" s="103"/>
    </row>
    <row r="3777" spans="1:1" ht="13.15" customHeight="1" x14ac:dyDescent="0.2">
      <c r="A3777" s="103"/>
    </row>
    <row r="3778" spans="1:1" ht="13.15" customHeight="1" x14ac:dyDescent="0.2">
      <c r="A3778" s="103"/>
    </row>
    <row r="3779" spans="1:1" ht="13.15" customHeight="1" x14ac:dyDescent="0.2">
      <c r="A3779" s="103"/>
    </row>
    <row r="3780" spans="1:1" ht="13.15" customHeight="1" x14ac:dyDescent="0.2">
      <c r="A3780" s="103"/>
    </row>
    <row r="3781" spans="1:1" ht="13.15" customHeight="1" x14ac:dyDescent="0.2">
      <c r="A3781" s="103"/>
    </row>
    <row r="3782" spans="1:1" ht="13.15" customHeight="1" x14ac:dyDescent="0.2">
      <c r="A3782" s="103"/>
    </row>
    <row r="3783" spans="1:1" ht="13.15" customHeight="1" x14ac:dyDescent="0.2">
      <c r="A3783" s="103"/>
    </row>
    <row r="3784" spans="1:1" ht="13.15" customHeight="1" x14ac:dyDescent="0.2">
      <c r="A3784" s="103"/>
    </row>
    <row r="3785" spans="1:1" ht="13.15" customHeight="1" x14ac:dyDescent="0.2">
      <c r="A3785" s="103"/>
    </row>
    <row r="3786" spans="1:1" ht="13.15" customHeight="1" x14ac:dyDescent="0.2">
      <c r="A3786" s="103"/>
    </row>
    <row r="3787" spans="1:1" ht="13.15" customHeight="1" x14ac:dyDescent="0.2">
      <c r="A3787" s="103"/>
    </row>
    <row r="3788" spans="1:1" ht="13.15" customHeight="1" x14ac:dyDescent="0.2">
      <c r="A3788" s="103"/>
    </row>
    <row r="3789" spans="1:1" ht="13.15" customHeight="1" x14ac:dyDescent="0.2">
      <c r="A3789" s="103"/>
    </row>
    <row r="3790" spans="1:1" ht="13.15" customHeight="1" x14ac:dyDescent="0.2">
      <c r="A3790" s="103"/>
    </row>
    <row r="3791" spans="1:1" ht="13.15" customHeight="1" x14ac:dyDescent="0.2">
      <c r="A3791" s="103"/>
    </row>
    <row r="3792" spans="1:1" ht="13.15" customHeight="1" x14ac:dyDescent="0.2">
      <c r="A3792" s="103"/>
    </row>
    <row r="3793" spans="1:1" ht="13.15" customHeight="1" x14ac:dyDescent="0.2">
      <c r="A3793" s="103"/>
    </row>
    <row r="3794" spans="1:1" ht="13.15" customHeight="1" x14ac:dyDescent="0.2">
      <c r="A3794" s="103"/>
    </row>
    <row r="3795" spans="1:1" ht="13.15" customHeight="1" x14ac:dyDescent="0.2">
      <c r="A3795" s="103"/>
    </row>
    <row r="3796" spans="1:1" ht="13.15" customHeight="1" x14ac:dyDescent="0.2">
      <c r="A3796" s="103"/>
    </row>
    <row r="3797" spans="1:1" ht="13.15" customHeight="1" x14ac:dyDescent="0.2">
      <c r="A3797" s="103"/>
    </row>
    <row r="3798" spans="1:1" ht="13.15" customHeight="1" x14ac:dyDescent="0.2">
      <c r="A3798" s="103"/>
    </row>
    <row r="3799" spans="1:1" ht="13.15" customHeight="1" x14ac:dyDescent="0.2">
      <c r="A3799" s="103"/>
    </row>
    <row r="3800" spans="1:1" ht="13.15" customHeight="1" x14ac:dyDescent="0.2">
      <c r="A3800" s="103"/>
    </row>
    <row r="3801" spans="1:1" ht="13.15" customHeight="1" x14ac:dyDescent="0.2">
      <c r="A3801" s="103"/>
    </row>
    <row r="3802" spans="1:1" ht="13.15" customHeight="1" x14ac:dyDescent="0.2">
      <c r="A3802" s="103"/>
    </row>
    <row r="3803" spans="1:1" ht="13.15" customHeight="1" x14ac:dyDescent="0.2">
      <c r="A3803" s="103"/>
    </row>
    <row r="3804" spans="1:1" ht="13.15" customHeight="1" x14ac:dyDescent="0.2">
      <c r="A3804" s="103"/>
    </row>
    <row r="3805" spans="1:1" ht="13.15" customHeight="1" x14ac:dyDescent="0.2">
      <c r="A3805" s="103"/>
    </row>
    <row r="3806" spans="1:1" ht="13.15" customHeight="1" x14ac:dyDescent="0.2">
      <c r="A3806" s="103"/>
    </row>
    <row r="3807" spans="1:1" ht="13.15" customHeight="1" x14ac:dyDescent="0.2">
      <c r="A3807" s="103"/>
    </row>
    <row r="3808" spans="1:1" ht="13.15" customHeight="1" x14ac:dyDescent="0.2">
      <c r="A3808" s="103"/>
    </row>
    <row r="3809" spans="1:1" ht="13.15" customHeight="1" x14ac:dyDescent="0.2">
      <c r="A3809" s="103"/>
    </row>
    <row r="3810" spans="1:1" ht="13.15" customHeight="1" x14ac:dyDescent="0.2">
      <c r="A3810" s="103"/>
    </row>
    <row r="3811" spans="1:1" ht="13.15" customHeight="1" x14ac:dyDescent="0.2">
      <c r="A3811" s="103"/>
    </row>
    <row r="3812" spans="1:1" ht="13.15" customHeight="1" x14ac:dyDescent="0.2">
      <c r="A3812" s="103"/>
    </row>
    <row r="3813" spans="1:1" ht="13.15" customHeight="1" x14ac:dyDescent="0.2">
      <c r="A3813" s="103"/>
    </row>
    <row r="3814" spans="1:1" ht="13.15" customHeight="1" x14ac:dyDescent="0.2">
      <c r="A3814" s="103"/>
    </row>
    <row r="3815" spans="1:1" ht="13.15" customHeight="1" x14ac:dyDescent="0.2">
      <c r="A3815" s="103"/>
    </row>
    <row r="3816" spans="1:1" ht="13.15" customHeight="1" x14ac:dyDescent="0.2">
      <c r="A3816" s="103"/>
    </row>
    <row r="3817" spans="1:1" ht="13.15" customHeight="1" x14ac:dyDescent="0.2">
      <c r="A3817" s="103"/>
    </row>
    <row r="3818" spans="1:1" ht="13.15" customHeight="1" x14ac:dyDescent="0.2">
      <c r="A3818" s="103"/>
    </row>
    <row r="3819" spans="1:1" ht="13.15" customHeight="1" x14ac:dyDescent="0.2">
      <c r="A3819" s="103"/>
    </row>
    <row r="3820" spans="1:1" ht="13.15" customHeight="1" x14ac:dyDescent="0.2">
      <c r="A3820" s="103"/>
    </row>
    <row r="3821" spans="1:1" ht="13.15" customHeight="1" x14ac:dyDescent="0.2">
      <c r="A3821" s="103"/>
    </row>
    <row r="3822" spans="1:1" ht="13.15" customHeight="1" x14ac:dyDescent="0.2">
      <c r="A3822" s="103"/>
    </row>
    <row r="3823" spans="1:1" ht="13.15" customHeight="1" x14ac:dyDescent="0.2">
      <c r="A3823" s="103"/>
    </row>
    <row r="3824" spans="1:1" ht="13.15" customHeight="1" x14ac:dyDescent="0.2">
      <c r="A3824" s="103"/>
    </row>
    <row r="3825" spans="1:1" ht="13.15" customHeight="1" x14ac:dyDescent="0.2">
      <c r="A3825" s="103"/>
    </row>
    <row r="3826" spans="1:1" ht="13.15" customHeight="1" x14ac:dyDescent="0.2">
      <c r="A3826" s="103"/>
    </row>
    <row r="3827" spans="1:1" ht="13.15" customHeight="1" x14ac:dyDescent="0.2">
      <c r="A3827" s="103"/>
    </row>
    <row r="3828" spans="1:1" ht="13.15" customHeight="1" x14ac:dyDescent="0.2">
      <c r="A3828" s="103"/>
    </row>
    <row r="3829" spans="1:1" ht="13.15" customHeight="1" x14ac:dyDescent="0.2">
      <c r="A3829" s="103"/>
    </row>
    <row r="3830" spans="1:1" ht="13.15" customHeight="1" x14ac:dyDescent="0.2">
      <c r="A3830" s="103"/>
    </row>
    <row r="3831" spans="1:1" ht="13.15" customHeight="1" x14ac:dyDescent="0.2">
      <c r="A3831" s="103"/>
    </row>
    <row r="3832" spans="1:1" ht="13.15" customHeight="1" x14ac:dyDescent="0.2">
      <c r="A3832" s="103"/>
    </row>
    <row r="3833" spans="1:1" ht="13.15" customHeight="1" x14ac:dyDescent="0.2">
      <c r="A3833" s="103"/>
    </row>
    <row r="3834" spans="1:1" ht="13.15" customHeight="1" x14ac:dyDescent="0.2">
      <c r="A3834" s="103"/>
    </row>
    <row r="3835" spans="1:1" ht="13.15" customHeight="1" x14ac:dyDescent="0.2">
      <c r="A3835" s="103"/>
    </row>
    <row r="3836" spans="1:1" ht="13.15" customHeight="1" x14ac:dyDescent="0.2">
      <c r="A3836" s="103"/>
    </row>
    <row r="3837" spans="1:1" ht="13.15" customHeight="1" x14ac:dyDescent="0.2">
      <c r="A3837" s="103"/>
    </row>
    <row r="3838" spans="1:1" ht="13.15" customHeight="1" x14ac:dyDescent="0.2">
      <c r="A3838" s="103"/>
    </row>
    <row r="3839" spans="1:1" ht="13.15" customHeight="1" x14ac:dyDescent="0.2">
      <c r="A3839" s="103"/>
    </row>
    <row r="3840" spans="1:1" ht="13.15" customHeight="1" x14ac:dyDescent="0.2">
      <c r="A3840" s="103"/>
    </row>
    <row r="3841" spans="1:1" ht="13.15" customHeight="1" x14ac:dyDescent="0.2">
      <c r="A3841" s="103"/>
    </row>
    <row r="3842" spans="1:1" ht="13.15" customHeight="1" x14ac:dyDescent="0.2">
      <c r="A3842" s="103"/>
    </row>
    <row r="3843" spans="1:1" ht="13.15" customHeight="1" x14ac:dyDescent="0.2">
      <c r="A3843" s="103"/>
    </row>
    <row r="3844" spans="1:1" ht="13.15" customHeight="1" x14ac:dyDescent="0.2">
      <c r="A3844" s="103"/>
    </row>
    <row r="3845" spans="1:1" ht="13.15" customHeight="1" x14ac:dyDescent="0.2">
      <c r="A3845" s="103"/>
    </row>
    <row r="3846" spans="1:1" ht="13.15" customHeight="1" x14ac:dyDescent="0.2">
      <c r="A3846" s="103"/>
    </row>
    <row r="3847" spans="1:1" ht="13.15" customHeight="1" x14ac:dyDescent="0.2">
      <c r="A3847" s="103"/>
    </row>
    <row r="3848" spans="1:1" ht="13.15" customHeight="1" x14ac:dyDescent="0.2">
      <c r="A3848" s="103"/>
    </row>
    <row r="3849" spans="1:1" ht="13.15" customHeight="1" x14ac:dyDescent="0.2">
      <c r="A3849" s="103"/>
    </row>
    <row r="3850" spans="1:1" ht="13.15" customHeight="1" x14ac:dyDescent="0.2">
      <c r="A3850" s="103"/>
    </row>
    <row r="3851" spans="1:1" ht="13.15" customHeight="1" x14ac:dyDescent="0.2">
      <c r="A3851" s="103"/>
    </row>
    <row r="3852" spans="1:1" ht="13.15" customHeight="1" x14ac:dyDescent="0.2">
      <c r="A3852" s="103"/>
    </row>
    <row r="3853" spans="1:1" ht="13.15" customHeight="1" x14ac:dyDescent="0.2">
      <c r="A3853" s="103"/>
    </row>
    <row r="3854" spans="1:1" ht="13.15" customHeight="1" x14ac:dyDescent="0.2">
      <c r="A3854" s="103"/>
    </row>
    <row r="3855" spans="1:1" ht="13.15" customHeight="1" x14ac:dyDescent="0.2">
      <c r="A3855" s="103"/>
    </row>
    <row r="3856" spans="1:1" ht="13.15" customHeight="1" x14ac:dyDescent="0.2">
      <c r="A3856" s="103"/>
    </row>
    <row r="3857" spans="1:1" ht="13.15" customHeight="1" x14ac:dyDescent="0.2">
      <c r="A3857" s="103"/>
    </row>
    <row r="3858" spans="1:1" ht="13.15" customHeight="1" x14ac:dyDescent="0.2">
      <c r="A3858" s="103"/>
    </row>
    <row r="3859" spans="1:1" ht="13.15" customHeight="1" x14ac:dyDescent="0.2">
      <c r="A3859" s="103"/>
    </row>
    <row r="3860" spans="1:1" ht="13.15" customHeight="1" x14ac:dyDescent="0.2">
      <c r="A3860" s="103"/>
    </row>
    <row r="3861" spans="1:1" ht="13.15" customHeight="1" x14ac:dyDescent="0.2">
      <c r="A3861" s="103"/>
    </row>
    <row r="3862" spans="1:1" ht="13.15" customHeight="1" x14ac:dyDescent="0.2">
      <c r="A3862" s="103"/>
    </row>
    <row r="3863" spans="1:1" ht="13.15" customHeight="1" x14ac:dyDescent="0.2">
      <c r="A3863" s="103"/>
    </row>
    <row r="3864" spans="1:1" ht="13.15" customHeight="1" x14ac:dyDescent="0.2">
      <c r="A3864" s="103"/>
    </row>
    <row r="3865" spans="1:1" ht="13.15" customHeight="1" x14ac:dyDescent="0.2">
      <c r="A3865" s="103"/>
    </row>
    <row r="3866" spans="1:1" ht="13.15" customHeight="1" x14ac:dyDescent="0.2">
      <c r="A3866" s="103"/>
    </row>
    <row r="3867" spans="1:1" ht="13.15" customHeight="1" x14ac:dyDescent="0.2">
      <c r="A3867" s="103"/>
    </row>
    <row r="3868" spans="1:1" ht="13.15" customHeight="1" x14ac:dyDescent="0.2">
      <c r="A3868" s="103"/>
    </row>
    <row r="3869" spans="1:1" ht="13.15" customHeight="1" x14ac:dyDescent="0.2">
      <c r="A3869" s="103"/>
    </row>
    <row r="3870" spans="1:1" ht="13.15" customHeight="1" x14ac:dyDescent="0.2">
      <c r="A3870" s="103"/>
    </row>
    <row r="3871" spans="1:1" ht="13.15" customHeight="1" x14ac:dyDescent="0.2">
      <c r="A3871" s="103"/>
    </row>
    <row r="3872" spans="1:1" ht="13.15" customHeight="1" x14ac:dyDescent="0.2">
      <c r="A3872" s="103"/>
    </row>
    <row r="3873" spans="1:1" ht="13.15" customHeight="1" x14ac:dyDescent="0.2">
      <c r="A3873" s="103"/>
    </row>
    <row r="3874" spans="1:1" ht="13.15" customHeight="1" x14ac:dyDescent="0.2">
      <c r="A3874" s="103"/>
    </row>
    <row r="3875" spans="1:1" ht="13.15" customHeight="1" x14ac:dyDescent="0.2">
      <c r="A3875" s="103"/>
    </row>
    <row r="3876" spans="1:1" ht="13.15" customHeight="1" x14ac:dyDescent="0.2">
      <c r="A3876" s="103"/>
    </row>
    <row r="3877" spans="1:1" ht="13.15" customHeight="1" x14ac:dyDescent="0.2">
      <c r="A3877" s="103"/>
    </row>
    <row r="3878" spans="1:1" ht="13.15" customHeight="1" x14ac:dyDescent="0.2">
      <c r="A3878" s="103"/>
    </row>
    <row r="3879" spans="1:1" ht="13.15" customHeight="1" x14ac:dyDescent="0.2">
      <c r="A3879" s="103"/>
    </row>
    <row r="3880" spans="1:1" ht="13.15" customHeight="1" x14ac:dyDescent="0.2">
      <c r="A3880" s="103"/>
    </row>
    <row r="3881" spans="1:1" ht="13.15" customHeight="1" x14ac:dyDescent="0.2">
      <c r="A3881" s="103"/>
    </row>
    <row r="3882" spans="1:1" ht="13.15" customHeight="1" x14ac:dyDescent="0.2">
      <c r="A3882" s="103"/>
    </row>
    <row r="3883" spans="1:1" ht="13.15" customHeight="1" x14ac:dyDescent="0.2">
      <c r="A3883" s="103"/>
    </row>
    <row r="3884" spans="1:1" ht="13.15" customHeight="1" x14ac:dyDescent="0.2">
      <c r="A3884" s="103"/>
    </row>
    <row r="3885" spans="1:1" ht="13.15" customHeight="1" x14ac:dyDescent="0.2">
      <c r="A3885" s="103"/>
    </row>
    <row r="3886" spans="1:1" ht="13.15" customHeight="1" x14ac:dyDescent="0.2">
      <c r="A3886" s="103"/>
    </row>
    <row r="3887" spans="1:1" ht="13.15" customHeight="1" x14ac:dyDescent="0.2">
      <c r="A3887" s="103"/>
    </row>
    <row r="3888" spans="1:1" ht="13.15" customHeight="1" x14ac:dyDescent="0.2">
      <c r="A3888" s="103"/>
    </row>
    <row r="3889" spans="1:1" ht="13.15" customHeight="1" x14ac:dyDescent="0.2">
      <c r="A3889" s="103"/>
    </row>
    <row r="3890" spans="1:1" ht="13.15" customHeight="1" x14ac:dyDescent="0.2">
      <c r="A3890" s="103"/>
    </row>
    <row r="3891" spans="1:1" ht="13.15" customHeight="1" x14ac:dyDescent="0.2">
      <c r="A3891" s="103"/>
    </row>
    <row r="3892" spans="1:1" ht="13.15" customHeight="1" x14ac:dyDescent="0.2">
      <c r="A3892" s="103"/>
    </row>
    <row r="3893" spans="1:1" ht="13.15" customHeight="1" x14ac:dyDescent="0.2">
      <c r="A3893" s="103"/>
    </row>
    <row r="3894" spans="1:1" ht="13.15" customHeight="1" x14ac:dyDescent="0.2">
      <c r="A3894" s="103"/>
    </row>
    <row r="3895" spans="1:1" ht="13.15" customHeight="1" x14ac:dyDescent="0.2">
      <c r="A3895" s="103"/>
    </row>
    <row r="3896" spans="1:1" ht="13.15" customHeight="1" x14ac:dyDescent="0.2">
      <c r="A3896" s="103"/>
    </row>
    <row r="3897" spans="1:1" ht="13.15" customHeight="1" x14ac:dyDescent="0.2">
      <c r="A3897" s="103"/>
    </row>
    <row r="3898" spans="1:1" ht="13.15" customHeight="1" x14ac:dyDescent="0.2">
      <c r="A3898" s="103"/>
    </row>
    <row r="3899" spans="1:1" ht="13.15" customHeight="1" x14ac:dyDescent="0.2">
      <c r="A3899" s="103"/>
    </row>
    <row r="3900" spans="1:1" ht="13.15" customHeight="1" x14ac:dyDescent="0.2">
      <c r="A3900" s="103"/>
    </row>
    <row r="3901" spans="1:1" ht="13.15" customHeight="1" x14ac:dyDescent="0.2">
      <c r="A3901" s="103"/>
    </row>
    <row r="3902" spans="1:1" ht="13.15" customHeight="1" x14ac:dyDescent="0.2">
      <c r="A3902" s="103"/>
    </row>
    <row r="3903" spans="1:1" ht="13.15" customHeight="1" x14ac:dyDescent="0.2">
      <c r="A3903" s="103"/>
    </row>
    <row r="3904" spans="1:1" ht="13.15" customHeight="1" x14ac:dyDescent="0.2">
      <c r="A3904" s="103"/>
    </row>
    <row r="3905" spans="1:1" ht="13.15" customHeight="1" x14ac:dyDescent="0.2">
      <c r="A3905" s="103"/>
    </row>
    <row r="3906" spans="1:1" ht="13.15" customHeight="1" x14ac:dyDescent="0.2">
      <c r="A3906" s="103"/>
    </row>
    <row r="3907" spans="1:1" ht="13.15" customHeight="1" x14ac:dyDescent="0.2">
      <c r="A3907" s="103"/>
    </row>
    <row r="3908" spans="1:1" ht="13.15" customHeight="1" x14ac:dyDescent="0.2">
      <c r="A3908" s="103"/>
    </row>
    <row r="3909" spans="1:1" ht="13.15" customHeight="1" x14ac:dyDescent="0.2">
      <c r="A3909" s="103"/>
    </row>
    <row r="3910" spans="1:1" ht="13.15" customHeight="1" x14ac:dyDescent="0.2">
      <c r="A3910" s="103"/>
    </row>
    <row r="3911" spans="1:1" ht="13.15" customHeight="1" x14ac:dyDescent="0.2">
      <c r="A3911" s="103"/>
    </row>
    <row r="3912" spans="1:1" ht="13.15" customHeight="1" x14ac:dyDescent="0.2">
      <c r="A3912" s="103"/>
    </row>
    <row r="3913" spans="1:1" ht="13.15" customHeight="1" x14ac:dyDescent="0.2">
      <c r="A3913" s="103"/>
    </row>
    <row r="3914" spans="1:1" ht="13.15" customHeight="1" x14ac:dyDescent="0.2">
      <c r="A3914" s="103"/>
    </row>
    <row r="3915" spans="1:1" ht="13.15" customHeight="1" x14ac:dyDescent="0.2">
      <c r="A3915" s="103"/>
    </row>
    <row r="3916" spans="1:1" ht="13.15" customHeight="1" x14ac:dyDescent="0.2">
      <c r="A3916" s="103"/>
    </row>
    <row r="3917" spans="1:1" ht="13.15" customHeight="1" x14ac:dyDescent="0.2">
      <c r="A3917" s="103"/>
    </row>
    <row r="3918" spans="1:1" ht="13.15" customHeight="1" x14ac:dyDescent="0.2">
      <c r="A3918" s="103"/>
    </row>
    <row r="3919" spans="1:1" ht="13.15" customHeight="1" x14ac:dyDescent="0.2">
      <c r="A3919" s="103"/>
    </row>
    <row r="3920" spans="1:1" ht="13.15" customHeight="1" x14ac:dyDescent="0.2">
      <c r="A3920" s="103"/>
    </row>
    <row r="3921" spans="1:1" ht="13.15" customHeight="1" x14ac:dyDescent="0.2">
      <c r="A3921" s="103"/>
    </row>
    <row r="3922" spans="1:1" ht="13.15" customHeight="1" x14ac:dyDescent="0.2">
      <c r="A3922" s="103"/>
    </row>
    <row r="3923" spans="1:1" ht="13.15" customHeight="1" x14ac:dyDescent="0.2">
      <c r="A3923" s="103"/>
    </row>
    <row r="3924" spans="1:1" ht="13.15" customHeight="1" x14ac:dyDescent="0.2">
      <c r="A3924" s="103"/>
    </row>
    <row r="3925" spans="1:1" ht="13.15" customHeight="1" x14ac:dyDescent="0.2">
      <c r="A3925" s="103"/>
    </row>
    <row r="3926" spans="1:1" ht="13.15" customHeight="1" x14ac:dyDescent="0.2">
      <c r="A3926" s="103"/>
    </row>
    <row r="3927" spans="1:1" ht="13.15" customHeight="1" x14ac:dyDescent="0.2">
      <c r="A3927" s="103"/>
    </row>
    <row r="3928" spans="1:1" ht="13.15" customHeight="1" x14ac:dyDescent="0.2">
      <c r="A3928" s="103"/>
    </row>
    <row r="3929" spans="1:1" ht="13.15" customHeight="1" x14ac:dyDescent="0.2">
      <c r="A3929" s="103"/>
    </row>
    <row r="3930" spans="1:1" ht="13.15" customHeight="1" x14ac:dyDescent="0.2">
      <c r="A3930" s="103"/>
    </row>
    <row r="3931" spans="1:1" ht="13.15" customHeight="1" x14ac:dyDescent="0.2">
      <c r="A3931" s="103"/>
    </row>
    <row r="3932" spans="1:1" ht="13.15" customHeight="1" x14ac:dyDescent="0.2">
      <c r="A3932" s="103"/>
    </row>
    <row r="3933" spans="1:1" ht="13.15" customHeight="1" x14ac:dyDescent="0.2">
      <c r="A3933" s="103"/>
    </row>
    <row r="3934" spans="1:1" ht="13.15" customHeight="1" x14ac:dyDescent="0.2">
      <c r="A3934" s="103"/>
    </row>
    <row r="3935" spans="1:1" ht="13.15" customHeight="1" x14ac:dyDescent="0.2">
      <c r="A3935" s="103"/>
    </row>
    <row r="3936" spans="1:1" ht="13.15" customHeight="1" x14ac:dyDescent="0.2">
      <c r="A3936" s="103"/>
    </row>
    <row r="3937" spans="1:1" ht="13.15" customHeight="1" x14ac:dyDescent="0.2">
      <c r="A3937" s="103"/>
    </row>
    <row r="3938" spans="1:1" ht="13.15" customHeight="1" x14ac:dyDescent="0.2">
      <c r="A3938" s="103"/>
    </row>
    <row r="3939" spans="1:1" ht="13.15" customHeight="1" x14ac:dyDescent="0.2">
      <c r="A3939" s="103"/>
    </row>
    <row r="3940" spans="1:1" ht="13.15" customHeight="1" x14ac:dyDescent="0.2">
      <c r="A3940" s="103"/>
    </row>
    <row r="3941" spans="1:1" ht="13.15" customHeight="1" x14ac:dyDescent="0.2">
      <c r="A3941" s="103"/>
    </row>
    <row r="3942" spans="1:1" ht="13.15" customHeight="1" x14ac:dyDescent="0.2">
      <c r="A3942" s="103"/>
    </row>
    <row r="3943" spans="1:1" ht="13.15" customHeight="1" x14ac:dyDescent="0.2">
      <c r="A3943" s="103"/>
    </row>
    <row r="3944" spans="1:1" ht="13.15" customHeight="1" x14ac:dyDescent="0.2">
      <c r="A3944" s="103"/>
    </row>
    <row r="3945" spans="1:1" ht="13.15" customHeight="1" x14ac:dyDescent="0.2">
      <c r="A3945" s="103"/>
    </row>
    <row r="3946" spans="1:1" ht="13.15" customHeight="1" x14ac:dyDescent="0.2">
      <c r="A3946" s="103"/>
    </row>
    <row r="3947" spans="1:1" ht="13.15" customHeight="1" x14ac:dyDescent="0.2">
      <c r="A3947" s="103"/>
    </row>
    <row r="3948" spans="1:1" ht="13.15" customHeight="1" x14ac:dyDescent="0.2">
      <c r="A3948" s="103"/>
    </row>
    <row r="3949" spans="1:1" ht="13.15" customHeight="1" x14ac:dyDescent="0.2">
      <c r="A3949" s="103"/>
    </row>
    <row r="3950" spans="1:1" ht="13.15" customHeight="1" x14ac:dyDescent="0.2">
      <c r="A3950" s="103"/>
    </row>
    <row r="3951" spans="1:1" ht="13.15" customHeight="1" x14ac:dyDescent="0.2">
      <c r="A3951" s="103"/>
    </row>
    <row r="3952" spans="1:1" ht="13.15" customHeight="1" x14ac:dyDescent="0.2">
      <c r="A3952" s="103"/>
    </row>
    <row r="3953" spans="1:1" ht="13.15" customHeight="1" x14ac:dyDescent="0.2">
      <c r="A3953" s="103"/>
    </row>
    <row r="3954" spans="1:1" ht="13.15" customHeight="1" x14ac:dyDescent="0.2">
      <c r="A3954" s="103"/>
    </row>
    <row r="3955" spans="1:1" ht="13.15" customHeight="1" x14ac:dyDescent="0.2">
      <c r="A3955" s="103"/>
    </row>
    <row r="3956" spans="1:1" ht="13.15" customHeight="1" x14ac:dyDescent="0.2">
      <c r="A3956" s="103"/>
    </row>
    <row r="3957" spans="1:1" ht="13.15" customHeight="1" x14ac:dyDescent="0.2">
      <c r="A3957" s="103"/>
    </row>
    <row r="3958" spans="1:1" ht="13.15" customHeight="1" x14ac:dyDescent="0.2">
      <c r="A3958" s="103"/>
    </row>
    <row r="3959" spans="1:1" ht="13.15" customHeight="1" x14ac:dyDescent="0.2">
      <c r="A3959" s="103"/>
    </row>
    <row r="3960" spans="1:1" ht="13.15" customHeight="1" x14ac:dyDescent="0.2">
      <c r="A3960" s="103"/>
    </row>
    <row r="3961" spans="1:1" ht="13.15" customHeight="1" x14ac:dyDescent="0.2">
      <c r="A3961" s="103"/>
    </row>
    <row r="3962" spans="1:1" ht="13.15" customHeight="1" x14ac:dyDescent="0.2">
      <c r="A3962" s="103"/>
    </row>
    <row r="3963" spans="1:1" ht="13.15" customHeight="1" x14ac:dyDescent="0.2">
      <c r="A3963" s="103"/>
    </row>
    <row r="3964" spans="1:1" ht="13.15" customHeight="1" x14ac:dyDescent="0.2">
      <c r="A3964" s="103"/>
    </row>
    <row r="3965" spans="1:1" ht="13.15" customHeight="1" x14ac:dyDescent="0.2">
      <c r="A3965" s="103"/>
    </row>
    <row r="3966" spans="1:1" ht="13.15" customHeight="1" x14ac:dyDescent="0.2">
      <c r="A3966" s="103"/>
    </row>
    <row r="3967" spans="1:1" ht="13.15" customHeight="1" x14ac:dyDescent="0.2">
      <c r="A3967" s="103"/>
    </row>
    <row r="3968" spans="1:1" ht="13.15" customHeight="1" x14ac:dyDescent="0.2">
      <c r="A3968" s="103"/>
    </row>
    <row r="3969" spans="1:1" ht="13.15" customHeight="1" x14ac:dyDescent="0.2">
      <c r="A3969" s="103"/>
    </row>
    <row r="3970" spans="1:1" ht="13.15" customHeight="1" x14ac:dyDescent="0.2">
      <c r="A3970" s="103"/>
    </row>
    <row r="3971" spans="1:1" ht="13.15" customHeight="1" x14ac:dyDescent="0.2">
      <c r="A3971" s="103"/>
    </row>
    <row r="3972" spans="1:1" ht="13.15" customHeight="1" x14ac:dyDescent="0.2">
      <c r="A3972" s="103"/>
    </row>
    <row r="3973" spans="1:1" ht="13.15" customHeight="1" x14ac:dyDescent="0.2">
      <c r="A3973" s="103"/>
    </row>
    <row r="3974" spans="1:1" ht="13.15" customHeight="1" x14ac:dyDescent="0.2">
      <c r="A3974" s="103"/>
    </row>
    <row r="3975" spans="1:1" ht="13.15" customHeight="1" x14ac:dyDescent="0.2">
      <c r="A3975" s="103"/>
    </row>
    <row r="3976" spans="1:1" ht="13.15" customHeight="1" x14ac:dyDescent="0.2">
      <c r="A3976" s="103"/>
    </row>
    <row r="3977" spans="1:1" ht="13.15" customHeight="1" x14ac:dyDescent="0.2">
      <c r="A3977" s="103"/>
    </row>
    <row r="3978" spans="1:1" ht="13.15" customHeight="1" x14ac:dyDescent="0.2">
      <c r="A3978" s="103"/>
    </row>
    <row r="3979" spans="1:1" ht="13.15" customHeight="1" x14ac:dyDescent="0.2">
      <c r="A3979" s="103"/>
    </row>
    <row r="3980" spans="1:1" ht="13.15" customHeight="1" x14ac:dyDescent="0.2">
      <c r="A3980" s="103"/>
    </row>
    <row r="3981" spans="1:1" ht="13.15" customHeight="1" x14ac:dyDescent="0.2">
      <c r="A3981" s="103"/>
    </row>
    <row r="3982" spans="1:1" ht="13.15" customHeight="1" x14ac:dyDescent="0.2">
      <c r="A3982" s="103"/>
    </row>
    <row r="3983" spans="1:1" ht="13.15" customHeight="1" x14ac:dyDescent="0.2">
      <c r="A3983" s="103"/>
    </row>
    <row r="3984" spans="1:1" ht="13.15" customHeight="1" x14ac:dyDescent="0.2">
      <c r="A3984" s="103"/>
    </row>
    <row r="3985" spans="1:1" ht="13.15" customHeight="1" x14ac:dyDescent="0.2">
      <c r="A3985" s="103"/>
    </row>
    <row r="3986" spans="1:1" ht="13.15" customHeight="1" x14ac:dyDescent="0.2">
      <c r="A3986" s="103"/>
    </row>
    <row r="3987" spans="1:1" ht="13.15" customHeight="1" x14ac:dyDescent="0.2">
      <c r="A3987" s="103"/>
    </row>
    <row r="3988" spans="1:1" ht="13.15" customHeight="1" x14ac:dyDescent="0.2">
      <c r="A3988" s="103"/>
    </row>
    <row r="3989" spans="1:1" ht="13.15" customHeight="1" x14ac:dyDescent="0.2">
      <c r="A3989" s="103"/>
    </row>
    <row r="3990" spans="1:1" ht="13.15" customHeight="1" x14ac:dyDescent="0.2">
      <c r="A3990" s="103"/>
    </row>
    <row r="3991" spans="1:1" ht="13.15" customHeight="1" x14ac:dyDescent="0.2">
      <c r="A3991" s="103"/>
    </row>
    <row r="3992" spans="1:1" ht="13.15" customHeight="1" x14ac:dyDescent="0.2">
      <c r="A3992" s="103"/>
    </row>
    <row r="3993" spans="1:1" ht="13.15" customHeight="1" x14ac:dyDescent="0.2">
      <c r="A3993" s="103"/>
    </row>
    <row r="3994" spans="1:1" ht="13.15" customHeight="1" x14ac:dyDescent="0.2">
      <c r="A3994" s="103"/>
    </row>
    <row r="3995" spans="1:1" ht="13.15" customHeight="1" x14ac:dyDescent="0.2">
      <c r="A3995" s="103"/>
    </row>
    <row r="3996" spans="1:1" ht="13.15" customHeight="1" x14ac:dyDescent="0.2">
      <c r="A3996" s="103"/>
    </row>
    <row r="3997" spans="1:1" ht="13.15" customHeight="1" x14ac:dyDescent="0.2">
      <c r="A3997" s="103"/>
    </row>
    <row r="3998" spans="1:1" ht="13.15" customHeight="1" x14ac:dyDescent="0.2">
      <c r="A3998" s="103"/>
    </row>
    <row r="3999" spans="1:1" ht="13.15" customHeight="1" x14ac:dyDescent="0.2">
      <c r="A3999" s="103"/>
    </row>
    <row r="4000" spans="1:1" ht="13.15" customHeight="1" x14ac:dyDescent="0.2">
      <c r="A4000" s="103"/>
    </row>
    <row r="4001" spans="1:1" ht="13.15" customHeight="1" x14ac:dyDescent="0.2">
      <c r="A4001" s="103"/>
    </row>
    <row r="4002" spans="1:1" ht="13.15" customHeight="1" x14ac:dyDescent="0.2">
      <c r="A4002" s="103"/>
    </row>
    <row r="4003" spans="1:1" ht="13.15" customHeight="1" x14ac:dyDescent="0.2">
      <c r="A4003" s="103"/>
    </row>
    <row r="4004" spans="1:1" ht="13.15" customHeight="1" x14ac:dyDescent="0.2">
      <c r="A4004" s="103"/>
    </row>
    <row r="4005" spans="1:1" ht="13.15" customHeight="1" x14ac:dyDescent="0.2">
      <c r="A4005" s="103"/>
    </row>
    <row r="4006" spans="1:1" ht="13.15" customHeight="1" x14ac:dyDescent="0.2">
      <c r="A4006" s="103"/>
    </row>
    <row r="4007" spans="1:1" ht="13.15" customHeight="1" x14ac:dyDescent="0.2">
      <c r="A4007" s="103"/>
    </row>
    <row r="4008" spans="1:1" ht="13.15" customHeight="1" x14ac:dyDescent="0.2">
      <c r="A4008" s="103"/>
    </row>
    <row r="4009" spans="1:1" ht="13.15" customHeight="1" x14ac:dyDescent="0.2">
      <c r="A4009" s="103"/>
    </row>
    <row r="4010" spans="1:1" ht="13.15" customHeight="1" x14ac:dyDescent="0.2">
      <c r="A4010" s="103"/>
    </row>
    <row r="4011" spans="1:1" ht="13.15" customHeight="1" x14ac:dyDescent="0.2">
      <c r="A4011" s="103"/>
    </row>
    <row r="4012" spans="1:1" ht="13.15" customHeight="1" x14ac:dyDescent="0.2">
      <c r="A4012" s="103"/>
    </row>
    <row r="4013" spans="1:1" ht="13.15" customHeight="1" x14ac:dyDescent="0.2">
      <c r="A4013" s="103"/>
    </row>
    <row r="4014" spans="1:1" ht="13.15" customHeight="1" x14ac:dyDescent="0.2">
      <c r="A4014" s="103"/>
    </row>
    <row r="4015" spans="1:1" ht="13.15" customHeight="1" x14ac:dyDescent="0.2">
      <c r="A4015" s="103"/>
    </row>
    <row r="4016" spans="1:1" ht="13.15" customHeight="1" x14ac:dyDescent="0.2">
      <c r="A4016" s="103"/>
    </row>
    <row r="4017" spans="1:1" ht="13.15" customHeight="1" x14ac:dyDescent="0.2">
      <c r="A4017" s="103"/>
    </row>
    <row r="4018" spans="1:1" ht="13.15" customHeight="1" x14ac:dyDescent="0.2">
      <c r="A4018" s="103"/>
    </row>
    <row r="4019" spans="1:1" ht="13.15" customHeight="1" x14ac:dyDescent="0.2">
      <c r="A4019" s="103"/>
    </row>
    <row r="4020" spans="1:1" ht="13.15" customHeight="1" x14ac:dyDescent="0.2">
      <c r="A4020" s="103"/>
    </row>
    <row r="4021" spans="1:1" ht="13.15" customHeight="1" x14ac:dyDescent="0.2">
      <c r="A4021" s="103"/>
    </row>
    <row r="4022" spans="1:1" ht="13.15" customHeight="1" x14ac:dyDescent="0.2">
      <c r="A4022" s="103"/>
    </row>
    <row r="4023" spans="1:1" ht="13.15" customHeight="1" x14ac:dyDescent="0.2">
      <c r="A4023" s="103"/>
    </row>
    <row r="4024" spans="1:1" ht="13.15" customHeight="1" x14ac:dyDescent="0.2">
      <c r="A4024" s="103"/>
    </row>
    <row r="4025" spans="1:1" ht="13.15" customHeight="1" x14ac:dyDescent="0.2">
      <c r="A4025" s="103"/>
    </row>
    <row r="4026" spans="1:1" ht="13.15" customHeight="1" x14ac:dyDescent="0.2">
      <c r="A4026" s="103"/>
    </row>
    <row r="4027" spans="1:1" ht="13.15" customHeight="1" x14ac:dyDescent="0.2">
      <c r="A4027" s="103"/>
    </row>
    <row r="4028" spans="1:1" ht="13.15" customHeight="1" x14ac:dyDescent="0.2">
      <c r="A4028" s="103"/>
    </row>
    <row r="4029" spans="1:1" ht="13.15" customHeight="1" x14ac:dyDescent="0.2">
      <c r="A4029" s="103"/>
    </row>
    <row r="4030" spans="1:1" ht="13.15" customHeight="1" x14ac:dyDescent="0.2">
      <c r="A4030" s="103"/>
    </row>
    <row r="4031" spans="1:1" ht="13.15" customHeight="1" x14ac:dyDescent="0.2">
      <c r="A4031" s="103"/>
    </row>
    <row r="4032" spans="1:1" ht="13.15" customHeight="1" x14ac:dyDescent="0.2">
      <c r="A4032" s="103"/>
    </row>
    <row r="4033" spans="1:1" ht="13.15" customHeight="1" x14ac:dyDescent="0.2">
      <c r="A4033" s="103"/>
    </row>
    <row r="4034" spans="1:1" ht="13.15" customHeight="1" x14ac:dyDescent="0.2">
      <c r="A4034" s="103"/>
    </row>
    <row r="4035" spans="1:1" ht="13.15" customHeight="1" x14ac:dyDescent="0.2">
      <c r="A4035" s="103"/>
    </row>
    <row r="4036" spans="1:1" ht="13.15" customHeight="1" x14ac:dyDescent="0.2">
      <c r="A4036" s="103"/>
    </row>
    <row r="4037" spans="1:1" ht="13.15" customHeight="1" x14ac:dyDescent="0.2">
      <c r="A4037" s="103"/>
    </row>
    <row r="4038" spans="1:1" ht="13.15" customHeight="1" x14ac:dyDescent="0.2">
      <c r="A4038" s="103"/>
    </row>
    <row r="4039" spans="1:1" ht="13.15" customHeight="1" x14ac:dyDescent="0.2">
      <c r="A4039" s="103"/>
    </row>
    <row r="4040" spans="1:1" ht="13.15" customHeight="1" x14ac:dyDescent="0.2">
      <c r="A4040" s="103"/>
    </row>
    <row r="4041" spans="1:1" ht="13.15" customHeight="1" x14ac:dyDescent="0.2">
      <c r="A4041" s="103"/>
    </row>
    <row r="4042" spans="1:1" ht="13.15" customHeight="1" x14ac:dyDescent="0.2">
      <c r="A4042" s="103"/>
    </row>
    <row r="4043" spans="1:1" ht="13.15" customHeight="1" x14ac:dyDescent="0.2">
      <c r="A4043" s="103"/>
    </row>
    <row r="4044" spans="1:1" ht="13.15" customHeight="1" x14ac:dyDescent="0.2">
      <c r="A4044" s="103"/>
    </row>
    <row r="4045" spans="1:1" ht="13.15" customHeight="1" x14ac:dyDescent="0.2">
      <c r="A4045" s="103"/>
    </row>
    <row r="4046" spans="1:1" ht="13.15" customHeight="1" x14ac:dyDescent="0.2">
      <c r="A4046" s="103"/>
    </row>
    <row r="4047" spans="1:1" ht="13.15" customHeight="1" x14ac:dyDescent="0.2">
      <c r="A4047" s="103"/>
    </row>
    <row r="4048" spans="1:1" ht="13.15" customHeight="1" x14ac:dyDescent="0.2">
      <c r="A4048" s="103"/>
    </row>
    <row r="4049" spans="1:1" ht="13.15" customHeight="1" x14ac:dyDescent="0.2">
      <c r="A4049" s="103"/>
    </row>
    <row r="4050" spans="1:1" ht="13.15" customHeight="1" x14ac:dyDescent="0.2">
      <c r="A4050" s="103"/>
    </row>
    <row r="4051" spans="1:1" ht="13.15" customHeight="1" x14ac:dyDescent="0.2">
      <c r="A4051" s="103"/>
    </row>
    <row r="4052" spans="1:1" ht="13.15" customHeight="1" x14ac:dyDescent="0.2">
      <c r="A4052" s="103"/>
    </row>
    <row r="4053" spans="1:1" ht="13.15" customHeight="1" x14ac:dyDescent="0.2">
      <c r="A4053" s="103"/>
    </row>
    <row r="4054" spans="1:1" ht="13.15" customHeight="1" x14ac:dyDescent="0.2">
      <c r="A4054" s="103"/>
    </row>
    <row r="4055" spans="1:1" ht="13.15" customHeight="1" x14ac:dyDescent="0.2">
      <c r="A4055" s="103"/>
    </row>
    <row r="4056" spans="1:1" ht="13.15" customHeight="1" x14ac:dyDescent="0.2">
      <c r="A4056" s="103"/>
    </row>
    <row r="4057" spans="1:1" ht="13.15" customHeight="1" x14ac:dyDescent="0.2">
      <c r="A4057" s="103"/>
    </row>
    <row r="4058" spans="1:1" ht="13.15" customHeight="1" x14ac:dyDescent="0.2">
      <c r="A4058" s="103"/>
    </row>
    <row r="4059" spans="1:1" ht="13.15" customHeight="1" x14ac:dyDescent="0.2">
      <c r="A4059" s="103"/>
    </row>
    <row r="4060" spans="1:1" ht="13.15" customHeight="1" x14ac:dyDescent="0.2">
      <c r="A4060" s="103"/>
    </row>
    <row r="4061" spans="1:1" ht="13.15" customHeight="1" x14ac:dyDescent="0.2">
      <c r="A4061" s="103"/>
    </row>
    <row r="4062" spans="1:1" ht="13.15" customHeight="1" x14ac:dyDescent="0.2">
      <c r="A4062" s="103"/>
    </row>
    <row r="4063" spans="1:1" ht="13.15" customHeight="1" x14ac:dyDescent="0.2">
      <c r="A4063" s="103"/>
    </row>
    <row r="4064" spans="1:1" ht="13.15" customHeight="1" x14ac:dyDescent="0.2">
      <c r="A4064" s="103"/>
    </row>
    <row r="4065" spans="1:1" ht="13.15" customHeight="1" x14ac:dyDescent="0.2">
      <c r="A4065" s="103"/>
    </row>
    <row r="4066" spans="1:1" ht="13.15" customHeight="1" x14ac:dyDescent="0.2">
      <c r="A4066" s="103"/>
    </row>
    <row r="4067" spans="1:1" ht="13.15" customHeight="1" x14ac:dyDescent="0.2">
      <c r="A4067" s="103"/>
    </row>
    <row r="4068" spans="1:1" ht="13.15" customHeight="1" x14ac:dyDescent="0.2">
      <c r="A4068" s="103"/>
    </row>
    <row r="4069" spans="1:1" ht="13.15" customHeight="1" x14ac:dyDescent="0.2">
      <c r="A4069" s="103"/>
    </row>
    <row r="4070" spans="1:1" ht="13.15" customHeight="1" x14ac:dyDescent="0.2">
      <c r="A4070" s="103"/>
    </row>
    <row r="4071" spans="1:1" ht="13.15" customHeight="1" x14ac:dyDescent="0.2">
      <c r="A4071" s="103"/>
    </row>
    <row r="4072" spans="1:1" ht="13.15" customHeight="1" x14ac:dyDescent="0.2">
      <c r="A4072" s="103"/>
    </row>
    <row r="4073" spans="1:1" ht="13.15" customHeight="1" x14ac:dyDescent="0.2">
      <c r="A4073" s="103"/>
    </row>
    <row r="4074" spans="1:1" ht="13.15" customHeight="1" x14ac:dyDescent="0.2">
      <c r="A4074" s="103"/>
    </row>
    <row r="4075" spans="1:1" ht="13.15" customHeight="1" x14ac:dyDescent="0.2">
      <c r="A4075" s="103"/>
    </row>
    <row r="4076" spans="1:1" ht="13.15" customHeight="1" x14ac:dyDescent="0.2">
      <c r="A4076" s="103"/>
    </row>
    <row r="4077" spans="1:1" ht="13.15" customHeight="1" x14ac:dyDescent="0.2">
      <c r="A4077" s="103"/>
    </row>
    <row r="4078" spans="1:1" ht="13.15" customHeight="1" x14ac:dyDescent="0.2">
      <c r="A4078" s="103"/>
    </row>
    <row r="4079" spans="1:1" ht="13.15" customHeight="1" x14ac:dyDescent="0.2">
      <c r="A4079" s="103"/>
    </row>
    <row r="4080" spans="1:1" ht="13.15" customHeight="1" x14ac:dyDescent="0.2">
      <c r="A4080" s="103"/>
    </row>
    <row r="4081" spans="1:1" ht="13.15" customHeight="1" x14ac:dyDescent="0.2">
      <c r="A4081" s="103"/>
    </row>
    <row r="4082" spans="1:1" ht="13.15" customHeight="1" x14ac:dyDescent="0.2">
      <c r="A4082" s="103"/>
    </row>
    <row r="4083" spans="1:1" ht="13.15" customHeight="1" x14ac:dyDescent="0.2">
      <c r="A4083" s="103"/>
    </row>
    <row r="4084" spans="1:1" ht="13.15" customHeight="1" x14ac:dyDescent="0.2">
      <c r="A4084" s="103"/>
    </row>
    <row r="4085" spans="1:1" ht="13.15" customHeight="1" x14ac:dyDescent="0.2">
      <c r="A4085" s="103"/>
    </row>
    <row r="4086" spans="1:1" ht="13.15" customHeight="1" x14ac:dyDescent="0.2">
      <c r="A4086" s="103"/>
    </row>
    <row r="4087" spans="1:1" ht="13.15" customHeight="1" x14ac:dyDescent="0.2">
      <c r="A4087" s="103"/>
    </row>
    <row r="4088" spans="1:1" ht="13.15" customHeight="1" x14ac:dyDescent="0.2">
      <c r="A4088" s="103"/>
    </row>
    <row r="4089" spans="1:1" ht="13.15" customHeight="1" x14ac:dyDescent="0.2">
      <c r="A4089" s="103"/>
    </row>
    <row r="4090" spans="1:1" ht="13.15" customHeight="1" x14ac:dyDescent="0.2">
      <c r="A4090" s="103"/>
    </row>
    <row r="4091" spans="1:1" ht="13.15" customHeight="1" x14ac:dyDescent="0.2">
      <c r="A4091" s="103"/>
    </row>
    <row r="4092" spans="1:1" ht="13.15" customHeight="1" x14ac:dyDescent="0.2">
      <c r="A4092" s="103"/>
    </row>
    <row r="4093" spans="1:1" ht="13.15" customHeight="1" x14ac:dyDescent="0.2">
      <c r="A4093" s="103"/>
    </row>
    <row r="4094" spans="1:1" ht="13.15" customHeight="1" x14ac:dyDescent="0.2">
      <c r="A4094" s="103"/>
    </row>
    <row r="4095" spans="1:1" ht="13.15" customHeight="1" x14ac:dyDescent="0.2">
      <c r="A4095" s="103"/>
    </row>
    <row r="4096" spans="1:1" ht="13.15" customHeight="1" x14ac:dyDescent="0.2">
      <c r="A4096" s="103"/>
    </row>
    <row r="4097" spans="1:1" ht="13.15" customHeight="1" x14ac:dyDescent="0.2">
      <c r="A4097" s="103"/>
    </row>
    <row r="4098" spans="1:1" ht="13.15" customHeight="1" x14ac:dyDescent="0.2">
      <c r="A4098" s="103"/>
    </row>
    <row r="4099" spans="1:1" ht="13.15" customHeight="1" x14ac:dyDescent="0.2">
      <c r="A4099" s="103"/>
    </row>
    <row r="4100" spans="1:1" ht="13.15" customHeight="1" x14ac:dyDescent="0.2">
      <c r="A4100" s="103"/>
    </row>
    <row r="4101" spans="1:1" ht="13.15" customHeight="1" x14ac:dyDescent="0.2">
      <c r="A4101" s="103"/>
    </row>
    <row r="4102" spans="1:1" ht="13.15" customHeight="1" x14ac:dyDescent="0.2">
      <c r="A4102" s="103"/>
    </row>
    <row r="4103" spans="1:1" ht="13.15" customHeight="1" x14ac:dyDescent="0.2">
      <c r="A4103" s="103"/>
    </row>
    <row r="4104" spans="1:1" ht="13.15" customHeight="1" x14ac:dyDescent="0.2">
      <c r="A4104" s="103"/>
    </row>
    <row r="4105" spans="1:1" ht="13.15" customHeight="1" x14ac:dyDescent="0.2">
      <c r="A4105" s="103"/>
    </row>
    <row r="4106" spans="1:1" ht="13.15" customHeight="1" x14ac:dyDescent="0.2">
      <c r="A4106" s="103"/>
    </row>
    <row r="4107" spans="1:1" ht="13.15" customHeight="1" x14ac:dyDescent="0.2">
      <c r="A4107" s="103"/>
    </row>
    <row r="4108" spans="1:1" ht="13.15" customHeight="1" x14ac:dyDescent="0.2">
      <c r="A4108" s="103"/>
    </row>
    <row r="4109" spans="1:1" ht="13.15" customHeight="1" x14ac:dyDescent="0.2">
      <c r="A4109" s="103"/>
    </row>
    <row r="4110" spans="1:1" ht="13.15" customHeight="1" x14ac:dyDescent="0.2">
      <c r="A4110" s="103"/>
    </row>
    <row r="4111" spans="1:1" ht="13.15" customHeight="1" x14ac:dyDescent="0.2">
      <c r="A4111" s="103"/>
    </row>
    <row r="4112" spans="1:1" ht="13.15" customHeight="1" x14ac:dyDescent="0.2">
      <c r="A4112" s="103"/>
    </row>
    <row r="4113" spans="1:1" ht="13.15" customHeight="1" x14ac:dyDescent="0.2">
      <c r="A4113" s="103"/>
    </row>
    <row r="4114" spans="1:1" ht="13.15" customHeight="1" x14ac:dyDescent="0.2">
      <c r="A4114" s="103"/>
    </row>
    <row r="4115" spans="1:1" ht="13.15" customHeight="1" x14ac:dyDescent="0.2">
      <c r="A4115" s="103"/>
    </row>
    <row r="4116" spans="1:1" ht="13.15" customHeight="1" x14ac:dyDescent="0.2">
      <c r="A4116" s="103"/>
    </row>
    <row r="4117" spans="1:1" ht="13.15" customHeight="1" x14ac:dyDescent="0.2">
      <c r="A4117" s="103"/>
    </row>
    <row r="4118" spans="1:1" ht="13.15" customHeight="1" x14ac:dyDescent="0.2">
      <c r="A4118" s="103"/>
    </row>
    <row r="4119" spans="1:1" ht="13.15" customHeight="1" x14ac:dyDescent="0.2">
      <c r="A4119" s="103"/>
    </row>
    <row r="4120" spans="1:1" ht="13.15" customHeight="1" x14ac:dyDescent="0.2">
      <c r="A4120" s="103"/>
    </row>
    <row r="4121" spans="1:1" ht="13.15" customHeight="1" x14ac:dyDescent="0.2">
      <c r="A4121" s="103"/>
    </row>
    <row r="4122" spans="1:1" ht="13.15" customHeight="1" x14ac:dyDescent="0.2">
      <c r="A4122" s="103"/>
    </row>
    <row r="4123" spans="1:1" ht="13.15" customHeight="1" x14ac:dyDescent="0.2">
      <c r="A4123" s="103"/>
    </row>
    <row r="4124" spans="1:1" ht="13.15" customHeight="1" x14ac:dyDescent="0.2">
      <c r="A4124" s="103"/>
    </row>
    <row r="4125" spans="1:1" ht="13.15" customHeight="1" x14ac:dyDescent="0.2">
      <c r="A4125" s="103"/>
    </row>
    <row r="4126" spans="1:1" ht="13.15" customHeight="1" x14ac:dyDescent="0.2">
      <c r="A4126" s="103"/>
    </row>
    <row r="4127" spans="1:1" ht="13.15" customHeight="1" x14ac:dyDescent="0.2">
      <c r="A4127" s="103"/>
    </row>
    <row r="4128" spans="1:1" ht="13.15" customHeight="1" x14ac:dyDescent="0.2">
      <c r="A4128" s="103"/>
    </row>
    <row r="4129" spans="1:1" ht="13.15" customHeight="1" x14ac:dyDescent="0.2">
      <c r="A4129" s="103"/>
    </row>
    <row r="4130" spans="1:1" ht="13.15" customHeight="1" x14ac:dyDescent="0.2">
      <c r="A4130" s="103"/>
    </row>
    <row r="4131" spans="1:1" ht="13.15" customHeight="1" x14ac:dyDescent="0.2">
      <c r="A4131" s="103"/>
    </row>
    <row r="4132" spans="1:1" ht="13.15" customHeight="1" x14ac:dyDescent="0.2">
      <c r="A4132" s="103"/>
    </row>
    <row r="4133" spans="1:1" ht="13.15" customHeight="1" x14ac:dyDescent="0.2">
      <c r="A4133" s="103"/>
    </row>
    <row r="4134" spans="1:1" ht="13.15" customHeight="1" x14ac:dyDescent="0.2">
      <c r="A4134" s="103"/>
    </row>
    <row r="4135" spans="1:1" ht="13.15" customHeight="1" x14ac:dyDescent="0.2">
      <c r="A4135" s="103"/>
    </row>
    <row r="4136" spans="1:1" ht="13.15" customHeight="1" x14ac:dyDescent="0.2">
      <c r="A4136" s="103"/>
    </row>
    <row r="4137" spans="1:1" ht="13.15" customHeight="1" x14ac:dyDescent="0.2">
      <c r="A4137" s="103"/>
    </row>
    <row r="4138" spans="1:1" ht="13.15" customHeight="1" x14ac:dyDescent="0.2">
      <c r="A4138" s="103"/>
    </row>
    <row r="4139" spans="1:1" ht="13.15" customHeight="1" x14ac:dyDescent="0.2">
      <c r="A4139" s="103"/>
    </row>
    <row r="4140" spans="1:1" ht="13.15" customHeight="1" x14ac:dyDescent="0.2">
      <c r="A4140" s="103"/>
    </row>
    <row r="4141" spans="1:1" ht="13.15" customHeight="1" x14ac:dyDescent="0.2">
      <c r="A4141" s="103"/>
    </row>
    <row r="4142" spans="1:1" ht="13.15" customHeight="1" x14ac:dyDescent="0.2">
      <c r="A4142" s="103"/>
    </row>
    <row r="4143" spans="1:1" ht="13.15" customHeight="1" x14ac:dyDescent="0.2">
      <c r="A4143" s="103"/>
    </row>
    <row r="4144" spans="1:1" ht="13.15" customHeight="1" x14ac:dyDescent="0.2">
      <c r="A4144" s="103"/>
    </row>
    <row r="4145" spans="1:1" ht="13.15" customHeight="1" x14ac:dyDescent="0.2">
      <c r="A4145" s="103"/>
    </row>
    <row r="4146" spans="1:1" ht="13.15" customHeight="1" x14ac:dyDescent="0.2">
      <c r="A4146" s="103"/>
    </row>
    <row r="4147" spans="1:1" ht="13.15" customHeight="1" x14ac:dyDescent="0.2">
      <c r="A4147" s="103"/>
    </row>
    <row r="4148" spans="1:1" ht="13.15" customHeight="1" x14ac:dyDescent="0.2">
      <c r="A4148" s="103"/>
    </row>
    <row r="4149" spans="1:1" ht="13.15" customHeight="1" x14ac:dyDescent="0.2">
      <c r="A4149" s="103"/>
    </row>
    <row r="4150" spans="1:1" ht="13.15" customHeight="1" x14ac:dyDescent="0.2">
      <c r="A4150" s="103"/>
    </row>
    <row r="4151" spans="1:1" ht="13.15" customHeight="1" x14ac:dyDescent="0.2">
      <c r="A4151" s="103"/>
    </row>
    <row r="4152" spans="1:1" ht="13.15" customHeight="1" x14ac:dyDescent="0.2">
      <c r="A4152" s="103"/>
    </row>
    <row r="4153" spans="1:1" ht="13.15" customHeight="1" x14ac:dyDescent="0.2">
      <c r="A4153" s="103"/>
    </row>
    <row r="4154" spans="1:1" ht="13.15" customHeight="1" x14ac:dyDescent="0.2">
      <c r="A4154" s="103"/>
    </row>
    <row r="4155" spans="1:1" ht="13.15" customHeight="1" x14ac:dyDescent="0.2">
      <c r="A4155" s="103"/>
    </row>
    <row r="4156" spans="1:1" ht="13.15" customHeight="1" x14ac:dyDescent="0.2">
      <c r="A4156" s="103"/>
    </row>
    <row r="4157" spans="1:1" ht="13.15" customHeight="1" x14ac:dyDescent="0.2">
      <c r="A4157" s="103"/>
    </row>
    <row r="4158" spans="1:1" ht="13.15" customHeight="1" x14ac:dyDescent="0.2">
      <c r="A4158" s="103"/>
    </row>
    <row r="4159" spans="1:1" ht="13.15" customHeight="1" x14ac:dyDescent="0.2">
      <c r="A4159" s="103"/>
    </row>
    <row r="4160" spans="1:1" ht="13.15" customHeight="1" x14ac:dyDescent="0.2">
      <c r="A4160" s="103"/>
    </row>
    <row r="4161" spans="1:1" ht="13.15" customHeight="1" x14ac:dyDescent="0.2">
      <c r="A4161" s="103"/>
    </row>
    <row r="4162" spans="1:1" ht="13.15" customHeight="1" x14ac:dyDescent="0.2">
      <c r="A4162" s="103"/>
    </row>
    <row r="4163" spans="1:1" ht="13.15" customHeight="1" x14ac:dyDescent="0.2">
      <c r="A4163" s="103"/>
    </row>
    <row r="4164" spans="1:1" ht="13.15" customHeight="1" x14ac:dyDescent="0.2">
      <c r="A4164" s="103"/>
    </row>
    <row r="4165" spans="1:1" ht="13.15" customHeight="1" x14ac:dyDescent="0.2">
      <c r="A4165" s="103"/>
    </row>
    <row r="4166" spans="1:1" ht="13.15" customHeight="1" x14ac:dyDescent="0.2">
      <c r="A4166" s="103"/>
    </row>
    <row r="4167" spans="1:1" ht="13.15" customHeight="1" x14ac:dyDescent="0.2">
      <c r="A4167" s="103"/>
    </row>
    <row r="4168" spans="1:1" ht="13.15" customHeight="1" x14ac:dyDescent="0.2">
      <c r="A4168" s="103"/>
    </row>
    <row r="4169" spans="1:1" ht="13.15" customHeight="1" x14ac:dyDescent="0.2">
      <c r="A4169" s="103"/>
    </row>
    <row r="4170" spans="1:1" ht="13.15" customHeight="1" x14ac:dyDescent="0.2">
      <c r="A4170" s="103"/>
    </row>
    <row r="4171" spans="1:1" ht="13.15" customHeight="1" x14ac:dyDescent="0.2">
      <c r="A4171" s="103"/>
    </row>
    <row r="4172" spans="1:1" ht="13.15" customHeight="1" x14ac:dyDescent="0.2">
      <c r="A4172" s="103"/>
    </row>
    <row r="4173" spans="1:1" ht="13.15" customHeight="1" x14ac:dyDescent="0.2">
      <c r="A4173" s="103"/>
    </row>
    <row r="4174" spans="1:1" ht="13.15" customHeight="1" x14ac:dyDescent="0.2">
      <c r="A4174" s="103"/>
    </row>
    <row r="4175" spans="1:1" ht="13.15" customHeight="1" x14ac:dyDescent="0.2">
      <c r="A4175" s="103"/>
    </row>
    <row r="4176" spans="1:1" ht="13.15" customHeight="1" x14ac:dyDescent="0.2">
      <c r="A4176" s="103"/>
    </row>
    <row r="4177" spans="1:1" ht="13.15" customHeight="1" x14ac:dyDescent="0.2">
      <c r="A4177" s="103"/>
    </row>
    <row r="4178" spans="1:1" ht="13.15" customHeight="1" x14ac:dyDescent="0.2">
      <c r="A4178" s="103"/>
    </row>
    <row r="4179" spans="1:1" ht="13.15" customHeight="1" x14ac:dyDescent="0.2">
      <c r="A4179" s="103"/>
    </row>
    <row r="4180" spans="1:1" ht="13.15" customHeight="1" x14ac:dyDescent="0.2">
      <c r="A4180" s="103"/>
    </row>
    <row r="4181" spans="1:1" ht="13.15" customHeight="1" x14ac:dyDescent="0.2">
      <c r="A4181" s="103"/>
    </row>
    <row r="4182" spans="1:1" ht="13.15" customHeight="1" x14ac:dyDescent="0.2">
      <c r="A4182" s="103"/>
    </row>
    <row r="4183" spans="1:1" ht="13.15" customHeight="1" x14ac:dyDescent="0.2">
      <c r="A4183" s="103"/>
    </row>
    <row r="4184" spans="1:1" ht="13.15" customHeight="1" x14ac:dyDescent="0.2">
      <c r="A4184" s="103"/>
    </row>
    <row r="4185" spans="1:1" ht="13.15" customHeight="1" x14ac:dyDescent="0.2">
      <c r="A4185" s="103"/>
    </row>
    <row r="4186" spans="1:1" ht="13.15" customHeight="1" x14ac:dyDescent="0.2">
      <c r="A4186" s="103"/>
    </row>
    <row r="4187" spans="1:1" ht="13.15" customHeight="1" x14ac:dyDescent="0.2">
      <c r="A4187" s="103"/>
    </row>
    <row r="4188" spans="1:1" ht="13.15" customHeight="1" x14ac:dyDescent="0.2">
      <c r="A4188" s="103"/>
    </row>
    <row r="4189" spans="1:1" ht="13.15" customHeight="1" x14ac:dyDescent="0.2">
      <c r="A4189" s="103"/>
    </row>
    <row r="4190" spans="1:1" ht="13.15" customHeight="1" x14ac:dyDescent="0.2">
      <c r="A4190" s="103"/>
    </row>
    <row r="4191" spans="1:1" ht="13.15" customHeight="1" x14ac:dyDescent="0.2">
      <c r="A4191" s="103"/>
    </row>
    <row r="4192" spans="1:1" ht="13.15" customHeight="1" x14ac:dyDescent="0.2">
      <c r="A4192" s="103"/>
    </row>
    <row r="4193" spans="1:1" ht="13.15" customHeight="1" x14ac:dyDescent="0.2">
      <c r="A4193" s="103"/>
    </row>
    <row r="4194" spans="1:1" ht="13.15" customHeight="1" x14ac:dyDescent="0.2">
      <c r="A4194" s="103"/>
    </row>
    <row r="4195" spans="1:1" ht="13.15" customHeight="1" x14ac:dyDescent="0.2">
      <c r="A4195" s="103"/>
    </row>
    <row r="4196" spans="1:1" ht="13.15" customHeight="1" x14ac:dyDescent="0.2">
      <c r="A4196" s="103"/>
    </row>
    <row r="4197" spans="1:1" ht="13.15" customHeight="1" x14ac:dyDescent="0.2">
      <c r="A4197" s="103"/>
    </row>
    <row r="4198" spans="1:1" ht="13.15" customHeight="1" x14ac:dyDescent="0.2">
      <c r="A4198" s="103"/>
    </row>
    <row r="4199" spans="1:1" ht="13.15" customHeight="1" x14ac:dyDescent="0.2">
      <c r="A4199" s="103"/>
    </row>
    <row r="4200" spans="1:1" ht="13.15" customHeight="1" x14ac:dyDescent="0.2">
      <c r="A4200" s="103"/>
    </row>
    <row r="4201" spans="1:1" ht="13.15" customHeight="1" x14ac:dyDescent="0.2">
      <c r="A4201" s="103"/>
    </row>
    <row r="4202" spans="1:1" ht="13.15" customHeight="1" x14ac:dyDescent="0.2">
      <c r="A4202" s="103"/>
    </row>
    <row r="4203" spans="1:1" ht="13.15" customHeight="1" x14ac:dyDescent="0.2">
      <c r="A4203" s="103"/>
    </row>
    <row r="4204" spans="1:1" ht="13.15" customHeight="1" x14ac:dyDescent="0.2">
      <c r="A4204" s="103"/>
    </row>
    <row r="4205" spans="1:1" ht="13.15" customHeight="1" x14ac:dyDescent="0.2">
      <c r="A4205" s="103"/>
    </row>
    <row r="4206" spans="1:1" ht="13.15" customHeight="1" x14ac:dyDescent="0.2">
      <c r="A4206" s="103"/>
    </row>
    <row r="4207" spans="1:1" ht="13.15" customHeight="1" x14ac:dyDescent="0.2">
      <c r="A4207" s="103"/>
    </row>
    <row r="4208" spans="1:1" ht="13.15" customHeight="1" x14ac:dyDescent="0.2">
      <c r="A4208" s="103"/>
    </row>
    <row r="4209" spans="1:1" ht="13.15" customHeight="1" x14ac:dyDescent="0.2">
      <c r="A4209" s="103"/>
    </row>
    <row r="4210" spans="1:1" ht="13.15" customHeight="1" x14ac:dyDescent="0.2">
      <c r="A4210" s="103"/>
    </row>
    <row r="4211" spans="1:1" ht="13.15" customHeight="1" x14ac:dyDescent="0.2">
      <c r="A4211" s="103"/>
    </row>
    <row r="4212" spans="1:1" ht="13.15" customHeight="1" x14ac:dyDescent="0.2">
      <c r="A4212" s="103"/>
    </row>
    <row r="4213" spans="1:1" ht="13.15" customHeight="1" x14ac:dyDescent="0.2">
      <c r="A4213" s="103"/>
    </row>
    <row r="4214" spans="1:1" ht="13.15" customHeight="1" x14ac:dyDescent="0.2">
      <c r="A4214" s="103"/>
    </row>
    <row r="4215" spans="1:1" ht="13.15" customHeight="1" x14ac:dyDescent="0.2">
      <c r="A4215" s="103"/>
    </row>
    <row r="4216" spans="1:1" ht="13.15" customHeight="1" x14ac:dyDescent="0.2">
      <c r="A4216" s="103"/>
    </row>
    <row r="4217" spans="1:1" ht="13.15" customHeight="1" x14ac:dyDescent="0.2">
      <c r="A4217" s="103"/>
    </row>
    <row r="4218" spans="1:1" ht="13.15" customHeight="1" x14ac:dyDescent="0.2">
      <c r="A4218" s="103"/>
    </row>
    <row r="4219" spans="1:1" ht="13.15" customHeight="1" x14ac:dyDescent="0.2">
      <c r="A4219" s="103"/>
    </row>
    <row r="4220" spans="1:1" ht="13.15" customHeight="1" x14ac:dyDescent="0.2">
      <c r="A4220" s="103"/>
    </row>
    <row r="4221" spans="1:1" ht="13.15" customHeight="1" x14ac:dyDescent="0.2">
      <c r="A4221" s="103"/>
    </row>
    <row r="4222" spans="1:1" ht="13.15" customHeight="1" x14ac:dyDescent="0.2">
      <c r="A4222" s="103"/>
    </row>
    <row r="4223" spans="1:1" ht="13.15" customHeight="1" x14ac:dyDescent="0.2">
      <c r="A4223" s="103"/>
    </row>
    <row r="4224" spans="1:1" ht="13.15" customHeight="1" x14ac:dyDescent="0.2">
      <c r="A4224" s="103"/>
    </row>
    <row r="4225" spans="1:1" ht="13.15" customHeight="1" x14ac:dyDescent="0.2">
      <c r="A4225" s="103"/>
    </row>
    <row r="4226" spans="1:1" ht="13.15" customHeight="1" x14ac:dyDescent="0.2">
      <c r="A4226" s="103"/>
    </row>
    <row r="4227" spans="1:1" ht="13.15" customHeight="1" x14ac:dyDescent="0.2">
      <c r="A4227" s="103"/>
    </row>
    <row r="4228" spans="1:1" ht="13.15" customHeight="1" x14ac:dyDescent="0.2">
      <c r="A4228" s="103"/>
    </row>
    <row r="4229" spans="1:1" ht="13.15" customHeight="1" x14ac:dyDescent="0.2">
      <c r="A4229" s="103"/>
    </row>
    <row r="4230" spans="1:1" ht="13.15" customHeight="1" x14ac:dyDescent="0.2">
      <c r="A4230" s="103"/>
    </row>
    <row r="4231" spans="1:1" ht="13.15" customHeight="1" x14ac:dyDescent="0.2">
      <c r="A4231" s="103"/>
    </row>
    <row r="4232" spans="1:1" ht="13.15" customHeight="1" x14ac:dyDescent="0.2">
      <c r="A4232" s="103"/>
    </row>
    <row r="4233" spans="1:1" ht="13.15" customHeight="1" x14ac:dyDescent="0.2">
      <c r="A4233" s="103"/>
    </row>
    <row r="4234" spans="1:1" ht="13.15" customHeight="1" x14ac:dyDescent="0.2">
      <c r="A4234" s="103"/>
    </row>
    <row r="4235" spans="1:1" ht="13.15" customHeight="1" x14ac:dyDescent="0.2">
      <c r="A4235" s="103"/>
    </row>
    <row r="4236" spans="1:1" ht="13.15" customHeight="1" x14ac:dyDescent="0.2">
      <c r="A4236" s="103"/>
    </row>
    <row r="4237" spans="1:1" ht="13.15" customHeight="1" x14ac:dyDescent="0.2">
      <c r="A4237" s="103"/>
    </row>
    <row r="4238" spans="1:1" ht="13.15" customHeight="1" x14ac:dyDescent="0.2">
      <c r="A4238" s="103"/>
    </row>
    <row r="4239" spans="1:1" ht="13.15" customHeight="1" x14ac:dyDescent="0.2">
      <c r="A4239" s="103"/>
    </row>
    <row r="4240" spans="1:1" ht="13.15" customHeight="1" x14ac:dyDescent="0.2">
      <c r="A4240" s="103"/>
    </row>
    <row r="4241" spans="1:1" ht="13.15" customHeight="1" x14ac:dyDescent="0.2">
      <c r="A4241" s="103"/>
    </row>
    <row r="4242" spans="1:1" ht="13.15" customHeight="1" x14ac:dyDescent="0.2">
      <c r="A4242" s="103"/>
    </row>
    <row r="4243" spans="1:1" ht="13.15" customHeight="1" x14ac:dyDescent="0.2">
      <c r="A4243" s="103"/>
    </row>
    <row r="4244" spans="1:1" ht="13.15" customHeight="1" x14ac:dyDescent="0.2">
      <c r="A4244" s="103"/>
    </row>
    <row r="4245" spans="1:1" ht="13.15" customHeight="1" x14ac:dyDescent="0.2">
      <c r="A4245" s="103"/>
    </row>
    <row r="4246" spans="1:1" ht="13.15" customHeight="1" x14ac:dyDescent="0.2">
      <c r="A4246" s="103"/>
    </row>
    <row r="4247" spans="1:1" ht="13.15" customHeight="1" x14ac:dyDescent="0.2">
      <c r="A4247" s="103"/>
    </row>
    <row r="4248" spans="1:1" ht="13.15" customHeight="1" x14ac:dyDescent="0.2">
      <c r="A4248" s="103"/>
    </row>
    <row r="4249" spans="1:1" ht="13.15" customHeight="1" x14ac:dyDescent="0.2">
      <c r="A4249" s="103"/>
    </row>
    <row r="4250" spans="1:1" ht="13.15" customHeight="1" x14ac:dyDescent="0.2">
      <c r="A4250" s="103"/>
    </row>
    <row r="4251" spans="1:1" ht="13.15" customHeight="1" x14ac:dyDescent="0.2">
      <c r="A4251" s="103"/>
    </row>
    <row r="4252" spans="1:1" ht="13.15" customHeight="1" x14ac:dyDescent="0.2">
      <c r="A4252" s="103"/>
    </row>
    <row r="4253" spans="1:1" ht="13.15" customHeight="1" x14ac:dyDescent="0.2">
      <c r="A4253" s="103"/>
    </row>
    <row r="4254" spans="1:1" ht="13.15" customHeight="1" x14ac:dyDescent="0.2">
      <c r="A4254" s="103"/>
    </row>
    <row r="4255" spans="1:1" ht="13.15" customHeight="1" x14ac:dyDescent="0.2">
      <c r="A4255" s="103"/>
    </row>
    <row r="4256" spans="1:1" ht="13.15" customHeight="1" x14ac:dyDescent="0.2">
      <c r="A4256" s="103"/>
    </row>
    <row r="4257" spans="1:1" ht="13.15" customHeight="1" x14ac:dyDescent="0.2">
      <c r="A4257" s="103"/>
    </row>
    <row r="4258" spans="1:1" ht="13.15" customHeight="1" x14ac:dyDescent="0.2">
      <c r="A4258" s="103"/>
    </row>
    <row r="4259" spans="1:1" ht="13.15" customHeight="1" x14ac:dyDescent="0.2">
      <c r="A4259" s="103"/>
    </row>
    <row r="4260" spans="1:1" ht="13.15" customHeight="1" x14ac:dyDescent="0.2">
      <c r="A4260" s="103"/>
    </row>
    <row r="4261" spans="1:1" ht="13.15" customHeight="1" x14ac:dyDescent="0.2">
      <c r="A4261" s="103"/>
    </row>
    <row r="4262" spans="1:1" ht="13.15" customHeight="1" x14ac:dyDescent="0.2">
      <c r="A4262" s="103"/>
    </row>
    <row r="4263" spans="1:1" ht="13.15" customHeight="1" x14ac:dyDescent="0.2">
      <c r="A4263" s="103"/>
    </row>
    <row r="4264" spans="1:1" ht="13.15" customHeight="1" x14ac:dyDescent="0.2">
      <c r="A4264" s="103"/>
    </row>
    <row r="4265" spans="1:1" ht="13.15" customHeight="1" x14ac:dyDescent="0.2">
      <c r="A4265" s="103"/>
    </row>
    <row r="4266" spans="1:1" ht="13.15" customHeight="1" x14ac:dyDescent="0.2">
      <c r="A4266" s="103"/>
    </row>
    <row r="4267" spans="1:1" ht="13.15" customHeight="1" x14ac:dyDescent="0.2">
      <c r="A4267" s="103"/>
    </row>
    <row r="4268" spans="1:1" ht="13.15" customHeight="1" x14ac:dyDescent="0.2">
      <c r="A4268" s="103"/>
    </row>
    <row r="4269" spans="1:1" ht="13.15" customHeight="1" x14ac:dyDescent="0.2">
      <c r="A4269" s="103"/>
    </row>
    <row r="4270" spans="1:1" ht="13.15" customHeight="1" x14ac:dyDescent="0.2">
      <c r="A4270" s="103"/>
    </row>
    <row r="4271" spans="1:1" ht="13.15" customHeight="1" x14ac:dyDescent="0.2">
      <c r="A4271" s="103"/>
    </row>
    <row r="4272" spans="1:1" ht="13.15" customHeight="1" x14ac:dyDescent="0.2">
      <c r="A4272" s="103"/>
    </row>
    <row r="4273" spans="1:1" ht="13.15" customHeight="1" x14ac:dyDescent="0.2">
      <c r="A4273" s="103"/>
    </row>
    <row r="4274" spans="1:1" ht="13.15" customHeight="1" x14ac:dyDescent="0.2">
      <c r="A4274" s="103"/>
    </row>
    <row r="4275" spans="1:1" ht="13.15" customHeight="1" x14ac:dyDescent="0.2">
      <c r="A4275" s="103"/>
    </row>
    <row r="4276" spans="1:1" ht="13.15" customHeight="1" x14ac:dyDescent="0.2">
      <c r="A4276" s="103"/>
    </row>
    <row r="4277" spans="1:1" ht="13.15" customHeight="1" x14ac:dyDescent="0.2">
      <c r="A4277" s="103"/>
    </row>
    <row r="4278" spans="1:1" ht="13.15" customHeight="1" x14ac:dyDescent="0.2">
      <c r="A4278" s="103"/>
    </row>
    <row r="4279" spans="1:1" ht="13.15" customHeight="1" x14ac:dyDescent="0.2">
      <c r="A4279" s="103"/>
    </row>
    <row r="4280" spans="1:1" ht="13.15" customHeight="1" x14ac:dyDescent="0.2">
      <c r="A4280" s="103"/>
    </row>
    <row r="4281" spans="1:1" ht="13.15" customHeight="1" x14ac:dyDescent="0.2">
      <c r="A4281" s="103"/>
    </row>
    <row r="4282" spans="1:1" ht="13.15" customHeight="1" x14ac:dyDescent="0.2">
      <c r="A4282" s="103"/>
    </row>
    <row r="4283" spans="1:1" ht="13.15" customHeight="1" x14ac:dyDescent="0.2">
      <c r="A4283" s="103"/>
    </row>
    <row r="4284" spans="1:1" ht="13.15" customHeight="1" x14ac:dyDescent="0.2">
      <c r="A4284" s="103"/>
    </row>
    <row r="4285" spans="1:1" ht="13.15" customHeight="1" x14ac:dyDescent="0.2">
      <c r="A4285" s="103"/>
    </row>
    <row r="4286" spans="1:1" ht="13.15" customHeight="1" x14ac:dyDescent="0.2">
      <c r="A4286" s="103"/>
    </row>
    <row r="4287" spans="1:1" ht="13.15" customHeight="1" x14ac:dyDescent="0.2">
      <c r="A4287" s="103"/>
    </row>
    <row r="4288" spans="1:1" ht="13.15" customHeight="1" x14ac:dyDescent="0.2">
      <c r="A4288" s="103"/>
    </row>
    <row r="4289" spans="1:1" ht="13.15" customHeight="1" x14ac:dyDescent="0.2">
      <c r="A4289" s="103"/>
    </row>
    <row r="4290" spans="1:1" ht="13.15" customHeight="1" x14ac:dyDescent="0.2">
      <c r="A4290" s="103"/>
    </row>
    <row r="4291" spans="1:1" ht="13.15" customHeight="1" x14ac:dyDescent="0.2">
      <c r="A4291" s="103"/>
    </row>
    <row r="4292" spans="1:1" ht="13.15" customHeight="1" x14ac:dyDescent="0.2">
      <c r="A4292" s="103"/>
    </row>
    <row r="4293" spans="1:1" ht="13.15" customHeight="1" x14ac:dyDescent="0.2">
      <c r="A4293" s="103"/>
    </row>
    <row r="4294" spans="1:1" ht="13.15" customHeight="1" x14ac:dyDescent="0.2">
      <c r="A4294" s="103"/>
    </row>
    <row r="4295" spans="1:1" ht="13.15" customHeight="1" x14ac:dyDescent="0.2">
      <c r="A4295" s="103"/>
    </row>
    <row r="4296" spans="1:1" ht="13.15" customHeight="1" x14ac:dyDescent="0.2">
      <c r="A4296" s="103"/>
    </row>
    <row r="4297" spans="1:1" ht="13.15" customHeight="1" x14ac:dyDescent="0.2">
      <c r="A4297" s="103"/>
    </row>
    <row r="4298" spans="1:1" ht="13.15" customHeight="1" x14ac:dyDescent="0.2">
      <c r="A4298" s="103"/>
    </row>
    <row r="4299" spans="1:1" ht="13.15" customHeight="1" x14ac:dyDescent="0.2">
      <c r="A4299" s="103"/>
    </row>
    <row r="4300" spans="1:1" ht="13.15" customHeight="1" x14ac:dyDescent="0.2">
      <c r="A4300" s="103"/>
    </row>
    <row r="4301" spans="1:1" ht="13.15" customHeight="1" x14ac:dyDescent="0.2">
      <c r="A4301" s="103"/>
    </row>
    <row r="4302" spans="1:1" ht="13.15" customHeight="1" x14ac:dyDescent="0.2">
      <c r="A4302" s="103"/>
    </row>
    <row r="4303" spans="1:1" ht="13.15" customHeight="1" x14ac:dyDescent="0.2">
      <c r="A4303" s="103"/>
    </row>
    <row r="4304" spans="1:1" ht="13.15" customHeight="1" x14ac:dyDescent="0.2">
      <c r="A4304" s="103"/>
    </row>
    <row r="4305" spans="1:1" ht="13.15" customHeight="1" x14ac:dyDescent="0.2">
      <c r="A4305" s="103"/>
    </row>
    <row r="4306" spans="1:1" ht="13.15" customHeight="1" x14ac:dyDescent="0.2">
      <c r="A4306" s="103"/>
    </row>
    <row r="4307" spans="1:1" ht="13.15" customHeight="1" x14ac:dyDescent="0.2">
      <c r="A4307" s="103"/>
    </row>
    <row r="4308" spans="1:1" ht="13.15" customHeight="1" x14ac:dyDescent="0.2">
      <c r="A4308" s="103"/>
    </row>
    <row r="4309" spans="1:1" ht="13.15" customHeight="1" x14ac:dyDescent="0.2">
      <c r="A4309" s="103"/>
    </row>
    <row r="4310" spans="1:1" ht="13.15" customHeight="1" x14ac:dyDescent="0.2">
      <c r="A4310" s="103"/>
    </row>
    <row r="4311" spans="1:1" ht="13.15" customHeight="1" x14ac:dyDescent="0.2">
      <c r="A4311" s="103"/>
    </row>
    <row r="4312" spans="1:1" ht="13.15" customHeight="1" x14ac:dyDescent="0.2">
      <c r="A4312" s="103"/>
    </row>
    <row r="4313" spans="1:1" ht="13.15" customHeight="1" x14ac:dyDescent="0.2">
      <c r="A4313" s="103"/>
    </row>
    <row r="4314" spans="1:1" ht="13.15" customHeight="1" x14ac:dyDescent="0.2">
      <c r="A4314" s="103"/>
    </row>
    <row r="4315" spans="1:1" ht="13.15" customHeight="1" x14ac:dyDescent="0.2">
      <c r="A4315" s="103"/>
    </row>
    <row r="4316" spans="1:1" ht="13.15" customHeight="1" x14ac:dyDescent="0.2">
      <c r="A4316" s="103"/>
    </row>
    <row r="4317" spans="1:1" ht="13.15" customHeight="1" x14ac:dyDescent="0.2">
      <c r="A4317" s="103"/>
    </row>
    <row r="4318" spans="1:1" ht="13.15" customHeight="1" x14ac:dyDescent="0.2">
      <c r="A4318" s="103"/>
    </row>
    <row r="4319" spans="1:1" ht="13.15" customHeight="1" x14ac:dyDescent="0.2">
      <c r="A4319" s="103"/>
    </row>
    <row r="4320" spans="1:1" ht="13.15" customHeight="1" x14ac:dyDescent="0.2">
      <c r="A4320" s="103"/>
    </row>
    <row r="4321" spans="1:1" ht="13.15" customHeight="1" x14ac:dyDescent="0.2">
      <c r="A4321" s="103"/>
    </row>
    <row r="4322" spans="1:1" ht="13.15" customHeight="1" x14ac:dyDescent="0.2">
      <c r="A4322" s="103"/>
    </row>
    <row r="4323" spans="1:1" ht="13.15" customHeight="1" x14ac:dyDescent="0.2">
      <c r="A4323" s="103"/>
    </row>
    <row r="4324" spans="1:1" ht="13.15" customHeight="1" x14ac:dyDescent="0.2">
      <c r="A4324" s="103"/>
    </row>
    <row r="4325" spans="1:1" ht="13.15" customHeight="1" x14ac:dyDescent="0.2">
      <c r="A4325" s="103"/>
    </row>
    <row r="4326" spans="1:1" ht="13.15" customHeight="1" x14ac:dyDescent="0.2">
      <c r="A4326" s="103"/>
    </row>
    <row r="4327" spans="1:1" ht="13.15" customHeight="1" x14ac:dyDescent="0.2">
      <c r="A4327" s="103"/>
    </row>
    <row r="4328" spans="1:1" ht="13.15" customHeight="1" x14ac:dyDescent="0.2">
      <c r="A4328" s="103"/>
    </row>
    <row r="4329" spans="1:1" ht="13.15" customHeight="1" x14ac:dyDescent="0.2">
      <c r="A4329" s="103"/>
    </row>
    <row r="4330" spans="1:1" ht="13.15" customHeight="1" x14ac:dyDescent="0.2">
      <c r="A4330" s="103"/>
    </row>
    <row r="4331" spans="1:1" ht="13.15" customHeight="1" x14ac:dyDescent="0.2">
      <c r="A4331" s="103"/>
    </row>
    <row r="4332" spans="1:1" ht="13.15" customHeight="1" x14ac:dyDescent="0.2">
      <c r="A4332" s="103"/>
    </row>
    <row r="4333" spans="1:1" ht="13.15" customHeight="1" x14ac:dyDescent="0.2">
      <c r="A4333" s="103"/>
    </row>
    <row r="4334" spans="1:1" ht="13.15" customHeight="1" x14ac:dyDescent="0.2">
      <c r="A4334" s="103"/>
    </row>
    <row r="4335" spans="1:1" ht="13.15" customHeight="1" x14ac:dyDescent="0.2">
      <c r="A4335" s="103"/>
    </row>
    <row r="4336" spans="1:1" ht="13.15" customHeight="1" x14ac:dyDescent="0.2">
      <c r="A4336" s="103"/>
    </row>
    <row r="4337" spans="1:1" ht="13.15" customHeight="1" x14ac:dyDescent="0.2">
      <c r="A4337" s="103"/>
    </row>
    <row r="4338" spans="1:1" ht="13.15" customHeight="1" x14ac:dyDescent="0.2">
      <c r="A4338" s="103"/>
    </row>
    <row r="4339" spans="1:1" ht="13.15" customHeight="1" x14ac:dyDescent="0.2">
      <c r="A4339" s="103"/>
    </row>
    <row r="4340" spans="1:1" ht="13.15" customHeight="1" x14ac:dyDescent="0.2">
      <c r="A4340" s="103"/>
    </row>
    <row r="4341" spans="1:1" ht="13.15" customHeight="1" x14ac:dyDescent="0.2">
      <c r="A4341" s="103"/>
    </row>
    <row r="4342" spans="1:1" ht="13.15" customHeight="1" x14ac:dyDescent="0.2">
      <c r="A4342" s="103"/>
    </row>
    <row r="4343" spans="1:1" ht="13.15" customHeight="1" x14ac:dyDescent="0.2">
      <c r="A4343" s="103"/>
    </row>
    <row r="4344" spans="1:1" ht="13.15" customHeight="1" x14ac:dyDescent="0.2">
      <c r="A4344" s="103"/>
    </row>
    <row r="4345" spans="1:1" ht="13.15" customHeight="1" x14ac:dyDescent="0.2">
      <c r="A4345" s="103"/>
    </row>
    <row r="4346" spans="1:1" ht="13.15" customHeight="1" x14ac:dyDescent="0.2">
      <c r="A4346" s="103"/>
    </row>
    <row r="4347" spans="1:1" ht="13.15" customHeight="1" x14ac:dyDescent="0.2">
      <c r="A4347" s="103"/>
    </row>
    <row r="4348" spans="1:1" ht="13.15" customHeight="1" x14ac:dyDescent="0.2">
      <c r="A4348" s="103"/>
    </row>
    <row r="4349" spans="1:1" ht="13.15" customHeight="1" x14ac:dyDescent="0.2">
      <c r="A4349" s="103"/>
    </row>
    <row r="4350" spans="1:1" ht="13.15" customHeight="1" x14ac:dyDescent="0.2">
      <c r="A4350" s="103"/>
    </row>
    <row r="4351" spans="1:1" ht="13.15" customHeight="1" x14ac:dyDescent="0.2">
      <c r="A4351" s="103"/>
    </row>
    <row r="4352" spans="1:1" ht="13.15" customHeight="1" x14ac:dyDescent="0.2">
      <c r="A4352" s="103"/>
    </row>
    <row r="4353" spans="1:1" ht="13.15" customHeight="1" x14ac:dyDescent="0.2">
      <c r="A4353" s="103"/>
    </row>
    <row r="4354" spans="1:1" ht="13.15" customHeight="1" x14ac:dyDescent="0.2">
      <c r="A4354" s="103"/>
    </row>
    <row r="4355" spans="1:1" ht="13.15" customHeight="1" x14ac:dyDescent="0.2">
      <c r="A4355" s="103"/>
    </row>
    <row r="4356" spans="1:1" ht="13.15" customHeight="1" x14ac:dyDescent="0.2">
      <c r="A4356" s="103"/>
    </row>
    <row r="4357" spans="1:1" ht="13.15" customHeight="1" x14ac:dyDescent="0.2">
      <c r="A4357" s="103"/>
    </row>
    <row r="4358" spans="1:1" ht="13.15" customHeight="1" x14ac:dyDescent="0.2">
      <c r="A4358" s="103"/>
    </row>
    <row r="4359" spans="1:1" ht="13.15" customHeight="1" x14ac:dyDescent="0.2">
      <c r="A4359" s="103"/>
    </row>
    <row r="4360" spans="1:1" ht="13.15" customHeight="1" x14ac:dyDescent="0.2">
      <c r="A4360" s="103"/>
    </row>
    <row r="4361" spans="1:1" ht="13.15" customHeight="1" x14ac:dyDescent="0.2">
      <c r="A4361" s="103"/>
    </row>
    <row r="4362" spans="1:1" ht="13.15" customHeight="1" x14ac:dyDescent="0.2">
      <c r="A4362" s="103"/>
    </row>
    <row r="4363" spans="1:1" ht="13.15" customHeight="1" x14ac:dyDescent="0.2">
      <c r="A4363" s="103"/>
    </row>
    <row r="4364" spans="1:1" ht="13.15" customHeight="1" x14ac:dyDescent="0.2">
      <c r="A4364" s="103"/>
    </row>
    <row r="4365" spans="1:1" ht="13.15" customHeight="1" x14ac:dyDescent="0.2">
      <c r="A4365" s="103"/>
    </row>
    <row r="4366" spans="1:1" ht="13.15" customHeight="1" x14ac:dyDescent="0.2">
      <c r="A4366" s="103"/>
    </row>
    <row r="4367" spans="1:1" ht="13.15" customHeight="1" x14ac:dyDescent="0.2">
      <c r="A4367" s="103"/>
    </row>
    <row r="4368" spans="1:1" ht="13.15" customHeight="1" x14ac:dyDescent="0.2">
      <c r="A4368" s="103"/>
    </row>
    <row r="4369" spans="1:1" ht="13.15" customHeight="1" x14ac:dyDescent="0.2">
      <c r="A4369" s="103"/>
    </row>
    <row r="4370" spans="1:1" ht="13.15" customHeight="1" x14ac:dyDescent="0.2">
      <c r="A4370" s="103"/>
    </row>
    <row r="4371" spans="1:1" ht="13.15" customHeight="1" x14ac:dyDescent="0.2">
      <c r="A4371" s="103"/>
    </row>
    <row r="4372" spans="1:1" ht="13.15" customHeight="1" x14ac:dyDescent="0.2">
      <c r="A4372" s="103"/>
    </row>
    <row r="4373" spans="1:1" ht="13.15" customHeight="1" x14ac:dyDescent="0.2">
      <c r="A4373" s="103"/>
    </row>
    <row r="4374" spans="1:1" ht="13.15" customHeight="1" x14ac:dyDescent="0.2">
      <c r="A4374" s="103"/>
    </row>
    <row r="4375" spans="1:1" ht="13.15" customHeight="1" x14ac:dyDescent="0.2">
      <c r="A4375" s="103"/>
    </row>
    <row r="4376" spans="1:1" ht="13.15" customHeight="1" x14ac:dyDescent="0.2">
      <c r="A4376" s="103"/>
    </row>
    <row r="4377" spans="1:1" ht="13.15" customHeight="1" x14ac:dyDescent="0.2">
      <c r="A4377" s="103"/>
    </row>
    <row r="4378" spans="1:1" ht="13.15" customHeight="1" x14ac:dyDescent="0.2">
      <c r="A4378" s="103"/>
    </row>
    <row r="4379" spans="1:1" ht="13.15" customHeight="1" x14ac:dyDescent="0.2">
      <c r="A4379" s="103"/>
    </row>
    <row r="4380" spans="1:1" ht="13.15" customHeight="1" x14ac:dyDescent="0.2">
      <c r="A4380" s="103"/>
    </row>
    <row r="4381" spans="1:1" ht="13.15" customHeight="1" x14ac:dyDescent="0.2">
      <c r="A4381" s="103"/>
    </row>
    <row r="4382" spans="1:1" ht="13.15" customHeight="1" x14ac:dyDescent="0.2">
      <c r="A4382" s="103"/>
    </row>
    <row r="4383" spans="1:1" ht="13.15" customHeight="1" x14ac:dyDescent="0.2">
      <c r="A4383" s="103"/>
    </row>
    <row r="4384" spans="1:1" ht="13.15" customHeight="1" x14ac:dyDescent="0.2">
      <c r="A4384" s="103"/>
    </row>
    <row r="4385" spans="1:1" ht="13.15" customHeight="1" x14ac:dyDescent="0.2">
      <c r="A4385" s="103"/>
    </row>
    <row r="4386" spans="1:1" ht="13.15" customHeight="1" x14ac:dyDescent="0.2">
      <c r="A4386" s="103"/>
    </row>
    <row r="4387" spans="1:1" ht="13.15" customHeight="1" x14ac:dyDescent="0.2">
      <c r="A4387" s="103"/>
    </row>
    <row r="4388" spans="1:1" ht="13.15" customHeight="1" x14ac:dyDescent="0.2">
      <c r="A4388" s="103"/>
    </row>
    <row r="4389" spans="1:1" ht="13.15" customHeight="1" x14ac:dyDescent="0.2">
      <c r="A4389" s="103"/>
    </row>
    <row r="4390" spans="1:1" ht="13.15" customHeight="1" x14ac:dyDescent="0.2">
      <c r="A4390" s="103"/>
    </row>
    <row r="4391" spans="1:1" ht="13.15" customHeight="1" x14ac:dyDescent="0.2">
      <c r="A4391" s="103"/>
    </row>
    <row r="4392" spans="1:1" ht="13.15" customHeight="1" x14ac:dyDescent="0.2">
      <c r="A4392" s="103"/>
    </row>
    <row r="4393" spans="1:1" ht="13.15" customHeight="1" x14ac:dyDescent="0.2">
      <c r="A4393" s="103"/>
    </row>
    <row r="4394" spans="1:1" ht="13.15" customHeight="1" x14ac:dyDescent="0.2">
      <c r="A4394" s="103"/>
    </row>
    <row r="4395" spans="1:1" ht="13.15" customHeight="1" x14ac:dyDescent="0.2">
      <c r="A4395" s="103"/>
    </row>
    <row r="4396" spans="1:1" ht="13.15" customHeight="1" x14ac:dyDescent="0.2">
      <c r="A4396" s="103"/>
    </row>
    <row r="4397" spans="1:1" ht="13.15" customHeight="1" x14ac:dyDescent="0.2">
      <c r="A4397" s="103"/>
    </row>
    <row r="4398" spans="1:1" ht="13.15" customHeight="1" x14ac:dyDescent="0.2">
      <c r="A4398" s="103"/>
    </row>
    <row r="4399" spans="1:1" ht="13.15" customHeight="1" x14ac:dyDescent="0.2">
      <c r="A4399" s="103"/>
    </row>
    <row r="4400" spans="1:1" ht="13.15" customHeight="1" x14ac:dyDescent="0.2">
      <c r="A4400" s="103"/>
    </row>
    <row r="4401" spans="1:1" ht="13.15" customHeight="1" x14ac:dyDescent="0.2">
      <c r="A4401" s="103"/>
    </row>
    <row r="4402" spans="1:1" ht="13.15" customHeight="1" x14ac:dyDescent="0.2">
      <c r="A4402" s="103"/>
    </row>
    <row r="4403" spans="1:1" ht="13.15" customHeight="1" x14ac:dyDescent="0.2">
      <c r="A4403" s="103"/>
    </row>
    <row r="4404" spans="1:1" ht="13.15" customHeight="1" x14ac:dyDescent="0.2">
      <c r="A4404" s="103"/>
    </row>
    <row r="4405" spans="1:1" ht="13.15" customHeight="1" x14ac:dyDescent="0.2">
      <c r="A4405" s="103"/>
    </row>
    <row r="4406" spans="1:1" ht="13.15" customHeight="1" x14ac:dyDescent="0.2">
      <c r="A4406" s="103"/>
    </row>
    <row r="4407" spans="1:1" ht="13.15" customHeight="1" x14ac:dyDescent="0.2">
      <c r="A4407" s="103"/>
    </row>
    <row r="4408" spans="1:1" ht="13.15" customHeight="1" x14ac:dyDescent="0.2">
      <c r="A4408" s="103"/>
    </row>
    <row r="4409" spans="1:1" ht="13.15" customHeight="1" x14ac:dyDescent="0.2">
      <c r="A4409" s="103"/>
    </row>
    <row r="4410" spans="1:1" ht="13.15" customHeight="1" x14ac:dyDescent="0.2">
      <c r="A4410" s="103"/>
    </row>
    <row r="4411" spans="1:1" ht="13.15" customHeight="1" x14ac:dyDescent="0.2">
      <c r="A4411" s="103"/>
    </row>
    <row r="4412" spans="1:1" ht="13.15" customHeight="1" x14ac:dyDescent="0.2">
      <c r="A4412" s="103"/>
    </row>
    <row r="4413" spans="1:1" ht="13.15" customHeight="1" x14ac:dyDescent="0.2">
      <c r="A4413" s="103"/>
    </row>
    <row r="4414" spans="1:1" ht="13.15" customHeight="1" x14ac:dyDescent="0.2">
      <c r="A4414" s="103"/>
    </row>
    <row r="4415" spans="1:1" ht="13.15" customHeight="1" x14ac:dyDescent="0.2">
      <c r="A4415" s="103"/>
    </row>
    <row r="4416" spans="1:1" ht="13.15" customHeight="1" x14ac:dyDescent="0.2">
      <c r="A4416" s="103"/>
    </row>
    <row r="4417" spans="1:1" ht="13.15" customHeight="1" x14ac:dyDescent="0.2">
      <c r="A4417" s="103"/>
    </row>
    <row r="4418" spans="1:1" ht="13.15" customHeight="1" x14ac:dyDescent="0.2">
      <c r="A4418" s="103"/>
    </row>
    <row r="4419" spans="1:1" ht="13.15" customHeight="1" x14ac:dyDescent="0.2">
      <c r="A4419" s="103"/>
    </row>
    <row r="4420" spans="1:1" ht="13.15" customHeight="1" x14ac:dyDescent="0.2">
      <c r="A4420" s="103"/>
    </row>
    <row r="4421" spans="1:1" ht="13.15" customHeight="1" x14ac:dyDescent="0.2">
      <c r="A4421" s="103"/>
    </row>
    <row r="4422" spans="1:1" ht="13.15" customHeight="1" x14ac:dyDescent="0.2">
      <c r="A4422" s="103"/>
    </row>
    <row r="4423" spans="1:1" ht="13.15" customHeight="1" x14ac:dyDescent="0.2">
      <c r="A4423" s="103"/>
    </row>
    <row r="4424" spans="1:1" ht="13.15" customHeight="1" x14ac:dyDescent="0.2">
      <c r="A4424" s="103"/>
    </row>
    <row r="4425" spans="1:1" ht="13.15" customHeight="1" x14ac:dyDescent="0.2">
      <c r="A4425" s="103"/>
    </row>
    <row r="4426" spans="1:1" ht="13.15" customHeight="1" x14ac:dyDescent="0.2">
      <c r="A4426" s="103"/>
    </row>
    <row r="4427" spans="1:1" ht="13.15" customHeight="1" x14ac:dyDescent="0.2">
      <c r="A4427" s="103"/>
    </row>
    <row r="4428" spans="1:1" ht="13.15" customHeight="1" x14ac:dyDescent="0.2">
      <c r="A4428" s="103"/>
    </row>
    <row r="4429" spans="1:1" ht="13.15" customHeight="1" x14ac:dyDescent="0.2">
      <c r="A4429" s="103"/>
    </row>
    <row r="4430" spans="1:1" ht="13.15" customHeight="1" x14ac:dyDescent="0.2">
      <c r="A4430" s="103"/>
    </row>
    <row r="4431" spans="1:1" ht="13.15" customHeight="1" x14ac:dyDescent="0.2">
      <c r="A4431" s="103"/>
    </row>
    <row r="4432" spans="1:1" ht="13.15" customHeight="1" x14ac:dyDescent="0.2">
      <c r="A4432" s="103"/>
    </row>
    <row r="4433" spans="1:1" ht="13.15" customHeight="1" x14ac:dyDescent="0.2">
      <c r="A4433" s="103"/>
    </row>
    <row r="4434" spans="1:1" ht="13.15" customHeight="1" x14ac:dyDescent="0.2">
      <c r="A4434" s="103"/>
    </row>
    <row r="4435" spans="1:1" ht="13.15" customHeight="1" x14ac:dyDescent="0.2">
      <c r="A4435" s="103"/>
    </row>
    <row r="4436" spans="1:1" ht="13.15" customHeight="1" x14ac:dyDescent="0.2">
      <c r="A4436" s="103"/>
    </row>
    <row r="4437" spans="1:1" ht="13.15" customHeight="1" x14ac:dyDescent="0.2">
      <c r="A4437" s="103"/>
    </row>
    <row r="4438" spans="1:1" ht="13.15" customHeight="1" x14ac:dyDescent="0.2">
      <c r="A4438" s="103"/>
    </row>
    <row r="4439" spans="1:1" ht="13.15" customHeight="1" x14ac:dyDescent="0.2">
      <c r="A4439" s="103"/>
    </row>
    <row r="4440" spans="1:1" ht="13.15" customHeight="1" x14ac:dyDescent="0.2">
      <c r="A4440" s="103"/>
    </row>
    <row r="4441" spans="1:1" ht="13.15" customHeight="1" x14ac:dyDescent="0.2">
      <c r="A4441" s="103"/>
    </row>
    <row r="4442" spans="1:1" ht="13.15" customHeight="1" x14ac:dyDescent="0.2">
      <c r="A4442" s="103"/>
    </row>
    <row r="4443" spans="1:1" ht="13.15" customHeight="1" x14ac:dyDescent="0.2">
      <c r="A4443" s="103"/>
    </row>
    <row r="4444" spans="1:1" ht="13.15" customHeight="1" x14ac:dyDescent="0.2">
      <c r="A4444" s="103"/>
    </row>
    <row r="4445" spans="1:1" ht="13.15" customHeight="1" x14ac:dyDescent="0.2">
      <c r="A4445" s="103"/>
    </row>
    <row r="4446" spans="1:1" ht="13.15" customHeight="1" x14ac:dyDescent="0.2">
      <c r="A4446" s="103"/>
    </row>
    <row r="4447" spans="1:1" ht="13.15" customHeight="1" x14ac:dyDescent="0.2">
      <c r="A4447" s="103"/>
    </row>
    <row r="4448" spans="1:1" ht="13.15" customHeight="1" x14ac:dyDescent="0.2">
      <c r="A4448" s="103"/>
    </row>
    <row r="4449" spans="1:1" ht="13.15" customHeight="1" x14ac:dyDescent="0.2">
      <c r="A4449" s="103"/>
    </row>
    <row r="4450" spans="1:1" ht="13.15" customHeight="1" x14ac:dyDescent="0.2">
      <c r="A4450" s="103"/>
    </row>
    <row r="4451" spans="1:1" ht="13.15" customHeight="1" x14ac:dyDescent="0.2">
      <c r="A4451" s="103"/>
    </row>
    <row r="4452" spans="1:1" ht="13.15" customHeight="1" x14ac:dyDescent="0.2">
      <c r="A4452" s="103"/>
    </row>
    <row r="4453" spans="1:1" ht="13.15" customHeight="1" x14ac:dyDescent="0.2">
      <c r="A4453" s="103"/>
    </row>
    <row r="4454" spans="1:1" ht="13.15" customHeight="1" x14ac:dyDescent="0.2">
      <c r="A4454" s="103"/>
    </row>
    <row r="4455" spans="1:1" ht="13.15" customHeight="1" x14ac:dyDescent="0.2">
      <c r="A4455" s="103"/>
    </row>
    <row r="4456" spans="1:1" ht="13.15" customHeight="1" x14ac:dyDescent="0.2">
      <c r="A4456" s="103"/>
    </row>
    <row r="4457" spans="1:1" ht="13.15" customHeight="1" x14ac:dyDescent="0.2">
      <c r="A4457" s="103"/>
    </row>
    <row r="4458" spans="1:1" ht="13.15" customHeight="1" x14ac:dyDescent="0.2">
      <c r="A4458" s="103"/>
    </row>
    <row r="4459" spans="1:1" ht="13.15" customHeight="1" x14ac:dyDescent="0.2">
      <c r="A4459" s="103"/>
    </row>
    <row r="4460" spans="1:1" ht="13.15" customHeight="1" x14ac:dyDescent="0.2">
      <c r="A4460" s="103"/>
    </row>
    <row r="4461" spans="1:1" ht="13.15" customHeight="1" x14ac:dyDescent="0.2">
      <c r="A4461" s="103"/>
    </row>
    <row r="4462" spans="1:1" ht="13.15" customHeight="1" x14ac:dyDescent="0.2">
      <c r="A4462" s="103"/>
    </row>
    <row r="4463" spans="1:1" ht="13.15" customHeight="1" x14ac:dyDescent="0.2">
      <c r="A4463" s="103"/>
    </row>
    <row r="4464" spans="1:1" ht="13.15" customHeight="1" x14ac:dyDescent="0.2">
      <c r="A4464" s="103"/>
    </row>
    <row r="4465" spans="1:1" ht="13.15" customHeight="1" x14ac:dyDescent="0.2">
      <c r="A4465" s="103"/>
    </row>
    <row r="4466" spans="1:1" ht="13.15" customHeight="1" x14ac:dyDescent="0.2">
      <c r="A4466" s="103"/>
    </row>
    <row r="4467" spans="1:1" ht="13.15" customHeight="1" x14ac:dyDescent="0.2">
      <c r="A4467" s="103"/>
    </row>
    <row r="4468" spans="1:1" ht="13.15" customHeight="1" x14ac:dyDescent="0.2">
      <c r="A4468" s="103"/>
    </row>
    <row r="4469" spans="1:1" ht="13.15" customHeight="1" x14ac:dyDescent="0.2">
      <c r="A4469" s="103"/>
    </row>
    <row r="4470" spans="1:1" ht="13.15" customHeight="1" x14ac:dyDescent="0.2">
      <c r="A4470" s="103"/>
    </row>
    <row r="4471" spans="1:1" ht="13.15" customHeight="1" x14ac:dyDescent="0.2">
      <c r="A4471" s="103"/>
    </row>
    <row r="4472" spans="1:1" ht="13.15" customHeight="1" x14ac:dyDescent="0.2">
      <c r="A4472" s="103"/>
    </row>
    <row r="4473" spans="1:1" ht="13.15" customHeight="1" x14ac:dyDescent="0.2">
      <c r="A4473" s="103"/>
    </row>
    <row r="4474" spans="1:1" ht="13.15" customHeight="1" x14ac:dyDescent="0.2">
      <c r="A4474" s="103"/>
    </row>
    <row r="4475" spans="1:1" ht="13.15" customHeight="1" x14ac:dyDescent="0.2">
      <c r="A4475" s="103"/>
    </row>
    <row r="4476" spans="1:1" ht="13.15" customHeight="1" x14ac:dyDescent="0.2">
      <c r="A4476" s="103"/>
    </row>
    <row r="4477" spans="1:1" ht="13.15" customHeight="1" x14ac:dyDescent="0.2">
      <c r="A4477" s="103"/>
    </row>
    <row r="4478" spans="1:1" ht="13.15" customHeight="1" x14ac:dyDescent="0.2">
      <c r="A4478" s="103"/>
    </row>
    <row r="4479" spans="1:1" ht="13.15" customHeight="1" x14ac:dyDescent="0.2">
      <c r="A4479" s="103"/>
    </row>
    <row r="4480" spans="1:1" ht="13.15" customHeight="1" x14ac:dyDescent="0.2">
      <c r="A4480" s="103"/>
    </row>
    <row r="4481" spans="1:1" ht="13.15" customHeight="1" x14ac:dyDescent="0.2">
      <c r="A4481" s="103"/>
    </row>
    <row r="4482" spans="1:1" ht="13.15" customHeight="1" x14ac:dyDescent="0.2">
      <c r="A4482" s="103"/>
    </row>
    <row r="4483" spans="1:1" ht="13.15" customHeight="1" x14ac:dyDescent="0.2">
      <c r="A4483" s="103"/>
    </row>
    <row r="4484" spans="1:1" ht="13.15" customHeight="1" x14ac:dyDescent="0.2">
      <c r="A4484" s="103"/>
    </row>
    <row r="4485" spans="1:1" ht="13.15" customHeight="1" x14ac:dyDescent="0.2">
      <c r="A4485" s="103"/>
    </row>
    <row r="4486" spans="1:1" ht="13.15" customHeight="1" x14ac:dyDescent="0.2">
      <c r="A4486" s="103"/>
    </row>
    <row r="4487" spans="1:1" ht="13.15" customHeight="1" x14ac:dyDescent="0.2">
      <c r="A4487" s="103"/>
    </row>
    <row r="4488" spans="1:1" ht="13.15" customHeight="1" x14ac:dyDescent="0.2">
      <c r="A4488" s="103"/>
    </row>
    <row r="4489" spans="1:1" ht="13.15" customHeight="1" x14ac:dyDescent="0.2">
      <c r="A4489" s="103"/>
    </row>
    <row r="4490" spans="1:1" ht="13.15" customHeight="1" x14ac:dyDescent="0.2">
      <c r="A4490" s="103"/>
    </row>
    <row r="4491" spans="1:1" ht="13.15" customHeight="1" x14ac:dyDescent="0.2">
      <c r="A4491" s="103"/>
    </row>
    <row r="4492" spans="1:1" ht="13.15" customHeight="1" x14ac:dyDescent="0.2">
      <c r="A4492" s="103"/>
    </row>
    <row r="4493" spans="1:1" ht="13.15" customHeight="1" x14ac:dyDescent="0.2">
      <c r="A4493" s="103"/>
    </row>
    <row r="4494" spans="1:1" ht="13.15" customHeight="1" x14ac:dyDescent="0.2">
      <c r="A4494" s="103"/>
    </row>
    <row r="4495" spans="1:1" ht="13.15" customHeight="1" x14ac:dyDescent="0.2">
      <c r="A4495" s="103"/>
    </row>
    <row r="4496" spans="1:1" ht="13.15" customHeight="1" x14ac:dyDescent="0.2">
      <c r="A4496" s="103"/>
    </row>
    <row r="4497" spans="1:1" ht="13.15" customHeight="1" x14ac:dyDescent="0.2">
      <c r="A4497" s="103"/>
    </row>
    <row r="4498" spans="1:1" ht="13.15" customHeight="1" x14ac:dyDescent="0.2">
      <c r="A4498" s="103"/>
    </row>
    <row r="4499" spans="1:1" ht="13.15" customHeight="1" x14ac:dyDescent="0.2">
      <c r="A4499" s="103"/>
    </row>
    <row r="4500" spans="1:1" ht="13.15" customHeight="1" x14ac:dyDescent="0.2">
      <c r="A4500" s="103"/>
    </row>
    <row r="4501" spans="1:1" ht="13.15" customHeight="1" x14ac:dyDescent="0.2">
      <c r="A4501" s="103"/>
    </row>
    <row r="4502" spans="1:1" ht="13.15" customHeight="1" x14ac:dyDescent="0.2">
      <c r="A4502" s="103"/>
    </row>
    <row r="4503" spans="1:1" ht="13.15" customHeight="1" x14ac:dyDescent="0.2">
      <c r="A4503" s="103"/>
    </row>
    <row r="4504" spans="1:1" ht="13.15" customHeight="1" x14ac:dyDescent="0.2">
      <c r="A4504" s="103"/>
    </row>
    <row r="4505" spans="1:1" ht="13.15" customHeight="1" x14ac:dyDescent="0.2">
      <c r="A4505" s="103"/>
    </row>
    <row r="4506" spans="1:1" ht="13.15" customHeight="1" x14ac:dyDescent="0.2">
      <c r="A4506" s="103"/>
    </row>
    <row r="4507" spans="1:1" ht="13.15" customHeight="1" x14ac:dyDescent="0.2">
      <c r="A4507" s="103"/>
    </row>
    <row r="4508" spans="1:1" ht="13.15" customHeight="1" x14ac:dyDescent="0.2">
      <c r="A4508" s="103"/>
    </row>
    <row r="4509" spans="1:1" ht="13.15" customHeight="1" x14ac:dyDescent="0.2">
      <c r="A4509" s="103"/>
    </row>
    <row r="4510" spans="1:1" ht="13.15" customHeight="1" x14ac:dyDescent="0.2">
      <c r="A4510" s="103"/>
    </row>
    <row r="4511" spans="1:1" ht="13.15" customHeight="1" x14ac:dyDescent="0.2">
      <c r="A4511" s="103"/>
    </row>
    <row r="4512" spans="1:1" ht="13.15" customHeight="1" x14ac:dyDescent="0.2">
      <c r="A4512" s="103"/>
    </row>
    <row r="4513" spans="1:1" ht="13.15" customHeight="1" x14ac:dyDescent="0.2">
      <c r="A4513" s="103"/>
    </row>
    <row r="4514" spans="1:1" ht="13.15" customHeight="1" x14ac:dyDescent="0.2">
      <c r="A4514" s="103"/>
    </row>
    <row r="4515" spans="1:1" ht="13.15" customHeight="1" x14ac:dyDescent="0.2">
      <c r="A4515" s="103"/>
    </row>
    <row r="4516" spans="1:1" ht="13.15" customHeight="1" x14ac:dyDescent="0.2">
      <c r="A4516" s="103"/>
    </row>
    <row r="4517" spans="1:1" ht="13.15" customHeight="1" x14ac:dyDescent="0.2">
      <c r="A4517" s="103"/>
    </row>
    <row r="4518" spans="1:1" ht="13.15" customHeight="1" x14ac:dyDescent="0.2">
      <c r="A4518" s="103"/>
    </row>
    <row r="4519" spans="1:1" ht="13.15" customHeight="1" x14ac:dyDescent="0.2">
      <c r="A4519" s="103"/>
    </row>
    <row r="4520" spans="1:1" ht="13.15" customHeight="1" x14ac:dyDescent="0.2">
      <c r="A4520" s="103"/>
    </row>
    <row r="4521" spans="1:1" ht="13.15" customHeight="1" x14ac:dyDescent="0.2">
      <c r="A4521" s="103"/>
    </row>
    <row r="4522" spans="1:1" ht="13.15" customHeight="1" x14ac:dyDescent="0.2">
      <c r="A4522" s="103"/>
    </row>
    <row r="4523" spans="1:1" ht="13.15" customHeight="1" x14ac:dyDescent="0.2">
      <c r="A4523" s="103"/>
    </row>
    <row r="4524" spans="1:1" ht="13.15" customHeight="1" x14ac:dyDescent="0.2">
      <c r="A4524" s="103"/>
    </row>
    <row r="4525" spans="1:1" ht="13.15" customHeight="1" x14ac:dyDescent="0.2">
      <c r="A4525" s="103"/>
    </row>
    <row r="4526" spans="1:1" ht="13.15" customHeight="1" x14ac:dyDescent="0.2">
      <c r="A4526" s="103"/>
    </row>
    <row r="4527" spans="1:1" ht="13.15" customHeight="1" x14ac:dyDescent="0.2">
      <c r="A4527" s="103"/>
    </row>
    <row r="4528" spans="1:1" ht="13.15" customHeight="1" x14ac:dyDescent="0.2">
      <c r="A4528" s="103"/>
    </row>
    <row r="4529" spans="1:1" ht="13.15" customHeight="1" x14ac:dyDescent="0.2">
      <c r="A4529" s="103"/>
    </row>
    <row r="4530" spans="1:1" ht="13.15" customHeight="1" x14ac:dyDescent="0.2">
      <c r="A4530" s="103"/>
    </row>
    <row r="4531" spans="1:1" ht="13.15" customHeight="1" x14ac:dyDescent="0.2">
      <c r="A4531" s="103"/>
    </row>
    <row r="4532" spans="1:1" ht="13.15" customHeight="1" x14ac:dyDescent="0.2">
      <c r="A4532" s="103"/>
    </row>
    <row r="4533" spans="1:1" ht="13.15" customHeight="1" x14ac:dyDescent="0.2">
      <c r="A4533" s="103"/>
    </row>
    <row r="4534" spans="1:1" ht="13.15" customHeight="1" x14ac:dyDescent="0.2">
      <c r="A4534" s="103"/>
    </row>
    <row r="4535" spans="1:1" ht="13.15" customHeight="1" x14ac:dyDescent="0.2">
      <c r="A4535" s="103"/>
    </row>
    <row r="4536" spans="1:1" ht="13.15" customHeight="1" x14ac:dyDescent="0.2">
      <c r="A4536" s="103"/>
    </row>
    <row r="4537" spans="1:1" ht="13.15" customHeight="1" x14ac:dyDescent="0.2">
      <c r="A4537" s="103"/>
    </row>
    <row r="4538" spans="1:1" ht="13.15" customHeight="1" x14ac:dyDescent="0.2">
      <c r="A4538" s="103"/>
    </row>
    <row r="4539" spans="1:1" ht="13.15" customHeight="1" x14ac:dyDescent="0.2">
      <c r="A4539" s="103"/>
    </row>
    <row r="4540" spans="1:1" ht="13.15" customHeight="1" x14ac:dyDescent="0.2">
      <c r="A4540" s="103"/>
    </row>
    <row r="4541" spans="1:1" ht="13.15" customHeight="1" x14ac:dyDescent="0.2">
      <c r="A4541" s="103"/>
    </row>
    <row r="4542" spans="1:1" ht="13.15" customHeight="1" x14ac:dyDescent="0.2">
      <c r="A4542" s="103"/>
    </row>
    <row r="4543" spans="1:1" ht="13.15" customHeight="1" x14ac:dyDescent="0.2">
      <c r="A4543" s="103"/>
    </row>
    <row r="4544" spans="1:1" ht="13.15" customHeight="1" x14ac:dyDescent="0.2">
      <c r="A4544" s="103"/>
    </row>
    <row r="4545" spans="1:1" ht="13.15" customHeight="1" x14ac:dyDescent="0.2">
      <c r="A4545" s="103"/>
    </row>
    <row r="4546" spans="1:1" ht="13.15" customHeight="1" x14ac:dyDescent="0.2">
      <c r="A4546" s="103"/>
    </row>
    <row r="4547" spans="1:1" ht="13.15" customHeight="1" x14ac:dyDescent="0.2">
      <c r="A4547" s="103"/>
    </row>
    <row r="4548" spans="1:1" ht="13.15" customHeight="1" x14ac:dyDescent="0.2">
      <c r="A4548" s="103"/>
    </row>
    <row r="4549" spans="1:1" ht="13.15" customHeight="1" x14ac:dyDescent="0.2">
      <c r="A4549" s="103"/>
    </row>
    <row r="4550" spans="1:1" ht="13.15" customHeight="1" x14ac:dyDescent="0.2">
      <c r="A4550" s="103"/>
    </row>
    <row r="4551" spans="1:1" ht="13.15" customHeight="1" x14ac:dyDescent="0.2">
      <c r="A4551" s="103"/>
    </row>
    <row r="4552" spans="1:1" ht="13.15" customHeight="1" x14ac:dyDescent="0.2">
      <c r="A4552" s="103"/>
    </row>
    <row r="4553" spans="1:1" ht="13.15" customHeight="1" x14ac:dyDescent="0.2">
      <c r="A4553" s="103"/>
    </row>
    <row r="4554" spans="1:1" ht="13.15" customHeight="1" x14ac:dyDescent="0.2">
      <c r="A4554" s="103"/>
    </row>
    <row r="4555" spans="1:1" ht="13.15" customHeight="1" x14ac:dyDescent="0.2">
      <c r="A4555" s="103"/>
    </row>
    <row r="4556" spans="1:1" ht="13.15" customHeight="1" x14ac:dyDescent="0.2">
      <c r="A4556" s="103"/>
    </row>
    <row r="4557" spans="1:1" ht="13.15" customHeight="1" x14ac:dyDescent="0.2">
      <c r="A4557" s="103"/>
    </row>
    <row r="4558" spans="1:1" ht="13.15" customHeight="1" x14ac:dyDescent="0.2">
      <c r="A4558" s="103"/>
    </row>
    <row r="4559" spans="1:1" ht="13.15" customHeight="1" x14ac:dyDescent="0.2">
      <c r="A4559" s="103"/>
    </row>
    <row r="4560" spans="1:1" ht="13.15" customHeight="1" x14ac:dyDescent="0.2">
      <c r="A4560" s="103"/>
    </row>
    <row r="4561" spans="1:1" ht="13.15" customHeight="1" x14ac:dyDescent="0.2">
      <c r="A4561" s="103"/>
    </row>
    <row r="4562" spans="1:1" ht="13.15" customHeight="1" x14ac:dyDescent="0.2">
      <c r="A4562" s="103"/>
    </row>
    <row r="4563" spans="1:1" ht="13.15" customHeight="1" x14ac:dyDescent="0.2">
      <c r="A4563" s="103"/>
    </row>
    <row r="4564" spans="1:1" ht="13.15" customHeight="1" x14ac:dyDescent="0.2">
      <c r="A4564" s="103"/>
    </row>
    <row r="4565" spans="1:1" ht="13.15" customHeight="1" x14ac:dyDescent="0.2">
      <c r="A4565" s="103"/>
    </row>
    <row r="4566" spans="1:1" ht="13.15" customHeight="1" x14ac:dyDescent="0.2">
      <c r="A4566" s="103"/>
    </row>
    <row r="4567" spans="1:1" ht="13.15" customHeight="1" x14ac:dyDescent="0.2">
      <c r="A4567" s="103"/>
    </row>
    <row r="4568" spans="1:1" ht="13.15" customHeight="1" x14ac:dyDescent="0.2">
      <c r="A4568" s="103"/>
    </row>
    <row r="4569" spans="1:1" ht="13.15" customHeight="1" x14ac:dyDescent="0.2">
      <c r="A4569" s="103"/>
    </row>
    <row r="4570" spans="1:1" ht="13.15" customHeight="1" x14ac:dyDescent="0.2">
      <c r="A4570" s="103"/>
    </row>
    <row r="4571" spans="1:1" ht="13.15" customHeight="1" x14ac:dyDescent="0.2">
      <c r="A4571" s="103"/>
    </row>
    <row r="4572" spans="1:1" ht="13.15" customHeight="1" x14ac:dyDescent="0.2">
      <c r="A4572" s="103"/>
    </row>
    <row r="4573" spans="1:1" ht="13.15" customHeight="1" x14ac:dyDescent="0.2">
      <c r="A4573" s="103"/>
    </row>
    <row r="4574" spans="1:1" ht="13.15" customHeight="1" x14ac:dyDescent="0.2">
      <c r="A4574" s="103"/>
    </row>
    <row r="4575" spans="1:1" ht="13.15" customHeight="1" x14ac:dyDescent="0.2">
      <c r="A4575" s="103"/>
    </row>
    <row r="4576" spans="1:1" ht="13.15" customHeight="1" x14ac:dyDescent="0.2">
      <c r="A4576" s="103"/>
    </row>
    <row r="4577" spans="1:1" ht="13.15" customHeight="1" x14ac:dyDescent="0.2">
      <c r="A4577" s="103"/>
    </row>
    <row r="4578" spans="1:1" ht="13.15" customHeight="1" x14ac:dyDescent="0.2">
      <c r="A4578" s="103"/>
    </row>
    <row r="4579" spans="1:1" ht="13.15" customHeight="1" x14ac:dyDescent="0.2">
      <c r="A4579" s="103"/>
    </row>
    <row r="4580" spans="1:1" ht="13.15" customHeight="1" x14ac:dyDescent="0.2">
      <c r="A4580" s="103"/>
    </row>
    <row r="4581" spans="1:1" ht="13.15" customHeight="1" x14ac:dyDescent="0.2">
      <c r="A4581" s="103"/>
    </row>
    <row r="4582" spans="1:1" ht="13.15" customHeight="1" x14ac:dyDescent="0.2">
      <c r="A4582" s="103"/>
    </row>
    <row r="4583" spans="1:1" ht="13.15" customHeight="1" x14ac:dyDescent="0.2">
      <c r="A4583" s="103"/>
    </row>
    <row r="4584" spans="1:1" ht="13.15" customHeight="1" x14ac:dyDescent="0.2">
      <c r="A4584" s="103"/>
    </row>
    <row r="4585" spans="1:1" ht="13.15" customHeight="1" x14ac:dyDescent="0.2">
      <c r="A4585" s="103"/>
    </row>
    <row r="4586" spans="1:1" ht="13.15" customHeight="1" x14ac:dyDescent="0.2">
      <c r="A4586" s="103"/>
    </row>
    <row r="4587" spans="1:1" ht="13.15" customHeight="1" x14ac:dyDescent="0.2">
      <c r="A4587" s="103"/>
    </row>
    <row r="4588" spans="1:1" ht="13.15" customHeight="1" x14ac:dyDescent="0.2">
      <c r="A4588" s="103"/>
    </row>
    <row r="4589" spans="1:1" ht="13.15" customHeight="1" x14ac:dyDescent="0.2">
      <c r="A4589" s="103"/>
    </row>
    <row r="4590" spans="1:1" ht="13.15" customHeight="1" x14ac:dyDescent="0.2">
      <c r="A4590" s="103"/>
    </row>
    <row r="4591" spans="1:1" ht="13.15" customHeight="1" x14ac:dyDescent="0.2">
      <c r="A4591" s="103"/>
    </row>
    <row r="4592" spans="1:1" ht="13.15" customHeight="1" x14ac:dyDescent="0.2">
      <c r="A4592" s="103"/>
    </row>
    <row r="4593" spans="1:1" ht="13.15" customHeight="1" x14ac:dyDescent="0.2">
      <c r="A4593" s="103"/>
    </row>
    <row r="4594" spans="1:1" ht="13.15" customHeight="1" x14ac:dyDescent="0.2">
      <c r="A4594" s="103"/>
    </row>
    <row r="4595" spans="1:1" ht="13.15" customHeight="1" x14ac:dyDescent="0.2">
      <c r="A4595" s="103"/>
    </row>
    <row r="4596" spans="1:1" ht="13.15" customHeight="1" x14ac:dyDescent="0.2">
      <c r="A4596" s="103"/>
    </row>
    <row r="4597" spans="1:1" ht="13.15" customHeight="1" x14ac:dyDescent="0.2">
      <c r="A4597" s="103"/>
    </row>
    <row r="4598" spans="1:1" ht="13.15" customHeight="1" x14ac:dyDescent="0.2">
      <c r="A4598" s="103"/>
    </row>
    <row r="4599" spans="1:1" ht="13.15" customHeight="1" x14ac:dyDescent="0.2">
      <c r="A4599" s="103"/>
    </row>
    <row r="4600" spans="1:1" ht="13.15" customHeight="1" x14ac:dyDescent="0.2">
      <c r="A4600" s="103"/>
    </row>
    <row r="4601" spans="1:1" ht="13.15" customHeight="1" x14ac:dyDescent="0.2">
      <c r="A4601" s="103"/>
    </row>
    <row r="4602" spans="1:1" ht="13.15" customHeight="1" x14ac:dyDescent="0.2">
      <c r="A4602" s="103"/>
    </row>
    <row r="4603" spans="1:1" ht="13.15" customHeight="1" x14ac:dyDescent="0.2">
      <c r="A4603" s="103"/>
    </row>
    <row r="4604" spans="1:1" ht="13.15" customHeight="1" x14ac:dyDescent="0.2">
      <c r="A4604" s="103"/>
    </row>
    <row r="4605" spans="1:1" ht="13.15" customHeight="1" x14ac:dyDescent="0.2">
      <c r="A4605" s="103"/>
    </row>
    <row r="4606" spans="1:1" ht="13.15" customHeight="1" x14ac:dyDescent="0.2">
      <c r="A4606" s="103"/>
    </row>
    <row r="4607" spans="1:1" ht="13.15" customHeight="1" x14ac:dyDescent="0.2">
      <c r="A4607" s="103"/>
    </row>
    <row r="4608" spans="1:1" ht="13.15" customHeight="1" x14ac:dyDescent="0.2">
      <c r="A4608" s="103"/>
    </row>
    <row r="4609" spans="1:1" ht="13.15" customHeight="1" x14ac:dyDescent="0.2">
      <c r="A4609" s="103"/>
    </row>
    <row r="4610" spans="1:1" ht="13.15" customHeight="1" x14ac:dyDescent="0.2">
      <c r="A4610" s="103"/>
    </row>
    <row r="4611" spans="1:1" ht="13.15" customHeight="1" x14ac:dyDescent="0.2">
      <c r="A4611" s="103"/>
    </row>
    <row r="4612" spans="1:1" ht="13.15" customHeight="1" x14ac:dyDescent="0.2">
      <c r="A4612" s="103"/>
    </row>
    <row r="4613" spans="1:1" ht="13.15" customHeight="1" x14ac:dyDescent="0.2">
      <c r="A4613" s="103"/>
    </row>
    <row r="4614" spans="1:1" ht="13.15" customHeight="1" x14ac:dyDescent="0.2">
      <c r="A4614" s="103"/>
    </row>
    <row r="4615" spans="1:1" ht="13.15" customHeight="1" x14ac:dyDescent="0.2">
      <c r="A4615" s="103"/>
    </row>
    <row r="4616" spans="1:1" ht="13.15" customHeight="1" x14ac:dyDescent="0.2">
      <c r="A4616" s="103"/>
    </row>
    <row r="4617" spans="1:1" ht="13.15" customHeight="1" x14ac:dyDescent="0.2">
      <c r="A4617" s="103"/>
    </row>
    <row r="4618" spans="1:1" ht="13.15" customHeight="1" x14ac:dyDescent="0.2">
      <c r="A4618" s="103"/>
    </row>
    <row r="4619" spans="1:1" ht="13.15" customHeight="1" x14ac:dyDescent="0.2">
      <c r="A4619" s="103"/>
    </row>
    <row r="4620" spans="1:1" ht="13.15" customHeight="1" x14ac:dyDescent="0.2">
      <c r="A4620" s="103"/>
    </row>
    <row r="4621" spans="1:1" ht="13.15" customHeight="1" x14ac:dyDescent="0.2">
      <c r="A4621" s="103"/>
    </row>
    <row r="4622" spans="1:1" ht="13.15" customHeight="1" x14ac:dyDescent="0.2">
      <c r="A4622" s="103"/>
    </row>
    <row r="4623" spans="1:1" ht="13.15" customHeight="1" x14ac:dyDescent="0.2">
      <c r="A4623" s="103"/>
    </row>
    <row r="4624" spans="1:1" ht="13.15" customHeight="1" x14ac:dyDescent="0.2">
      <c r="A4624" s="103"/>
    </row>
    <row r="4625" spans="1:1" ht="13.15" customHeight="1" x14ac:dyDescent="0.2">
      <c r="A4625" s="103"/>
    </row>
    <row r="4626" spans="1:1" ht="13.15" customHeight="1" x14ac:dyDescent="0.2">
      <c r="A4626" s="103"/>
    </row>
    <row r="4627" spans="1:1" ht="13.15" customHeight="1" x14ac:dyDescent="0.2">
      <c r="A4627" s="103"/>
    </row>
    <row r="4628" spans="1:1" ht="13.15" customHeight="1" x14ac:dyDescent="0.2">
      <c r="A4628" s="103"/>
    </row>
    <row r="4629" spans="1:1" ht="13.15" customHeight="1" x14ac:dyDescent="0.2">
      <c r="A4629" s="103"/>
    </row>
    <row r="4630" spans="1:1" ht="13.15" customHeight="1" x14ac:dyDescent="0.2">
      <c r="A4630" s="103"/>
    </row>
    <row r="4631" spans="1:1" ht="13.15" customHeight="1" x14ac:dyDescent="0.2">
      <c r="A4631" s="103"/>
    </row>
    <row r="4632" spans="1:1" ht="13.15" customHeight="1" x14ac:dyDescent="0.2">
      <c r="A4632" s="103"/>
    </row>
    <row r="4633" spans="1:1" ht="13.15" customHeight="1" x14ac:dyDescent="0.2">
      <c r="A4633" s="103"/>
    </row>
    <row r="4634" spans="1:1" ht="13.15" customHeight="1" x14ac:dyDescent="0.2">
      <c r="A4634" s="103"/>
    </row>
    <row r="4635" spans="1:1" ht="13.15" customHeight="1" x14ac:dyDescent="0.2">
      <c r="A4635" s="103"/>
    </row>
    <row r="4636" spans="1:1" ht="13.15" customHeight="1" x14ac:dyDescent="0.2">
      <c r="A4636" s="103"/>
    </row>
    <row r="4637" spans="1:1" ht="13.15" customHeight="1" x14ac:dyDescent="0.2">
      <c r="A4637" s="103"/>
    </row>
    <row r="4638" spans="1:1" ht="13.15" customHeight="1" x14ac:dyDescent="0.2">
      <c r="A4638" s="103"/>
    </row>
    <row r="4639" spans="1:1" ht="13.15" customHeight="1" x14ac:dyDescent="0.2">
      <c r="A4639" s="103"/>
    </row>
    <row r="4640" spans="1:1" ht="13.15" customHeight="1" x14ac:dyDescent="0.2">
      <c r="A4640" s="103"/>
    </row>
    <row r="4641" spans="1:1" ht="13.15" customHeight="1" x14ac:dyDescent="0.2">
      <c r="A4641" s="103"/>
    </row>
    <row r="4642" spans="1:1" ht="13.15" customHeight="1" x14ac:dyDescent="0.2">
      <c r="A4642" s="103"/>
    </row>
    <row r="4643" spans="1:1" ht="13.15" customHeight="1" x14ac:dyDescent="0.2">
      <c r="A4643" s="103"/>
    </row>
    <row r="4644" spans="1:1" ht="13.15" customHeight="1" x14ac:dyDescent="0.2">
      <c r="A4644" s="103"/>
    </row>
    <row r="4645" spans="1:1" ht="13.15" customHeight="1" x14ac:dyDescent="0.2">
      <c r="A4645" s="103"/>
    </row>
    <row r="4646" spans="1:1" ht="13.15" customHeight="1" x14ac:dyDescent="0.2">
      <c r="A4646" s="103"/>
    </row>
    <row r="4647" spans="1:1" ht="13.15" customHeight="1" x14ac:dyDescent="0.2">
      <c r="A4647" s="103"/>
    </row>
    <row r="4648" spans="1:1" ht="13.15" customHeight="1" x14ac:dyDescent="0.2">
      <c r="A4648" s="103"/>
    </row>
    <row r="4649" spans="1:1" ht="13.15" customHeight="1" x14ac:dyDescent="0.2">
      <c r="A4649" s="103"/>
    </row>
    <row r="4650" spans="1:1" ht="13.15" customHeight="1" x14ac:dyDescent="0.2">
      <c r="A4650" s="103"/>
    </row>
    <row r="4651" spans="1:1" ht="13.15" customHeight="1" x14ac:dyDescent="0.2">
      <c r="A4651" s="103"/>
    </row>
    <row r="4652" spans="1:1" ht="13.15" customHeight="1" x14ac:dyDescent="0.2">
      <c r="A4652" s="103"/>
    </row>
    <row r="4653" spans="1:1" ht="13.15" customHeight="1" x14ac:dyDescent="0.2">
      <c r="A4653" s="103"/>
    </row>
    <row r="4654" spans="1:1" ht="13.15" customHeight="1" x14ac:dyDescent="0.2">
      <c r="A4654" s="103"/>
    </row>
    <row r="4655" spans="1:1" ht="13.15" customHeight="1" x14ac:dyDescent="0.2">
      <c r="A4655" s="103"/>
    </row>
    <row r="4656" spans="1:1" ht="13.15" customHeight="1" x14ac:dyDescent="0.2">
      <c r="A4656" s="103"/>
    </row>
    <row r="4657" spans="1:1" ht="13.15" customHeight="1" x14ac:dyDescent="0.2">
      <c r="A4657" s="103"/>
    </row>
    <row r="4658" spans="1:1" ht="13.15" customHeight="1" x14ac:dyDescent="0.2">
      <c r="A4658" s="103"/>
    </row>
    <row r="4659" spans="1:1" ht="13.15" customHeight="1" x14ac:dyDescent="0.2">
      <c r="A4659" s="103"/>
    </row>
    <row r="4660" spans="1:1" ht="13.15" customHeight="1" x14ac:dyDescent="0.2">
      <c r="A4660" s="103"/>
    </row>
    <row r="4661" spans="1:1" ht="13.15" customHeight="1" x14ac:dyDescent="0.2">
      <c r="A4661" s="103"/>
    </row>
    <row r="4662" spans="1:1" ht="13.15" customHeight="1" x14ac:dyDescent="0.2">
      <c r="A4662" s="103"/>
    </row>
    <row r="4663" spans="1:1" ht="13.15" customHeight="1" x14ac:dyDescent="0.2">
      <c r="A4663" s="103"/>
    </row>
    <row r="4664" spans="1:1" ht="13.15" customHeight="1" x14ac:dyDescent="0.2">
      <c r="A4664" s="103"/>
    </row>
    <row r="4665" spans="1:1" ht="13.15" customHeight="1" x14ac:dyDescent="0.2">
      <c r="A4665" s="103"/>
    </row>
    <row r="4666" spans="1:1" ht="13.15" customHeight="1" x14ac:dyDescent="0.2">
      <c r="A4666" s="103"/>
    </row>
    <row r="4667" spans="1:1" ht="13.15" customHeight="1" x14ac:dyDescent="0.2">
      <c r="A4667" s="103"/>
    </row>
    <row r="4668" spans="1:1" ht="13.15" customHeight="1" x14ac:dyDescent="0.2">
      <c r="A4668" s="103"/>
    </row>
    <row r="4669" spans="1:1" ht="13.15" customHeight="1" x14ac:dyDescent="0.2">
      <c r="A4669" s="103"/>
    </row>
    <row r="4670" spans="1:1" ht="13.15" customHeight="1" x14ac:dyDescent="0.2">
      <c r="A4670" s="103"/>
    </row>
    <row r="4671" spans="1:1" ht="13.15" customHeight="1" x14ac:dyDescent="0.2">
      <c r="A4671" s="103"/>
    </row>
    <row r="4672" spans="1:1" ht="13.15" customHeight="1" x14ac:dyDescent="0.2">
      <c r="A4672" s="103"/>
    </row>
    <row r="4673" spans="1:1" ht="13.15" customHeight="1" x14ac:dyDescent="0.2">
      <c r="A4673" s="103"/>
    </row>
    <row r="4674" spans="1:1" ht="13.15" customHeight="1" x14ac:dyDescent="0.2">
      <c r="A4674" s="103"/>
    </row>
    <row r="4675" spans="1:1" ht="13.15" customHeight="1" x14ac:dyDescent="0.2">
      <c r="A4675" s="103"/>
    </row>
    <row r="4676" spans="1:1" ht="13.15" customHeight="1" x14ac:dyDescent="0.2">
      <c r="A4676" s="103"/>
    </row>
    <row r="4677" spans="1:1" ht="13.15" customHeight="1" x14ac:dyDescent="0.2">
      <c r="A4677" s="103"/>
    </row>
    <row r="4678" spans="1:1" ht="13.15" customHeight="1" x14ac:dyDescent="0.2">
      <c r="A4678" s="103"/>
    </row>
    <row r="4679" spans="1:1" ht="13.15" customHeight="1" x14ac:dyDescent="0.2">
      <c r="A4679" s="103"/>
    </row>
    <row r="4680" spans="1:1" ht="13.15" customHeight="1" x14ac:dyDescent="0.2">
      <c r="A4680" s="103"/>
    </row>
    <row r="4681" spans="1:1" ht="13.15" customHeight="1" x14ac:dyDescent="0.2">
      <c r="A4681" s="103"/>
    </row>
    <row r="4682" spans="1:1" ht="13.15" customHeight="1" x14ac:dyDescent="0.2">
      <c r="A4682" s="103"/>
    </row>
    <row r="4683" spans="1:1" ht="13.15" customHeight="1" x14ac:dyDescent="0.2">
      <c r="A4683" s="103"/>
    </row>
    <row r="4684" spans="1:1" ht="13.15" customHeight="1" x14ac:dyDescent="0.2">
      <c r="A4684" s="103"/>
    </row>
    <row r="4685" spans="1:1" ht="13.15" customHeight="1" x14ac:dyDescent="0.2">
      <c r="A4685" s="103"/>
    </row>
    <row r="4686" spans="1:1" ht="13.15" customHeight="1" x14ac:dyDescent="0.2">
      <c r="A4686" s="103"/>
    </row>
    <row r="4687" spans="1:1" ht="13.15" customHeight="1" x14ac:dyDescent="0.2">
      <c r="A4687" s="103"/>
    </row>
    <row r="4688" spans="1:1" ht="13.15" customHeight="1" x14ac:dyDescent="0.2">
      <c r="A4688" s="103"/>
    </row>
    <row r="4689" spans="1:1" ht="13.15" customHeight="1" x14ac:dyDescent="0.2">
      <c r="A4689" s="103"/>
    </row>
    <row r="4690" spans="1:1" ht="13.15" customHeight="1" x14ac:dyDescent="0.2">
      <c r="A4690" s="103"/>
    </row>
    <row r="4691" spans="1:1" ht="13.15" customHeight="1" x14ac:dyDescent="0.2">
      <c r="A4691" s="103"/>
    </row>
    <row r="4692" spans="1:1" ht="13.15" customHeight="1" x14ac:dyDescent="0.2">
      <c r="A4692" s="103"/>
    </row>
    <row r="4693" spans="1:1" ht="13.15" customHeight="1" x14ac:dyDescent="0.2">
      <c r="A4693" s="103"/>
    </row>
    <row r="4694" spans="1:1" ht="13.15" customHeight="1" x14ac:dyDescent="0.2">
      <c r="A4694" s="103"/>
    </row>
    <row r="4695" spans="1:1" ht="13.15" customHeight="1" x14ac:dyDescent="0.2">
      <c r="A4695" s="103"/>
    </row>
    <row r="4696" spans="1:1" ht="13.15" customHeight="1" x14ac:dyDescent="0.2">
      <c r="A4696" s="103"/>
    </row>
    <row r="4697" spans="1:1" ht="13.15" customHeight="1" x14ac:dyDescent="0.2">
      <c r="A4697" s="103"/>
    </row>
    <row r="4698" spans="1:1" ht="13.15" customHeight="1" x14ac:dyDescent="0.2">
      <c r="A4698" s="103"/>
    </row>
    <row r="4699" spans="1:1" ht="13.15" customHeight="1" x14ac:dyDescent="0.2">
      <c r="A4699" s="103"/>
    </row>
    <row r="4700" spans="1:1" ht="13.15" customHeight="1" x14ac:dyDescent="0.2">
      <c r="A4700" s="103"/>
    </row>
    <row r="4701" spans="1:1" ht="13.15" customHeight="1" x14ac:dyDescent="0.2">
      <c r="A4701" s="103"/>
    </row>
    <row r="4702" spans="1:1" ht="13.15" customHeight="1" x14ac:dyDescent="0.2">
      <c r="A4702" s="103"/>
    </row>
    <row r="4703" spans="1:1" ht="13.15" customHeight="1" x14ac:dyDescent="0.2">
      <c r="A4703" s="103"/>
    </row>
    <row r="4704" spans="1:1" ht="13.15" customHeight="1" x14ac:dyDescent="0.2">
      <c r="A4704" s="103"/>
    </row>
    <row r="4705" spans="1:1" ht="13.15" customHeight="1" x14ac:dyDescent="0.2">
      <c r="A4705" s="103"/>
    </row>
    <row r="4706" spans="1:1" ht="13.15" customHeight="1" x14ac:dyDescent="0.2">
      <c r="A4706" s="103"/>
    </row>
    <row r="4707" spans="1:1" ht="13.15" customHeight="1" x14ac:dyDescent="0.2">
      <c r="A4707" s="103"/>
    </row>
    <row r="4708" spans="1:1" ht="13.15" customHeight="1" x14ac:dyDescent="0.2">
      <c r="A4708" s="103"/>
    </row>
    <row r="4709" spans="1:1" ht="13.15" customHeight="1" x14ac:dyDescent="0.2">
      <c r="A4709" s="103"/>
    </row>
    <row r="4710" spans="1:1" ht="13.15" customHeight="1" x14ac:dyDescent="0.2">
      <c r="A4710" s="103"/>
    </row>
    <row r="4711" spans="1:1" ht="13.15" customHeight="1" x14ac:dyDescent="0.2">
      <c r="A4711" s="103"/>
    </row>
    <row r="4712" spans="1:1" ht="13.15" customHeight="1" x14ac:dyDescent="0.2">
      <c r="A4712" s="103"/>
    </row>
    <row r="4713" spans="1:1" ht="13.15" customHeight="1" x14ac:dyDescent="0.2">
      <c r="A4713" s="103"/>
    </row>
    <row r="4714" spans="1:1" ht="13.15" customHeight="1" x14ac:dyDescent="0.2">
      <c r="A4714" s="103"/>
    </row>
    <row r="4715" spans="1:1" ht="13.15" customHeight="1" x14ac:dyDescent="0.2">
      <c r="A4715" s="103"/>
    </row>
    <row r="4716" spans="1:1" ht="13.15" customHeight="1" x14ac:dyDescent="0.2">
      <c r="A4716" s="103"/>
    </row>
    <row r="4717" spans="1:1" ht="13.15" customHeight="1" x14ac:dyDescent="0.2">
      <c r="A4717" s="103"/>
    </row>
    <row r="4718" spans="1:1" ht="13.15" customHeight="1" x14ac:dyDescent="0.2">
      <c r="A4718" s="103"/>
    </row>
    <row r="4719" spans="1:1" ht="13.15" customHeight="1" x14ac:dyDescent="0.2">
      <c r="A4719" s="103"/>
    </row>
    <row r="4720" spans="1:1" ht="13.15" customHeight="1" x14ac:dyDescent="0.2">
      <c r="A4720" s="103"/>
    </row>
    <row r="4721" spans="1:1" ht="13.15" customHeight="1" x14ac:dyDescent="0.2">
      <c r="A4721" s="103"/>
    </row>
    <row r="4722" spans="1:1" ht="13.15" customHeight="1" x14ac:dyDescent="0.2">
      <c r="A4722" s="103"/>
    </row>
    <row r="4723" spans="1:1" ht="13.15" customHeight="1" x14ac:dyDescent="0.2">
      <c r="A4723" s="103"/>
    </row>
    <row r="4724" spans="1:1" ht="13.15" customHeight="1" x14ac:dyDescent="0.2">
      <c r="A4724" s="103"/>
    </row>
    <row r="4725" spans="1:1" ht="13.15" customHeight="1" x14ac:dyDescent="0.2">
      <c r="A4725" s="103"/>
    </row>
    <row r="4726" spans="1:1" ht="13.15" customHeight="1" x14ac:dyDescent="0.2">
      <c r="A4726" s="103"/>
    </row>
    <row r="4727" spans="1:1" ht="13.15" customHeight="1" x14ac:dyDescent="0.2">
      <c r="A4727" s="103"/>
    </row>
    <row r="4728" spans="1:1" ht="13.15" customHeight="1" x14ac:dyDescent="0.2">
      <c r="A4728" s="103"/>
    </row>
    <row r="4729" spans="1:1" ht="13.15" customHeight="1" x14ac:dyDescent="0.2">
      <c r="A4729" s="103"/>
    </row>
    <row r="4730" spans="1:1" ht="13.15" customHeight="1" x14ac:dyDescent="0.2">
      <c r="A4730" s="103"/>
    </row>
    <row r="4731" spans="1:1" ht="13.15" customHeight="1" x14ac:dyDescent="0.2">
      <c r="A4731" s="103"/>
    </row>
    <row r="4732" spans="1:1" ht="13.15" customHeight="1" x14ac:dyDescent="0.2">
      <c r="A4732" s="103"/>
    </row>
    <row r="4733" spans="1:1" ht="13.15" customHeight="1" x14ac:dyDescent="0.2">
      <c r="A4733" s="103"/>
    </row>
    <row r="4734" spans="1:1" ht="13.15" customHeight="1" x14ac:dyDescent="0.2">
      <c r="A4734" s="103"/>
    </row>
    <row r="4735" spans="1:1" ht="13.15" customHeight="1" x14ac:dyDescent="0.2">
      <c r="A4735" s="103"/>
    </row>
    <row r="4736" spans="1:1" ht="13.15" customHeight="1" x14ac:dyDescent="0.2">
      <c r="A4736" s="103"/>
    </row>
    <row r="4737" spans="1:1" ht="13.15" customHeight="1" x14ac:dyDescent="0.2">
      <c r="A4737" s="103"/>
    </row>
    <row r="4738" spans="1:1" ht="13.15" customHeight="1" x14ac:dyDescent="0.2">
      <c r="A4738" s="103"/>
    </row>
    <row r="4739" spans="1:1" ht="13.15" customHeight="1" x14ac:dyDescent="0.2">
      <c r="A4739" s="103"/>
    </row>
    <row r="4740" spans="1:1" ht="13.15" customHeight="1" x14ac:dyDescent="0.2">
      <c r="A4740" s="103"/>
    </row>
    <row r="4741" spans="1:1" ht="13.15" customHeight="1" x14ac:dyDescent="0.2">
      <c r="A4741" s="103"/>
    </row>
    <row r="4742" spans="1:1" ht="13.15" customHeight="1" x14ac:dyDescent="0.2">
      <c r="A4742" s="103"/>
    </row>
    <row r="4743" spans="1:1" ht="13.15" customHeight="1" x14ac:dyDescent="0.2">
      <c r="A4743" s="103"/>
    </row>
    <row r="4744" spans="1:1" ht="13.15" customHeight="1" x14ac:dyDescent="0.2">
      <c r="A4744" s="103"/>
    </row>
    <row r="4745" spans="1:1" ht="13.15" customHeight="1" x14ac:dyDescent="0.2">
      <c r="A4745" s="103"/>
    </row>
    <row r="4746" spans="1:1" ht="13.15" customHeight="1" x14ac:dyDescent="0.2">
      <c r="A4746" s="103"/>
    </row>
    <row r="4747" spans="1:1" ht="13.15" customHeight="1" x14ac:dyDescent="0.2">
      <c r="A4747" s="103"/>
    </row>
    <row r="4748" spans="1:1" ht="13.15" customHeight="1" x14ac:dyDescent="0.2">
      <c r="A4748" s="103"/>
    </row>
    <row r="4749" spans="1:1" ht="13.15" customHeight="1" x14ac:dyDescent="0.2">
      <c r="A4749" s="103"/>
    </row>
    <row r="4750" spans="1:1" ht="13.15" customHeight="1" x14ac:dyDescent="0.2">
      <c r="A4750" s="103"/>
    </row>
    <row r="4751" spans="1:1" ht="13.15" customHeight="1" x14ac:dyDescent="0.2">
      <c r="A4751" s="103"/>
    </row>
    <row r="4752" spans="1:1" ht="13.15" customHeight="1" x14ac:dyDescent="0.2">
      <c r="A4752" s="103"/>
    </row>
    <row r="4753" spans="1:1" ht="13.15" customHeight="1" x14ac:dyDescent="0.2">
      <c r="A4753" s="103"/>
    </row>
    <row r="4754" spans="1:1" ht="13.15" customHeight="1" x14ac:dyDescent="0.2">
      <c r="A4754" s="103"/>
    </row>
    <row r="4755" spans="1:1" ht="13.15" customHeight="1" x14ac:dyDescent="0.2">
      <c r="A4755" s="103"/>
    </row>
    <row r="4756" spans="1:1" ht="13.15" customHeight="1" x14ac:dyDescent="0.2">
      <c r="A4756" s="103"/>
    </row>
    <row r="4757" spans="1:1" ht="13.15" customHeight="1" x14ac:dyDescent="0.2">
      <c r="A4757" s="103"/>
    </row>
    <row r="4758" spans="1:1" ht="13.15" customHeight="1" x14ac:dyDescent="0.2">
      <c r="A4758" s="103"/>
    </row>
    <row r="4759" spans="1:1" ht="13.15" customHeight="1" x14ac:dyDescent="0.2">
      <c r="A4759" s="103"/>
    </row>
    <row r="4760" spans="1:1" ht="13.15" customHeight="1" x14ac:dyDescent="0.2">
      <c r="A4760" s="103"/>
    </row>
    <row r="4761" spans="1:1" ht="13.15" customHeight="1" x14ac:dyDescent="0.2">
      <c r="A4761" s="103"/>
    </row>
    <row r="4762" spans="1:1" ht="13.15" customHeight="1" x14ac:dyDescent="0.2">
      <c r="A4762" s="103"/>
    </row>
    <row r="4763" spans="1:1" ht="13.15" customHeight="1" x14ac:dyDescent="0.2">
      <c r="A4763" s="103"/>
    </row>
    <row r="4764" spans="1:1" ht="13.15" customHeight="1" x14ac:dyDescent="0.2">
      <c r="A4764" s="103"/>
    </row>
    <row r="4765" spans="1:1" ht="13.15" customHeight="1" x14ac:dyDescent="0.2">
      <c r="A4765" s="103"/>
    </row>
    <row r="4766" spans="1:1" ht="13.15" customHeight="1" x14ac:dyDescent="0.2">
      <c r="A4766" s="103"/>
    </row>
    <row r="4767" spans="1:1" ht="13.15" customHeight="1" x14ac:dyDescent="0.2">
      <c r="A4767" s="103"/>
    </row>
    <row r="4768" spans="1:1" ht="13.15" customHeight="1" x14ac:dyDescent="0.2">
      <c r="A4768" s="103"/>
    </row>
    <row r="4769" spans="1:1" ht="13.15" customHeight="1" x14ac:dyDescent="0.2">
      <c r="A4769" s="103"/>
    </row>
    <row r="4770" spans="1:1" ht="13.15" customHeight="1" x14ac:dyDescent="0.2">
      <c r="A4770" s="103"/>
    </row>
    <row r="4771" spans="1:1" ht="13.15" customHeight="1" x14ac:dyDescent="0.2">
      <c r="A4771" s="103"/>
    </row>
    <row r="4772" spans="1:1" ht="13.15" customHeight="1" x14ac:dyDescent="0.2">
      <c r="A4772" s="103"/>
    </row>
    <row r="4773" spans="1:1" ht="13.15" customHeight="1" x14ac:dyDescent="0.2">
      <c r="A4773" s="103"/>
    </row>
    <row r="4774" spans="1:1" ht="13.15" customHeight="1" x14ac:dyDescent="0.2">
      <c r="A4774" s="103"/>
    </row>
    <row r="4775" spans="1:1" ht="13.15" customHeight="1" x14ac:dyDescent="0.2">
      <c r="A4775" s="103"/>
    </row>
    <row r="4776" spans="1:1" ht="13.15" customHeight="1" x14ac:dyDescent="0.2">
      <c r="A4776" s="103"/>
    </row>
    <row r="4777" spans="1:1" ht="13.15" customHeight="1" x14ac:dyDescent="0.2">
      <c r="A4777" s="103"/>
    </row>
    <row r="4778" spans="1:1" ht="13.15" customHeight="1" x14ac:dyDescent="0.2">
      <c r="A4778" s="103"/>
    </row>
    <row r="4779" spans="1:1" ht="13.15" customHeight="1" x14ac:dyDescent="0.2">
      <c r="A4779" s="103"/>
    </row>
    <row r="4780" spans="1:1" ht="13.15" customHeight="1" x14ac:dyDescent="0.2">
      <c r="A4780" s="103"/>
    </row>
    <row r="4781" spans="1:1" ht="13.15" customHeight="1" x14ac:dyDescent="0.2">
      <c r="A4781" s="103"/>
    </row>
    <row r="4782" spans="1:1" ht="13.15" customHeight="1" x14ac:dyDescent="0.2">
      <c r="A4782" s="103"/>
    </row>
    <row r="4783" spans="1:1" ht="13.15" customHeight="1" x14ac:dyDescent="0.2">
      <c r="A4783" s="103"/>
    </row>
    <row r="4784" spans="1:1" ht="13.15" customHeight="1" x14ac:dyDescent="0.2">
      <c r="A4784" s="103"/>
    </row>
    <row r="4785" spans="1:1" ht="13.15" customHeight="1" x14ac:dyDescent="0.2">
      <c r="A4785" s="103"/>
    </row>
    <row r="4786" spans="1:1" ht="13.15" customHeight="1" x14ac:dyDescent="0.2">
      <c r="A4786" s="103"/>
    </row>
    <row r="4787" spans="1:1" ht="13.15" customHeight="1" x14ac:dyDescent="0.2">
      <c r="A4787" s="103"/>
    </row>
    <row r="4788" spans="1:1" ht="13.15" customHeight="1" x14ac:dyDescent="0.2">
      <c r="A4788" s="103"/>
    </row>
    <row r="4789" spans="1:1" ht="13.15" customHeight="1" x14ac:dyDescent="0.2">
      <c r="A4789" s="103"/>
    </row>
    <row r="4790" spans="1:1" ht="13.15" customHeight="1" x14ac:dyDescent="0.2">
      <c r="A4790" s="103"/>
    </row>
    <row r="4791" spans="1:1" ht="13.15" customHeight="1" x14ac:dyDescent="0.2">
      <c r="A4791" s="103"/>
    </row>
    <row r="4792" spans="1:1" ht="13.15" customHeight="1" x14ac:dyDescent="0.2">
      <c r="A4792" s="103"/>
    </row>
    <row r="4793" spans="1:1" ht="13.15" customHeight="1" x14ac:dyDescent="0.2">
      <c r="A4793" s="103"/>
    </row>
    <row r="4794" spans="1:1" ht="13.15" customHeight="1" x14ac:dyDescent="0.2">
      <c r="A4794" s="103"/>
    </row>
    <row r="4795" spans="1:1" ht="13.15" customHeight="1" x14ac:dyDescent="0.2">
      <c r="A4795" s="103"/>
    </row>
    <row r="4796" spans="1:1" ht="13.15" customHeight="1" x14ac:dyDescent="0.2">
      <c r="A4796" s="103"/>
    </row>
    <row r="4797" spans="1:1" ht="13.15" customHeight="1" x14ac:dyDescent="0.2">
      <c r="A4797" s="103"/>
    </row>
    <row r="4798" spans="1:1" ht="13.15" customHeight="1" x14ac:dyDescent="0.2">
      <c r="A4798" s="103"/>
    </row>
    <row r="4799" spans="1:1" ht="13.15" customHeight="1" x14ac:dyDescent="0.2">
      <c r="A4799" s="103"/>
    </row>
    <row r="4800" spans="1:1" ht="13.15" customHeight="1" x14ac:dyDescent="0.2">
      <c r="A4800" s="103"/>
    </row>
    <row r="4801" spans="1:1" ht="13.15" customHeight="1" x14ac:dyDescent="0.2">
      <c r="A4801" s="103"/>
    </row>
    <row r="4802" spans="1:1" ht="13.15" customHeight="1" x14ac:dyDescent="0.2">
      <c r="A4802" s="103"/>
    </row>
    <row r="4803" spans="1:1" ht="13.15" customHeight="1" x14ac:dyDescent="0.2">
      <c r="A4803" s="103"/>
    </row>
    <row r="4804" spans="1:1" ht="13.15" customHeight="1" x14ac:dyDescent="0.2">
      <c r="A4804" s="103"/>
    </row>
    <row r="4805" spans="1:1" ht="13.15" customHeight="1" x14ac:dyDescent="0.2">
      <c r="A4805" s="103"/>
    </row>
    <row r="4806" spans="1:1" ht="13.15" customHeight="1" x14ac:dyDescent="0.2">
      <c r="A4806" s="103"/>
    </row>
    <row r="4807" spans="1:1" ht="13.15" customHeight="1" x14ac:dyDescent="0.2">
      <c r="A4807" s="103"/>
    </row>
    <row r="4808" spans="1:1" ht="13.15" customHeight="1" x14ac:dyDescent="0.2">
      <c r="A4808" s="103"/>
    </row>
    <row r="4809" spans="1:1" ht="13.15" customHeight="1" x14ac:dyDescent="0.2">
      <c r="A4809" s="103"/>
    </row>
    <row r="4810" spans="1:1" ht="13.15" customHeight="1" x14ac:dyDescent="0.2">
      <c r="A4810" s="103"/>
    </row>
    <row r="4811" spans="1:1" ht="13.15" customHeight="1" x14ac:dyDescent="0.2">
      <c r="A4811" s="103"/>
    </row>
    <row r="4812" spans="1:1" ht="13.15" customHeight="1" x14ac:dyDescent="0.2">
      <c r="A4812" s="103"/>
    </row>
    <row r="4813" spans="1:1" ht="13.15" customHeight="1" x14ac:dyDescent="0.2">
      <c r="A4813" s="103"/>
    </row>
    <row r="4814" spans="1:1" ht="13.15" customHeight="1" x14ac:dyDescent="0.2">
      <c r="A4814" s="103"/>
    </row>
    <row r="4815" spans="1:1" ht="13.15" customHeight="1" x14ac:dyDescent="0.2">
      <c r="A4815" s="103"/>
    </row>
    <row r="4816" spans="1:1" ht="13.15" customHeight="1" x14ac:dyDescent="0.2">
      <c r="A4816" s="103"/>
    </row>
    <row r="4817" spans="1:1" ht="13.15" customHeight="1" x14ac:dyDescent="0.2">
      <c r="A4817" s="103"/>
    </row>
    <row r="4818" spans="1:1" ht="13.15" customHeight="1" x14ac:dyDescent="0.2">
      <c r="A4818" s="103"/>
    </row>
    <row r="4819" spans="1:1" ht="13.15" customHeight="1" x14ac:dyDescent="0.2">
      <c r="A4819" s="103"/>
    </row>
    <row r="4820" spans="1:1" ht="13.15" customHeight="1" x14ac:dyDescent="0.2">
      <c r="A4820" s="103"/>
    </row>
    <row r="4821" spans="1:1" ht="13.15" customHeight="1" x14ac:dyDescent="0.2">
      <c r="A4821" s="103"/>
    </row>
    <row r="4822" spans="1:1" ht="13.15" customHeight="1" x14ac:dyDescent="0.2">
      <c r="A4822" s="103"/>
    </row>
    <row r="4823" spans="1:1" ht="13.15" customHeight="1" x14ac:dyDescent="0.2">
      <c r="A4823" s="103"/>
    </row>
    <row r="4824" spans="1:1" ht="13.15" customHeight="1" x14ac:dyDescent="0.2">
      <c r="A4824" s="103"/>
    </row>
    <row r="4825" spans="1:1" ht="13.15" customHeight="1" x14ac:dyDescent="0.2">
      <c r="A4825" s="103"/>
    </row>
    <row r="4826" spans="1:1" ht="13.15" customHeight="1" x14ac:dyDescent="0.2">
      <c r="A4826" s="103"/>
    </row>
    <row r="4827" spans="1:1" ht="13.15" customHeight="1" x14ac:dyDescent="0.2">
      <c r="A4827" s="103"/>
    </row>
    <row r="4828" spans="1:1" ht="13.15" customHeight="1" x14ac:dyDescent="0.2">
      <c r="A4828" s="103"/>
    </row>
    <row r="4829" spans="1:1" ht="13.15" customHeight="1" x14ac:dyDescent="0.2">
      <c r="A4829" s="103"/>
    </row>
    <row r="4830" spans="1:1" ht="13.15" customHeight="1" x14ac:dyDescent="0.2">
      <c r="A4830" s="103"/>
    </row>
    <row r="4831" spans="1:1" ht="13.15" customHeight="1" x14ac:dyDescent="0.2">
      <c r="A4831" s="103"/>
    </row>
    <row r="4832" spans="1:1" ht="13.15" customHeight="1" x14ac:dyDescent="0.2">
      <c r="A4832" s="103"/>
    </row>
    <row r="4833" spans="1:1" ht="13.15" customHeight="1" x14ac:dyDescent="0.2">
      <c r="A4833" s="103"/>
    </row>
    <row r="4834" spans="1:1" ht="13.15" customHeight="1" x14ac:dyDescent="0.2">
      <c r="A4834" s="103"/>
    </row>
    <row r="4835" spans="1:1" ht="13.15" customHeight="1" x14ac:dyDescent="0.2">
      <c r="A4835" s="103"/>
    </row>
    <row r="4836" spans="1:1" ht="13.15" customHeight="1" x14ac:dyDescent="0.2">
      <c r="A4836" s="103"/>
    </row>
    <row r="4837" spans="1:1" ht="13.15" customHeight="1" x14ac:dyDescent="0.2">
      <c r="A4837" s="103"/>
    </row>
    <row r="4838" spans="1:1" ht="13.15" customHeight="1" x14ac:dyDescent="0.2">
      <c r="A4838" s="103"/>
    </row>
    <row r="4839" spans="1:1" ht="13.15" customHeight="1" x14ac:dyDescent="0.2">
      <c r="A4839" s="103"/>
    </row>
    <row r="4840" spans="1:1" ht="13.15" customHeight="1" x14ac:dyDescent="0.2">
      <c r="A4840" s="103"/>
    </row>
    <row r="4841" spans="1:1" ht="13.15" customHeight="1" x14ac:dyDescent="0.2">
      <c r="A4841" s="103"/>
    </row>
    <row r="4842" spans="1:1" ht="13.15" customHeight="1" x14ac:dyDescent="0.2">
      <c r="A4842" s="103"/>
    </row>
    <row r="4843" spans="1:1" ht="13.15" customHeight="1" x14ac:dyDescent="0.2">
      <c r="A4843" s="103"/>
    </row>
    <row r="4844" spans="1:1" ht="13.15" customHeight="1" x14ac:dyDescent="0.2">
      <c r="A4844" s="103"/>
    </row>
    <row r="4845" spans="1:1" ht="13.15" customHeight="1" x14ac:dyDescent="0.2">
      <c r="A4845" s="103"/>
    </row>
    <row r="4846" spans="1:1" ht="13.15" customHeight="1" x14ac:dyDescent="0.2">
      <c r="A4846" s="103"/>
    </row>
    <row r="4847" spans="1:1" ht="13.15" customHeight="1" x14ac:dyDescent="0.2">
      <c r="A4847" s="103"/>
    </row>
    <row r="4848" spans="1:1" ht="13.15" customHeight="1" x14ac:dyDescent="0.2">
      <c r="A4848" s="103"/>
    </row>
    <row r="4849" spans="1:1" ht="13.15" customHeight="1" x14ac:dyDescent="0.2">
      <c r="A4849" s="103"/>
    </row>
    <row r="4850" spans="1:1" ht="13.15" customHeight="1" x14ac:dyDescent="0.2">
      <c r="A4850" s="103"/>
    </row>
    <row r="4851" spans="1:1" ht="13.15" customHeight="1" x14ac:dyDescent="0.2">
      <c r="A4851" s="103"/>
    </row>
    <row r="4852" spans="1:1" ht="13.15" customHeight="1" x14ac:dyDescent="0.2">
      <c r="A4852" s="103"/>
    </row>
    <row r="4853" spans="1:1" ht="13.15" customHeight="1" x14ac:dyDescent="0.2">
      <c r="A4853" s="103"/>
    </row>
    <row r="4854" spans="1:1" ht="13.15" customHeight="1" x14ac:dyDescent="0.2">
      <c r="A4854" s="103"/>
    </row>
    <row r="4855" spans="1:1" ht="13.15" customHeight="1" x14ac:dyDescent="0.2">
      <c r="A4855" s="103"/>
    </row>
    <row r="4856" spans="1:1" ht="13.15" customHeight="1" x14ac:dyDescent="0.2">
      <c r="A4856" s="103"/>
    </row>
    <row r="4857" spans="1:1" ht="13.15" customHeight="1" x14ac:dyDescent="0.2">
      <c r="A4857" s="103"/>
    </row>
    <row r="4858" spans="1:1" ht="13.15" customHeight="1" x14ac:dyDescent="0.2">
      <c r="A4858" s="103"/>
    </row>
    <row r="4859" spans="1:1" ht="13.15" customHeight="1" x14ac:dyDescent="0.2">
      <c r="A4859" s="103"/>
    </row>
    <row r="4860" spans="1:1" ht="13.15" customHeight="1" x14ac:dyDescent="0.2">
      <c r="A4860" s="103"/>
    </row>
    <row r="4861" spans="1:1" ht="13.15" customHeight="1" x14ac:dyDescent="0.2">
      <c r="A4861" s="103"/>
    </row>
    <row r="4862" spans="1:1" ht="13.15" customHeight="1" x14ac:dyDescent="0.2">
      <c r="A4862" s="103"/>
    </row>
    <row r="4863" spans="1:1" ht="13.15" customHeight="1" x14ac:dyDescent="0.2">
      <c r="A4863" s="103"/>
    </row>
    <row r="4864" spans="1:1" ht="13.15" customHeight="1" x14ac:dyDescent="0.2">
      <c r="A4864" s="103"/>
    </row>
    <row r="4865" spans="1:1" ht="13.15" customHeight="1" x14ac:dyDescent="0.2">
      <c r="A4865" s="103"/>
    </row>
    <row r="4866" spans="1:1" ht="13.15" customHeight="1" x14ac:dyDescent="0.2">
      <c r="A4866" s="103"/>
    </row>
    <row r="4867" spans="1:1" ht="13.15" customHeight="1" x14ac:dyDescent="0.2">
      <c r="A4867" s="103"/>
    </row>
    <row r="4868" spans="1:1" ht="13.15" customHeight="1" x14ac:dyDescent="0.2">
      <c r="A4868" s="103"/>
    </row>
    <row r="4869" spans="1:1" ht="13.15" customHeight="1" x14ac:dyDescent="0.2">
      <c r="A4869" s="103"/>
    </row>
    <row r="4870" spans="1:1" ht="13.15" customHeight="1" x14ac:dyDescent="0.2">
      <c r="A4870" s="103"/>
    </row>
    <row r="4871" spans="1:1" ht="13.15" customHeight="1" x14ac:dyDescent="0.2">
      <c r="A4871" s="103"/>
    </row>
    <row r="4872" spans="1:1" ht="13.15" customHeight="1" x14ac:dyDescent="0.2">
      <c r="A4872" s="103"/>
    </row>
    <row r="4873" spans="1:1" ht="13.15" customHeight="1" x14ac:dyDescent="0.2">
      <c r="A4873" s="103"/>
    </row>
    <row r="4874" spans="1:1" ht="13.15" customHeight="1" x14ac:dyDescent="0.2">
      <c r="A4874" s="103"/>
    </row>
    <row r="4875" spans="1:1" ht="13.15" customHeight="1" x14ac:dyDescent="0.2">
      <c r="A4875" s="103"/>
    </row>
    <row r="4876" spans="1:1" ht="13.15" customHeight="1" x14ac:dyDescent="0.2">
      <c r="A4876" s="103"/>
    </row>
    <row r="4877" spans="1:1" ht="13.15" customHeight="1" x14ac:dyDescent="0.2">
      <c r="A4877" s="103"/>
    </row>
    <row r="4878" spans="1:1" ht="13.15" customHeight="1" x14ac:dyDescent="0.2">
      <c r="A4878" s="103"/>
    </row>
    <row r="4879" spans="1:1" ht="13.15" customHeight="1" x14ac:dyDescent="0.2">
      <c r="A4879" s="103"/>
    </row>
    <row r="4880" spans="1:1" ht="13.15" customHeight="1" x14ac:dyDescent="0.2">
      <c r="A4880" s="103"/>
    </row>
    <row r="4881" spans="1:1" ht="13.15" customHeight="1" x14ac:dyDescent="0.2">
      <c r="A4881" s="103"/>
    </row>
    <row r="4882" spans="1:1" ht="13.15" customHeight="1" x14ac:dyDescent="0.2">
      <c r="A4882" s="103"/>
    </row>
    <row r="4883" spans="1:1" ht="13.15" customHeight="1" x14ac:dyDescent="0.2">
      <c r="A4883" s="103"/>
    </row>
    <row r="4884" spans="1:1" ht="13.15" customHeight="1" x14ac:dyDescent="0.2">
      <c r="A4884" s="103"/>
    </row>
    <row r="4885" spans="1:1" ht="13.15" customHeight="1" x14ac:dyDescent="0.2">
      <c r="A4885" s="103"/>
    </row>
    <row r="4886" spans="1:1" ht="13.15" customHeight="1" x14ac:dyDescent="0.2">
      <c r="A4886" s="103"/>
    </row>
    <row r="4887" spans="1:1" ht="13.15" customHeight="1" x14ac:dyDescent="0.2">
      <c r="A4887" s="103"/>
    </row>
    <row r="4888" spans="1:1" ht="13.15" customHeight="1" x14ac:dyDescent="0.2">
      <c r="A4888" s="103"/>
    </row>
    <row r="4889" spans="1:1" ht="13.15" customHeight="1" x14ac:dyDescent="0.2">
      <c r="A4889" s="103"/>
    </row>
    <row r="4890" spans="1:1" ht="13.15" customHeight="1" x14ac:dyDescent="0.2">
      <c r="A4890" s="103"/>
    </row>
    <row r="4891" spans="1:1" ht="13.15" customHeight="1" x14ac:dyDescent="0.2">
      <c r="A4891" s="103"/>
    </row>
    <row r="4892" spans="1:1" ht="13.15" customHeight="1" x14ac:dyDescent="0.2">
      <c r="A4892" s="103"/>
    </row>
    <row r="4893" spans="1:1" ht="13.15" customHeight="1" x14ac:dyDescent="0.2">
      <c r="A4893" s="103"/>
    </row>
    <row r="4894" spans="1:1" ht="13.15" customHeight="1" x14ac:dyDescent="0.2">
      <c r="A4894" s="103"/>
    </row>
    <row r="4895" spans="1:1" ht="13.15" customHeight="1" x14ac:dyDescent="0.2">
      <c r="A4895" s="103"/>
    </row>
    <row r="4896" spans="1:1" ht="13.15" customHeight="1" x14ac:dyDescent="0.2">
      <c r="A4896" s="103"/>
    </row>
    <row r="4897" spans="1:1" ht="13.15" customHeight="1" x14ac:dyDescent="0.2">
      <c r="A4897" s="103"/>
    </row>
    <row r="4898" spans="1:1" ht="13.15" customHeight="1" x14ac:dyDescent="0.2">
      <c r="A4898" s="103"/>
    </row>
    <row r="4899" spans="1:1" ht="13.15" customHeight="1" x14ac:dyDescent="0.2">
      <c r="A4899" s="103"/>
    </row>
    <row r="4900" spans="1:1" ht="13.15" customHeight="1" x14ac:dyDescent="0.2">
      <c r="A4900" s="103"/>
    </row>
    <row r="4901" spans="1:1" ht="13.15" customHeight="1" x14ac:dyDescent="0.2">
      <c r="A4901" s="103"/>
    </row>
    <row r="4902" spans="1:1" ht="13.15" customHeight="1" x14ac:dyDescent="0.2">
      <c r="A4902" s="103"/>
    </row>
    <row r="4903" spans="1:1" ht="13.15" customHeight="1" x14ac:dyDescent="0.2">
      <c r="A4903" s="103"/>
    </row>
    <row r="4904" spans="1:1" ht="13.15" customHeight="1" x14ac:dyDescent="0.2">
      <c r="A4904" s="103"/>
    </row>
    <row r="4905" spans="1:1" ht="13.15" customHeight="1" x14ac:dyDescent="0.2">
      <c r="A4905" s="103"/>
    </row>
    <row r="4906" spans="1:1" ht="13.15" customHeight="1" x14ac:dyDescent="0.2">
      <c r="A4906" s="103"/>
    </row>
    <row r="4907" spans="1:1" ht="13.15" customHeight="1" x14ac:dyDescent="0.2">
      <c r="A4907" s="103"/>
    </row>
    <row r="4908" spans="1:1" ht="13.15" customHeight="1" x14ac:dyDescent="0.2">
      <c r="A4908" s="103"/>
    </row>
    <row r="4909" spans="1:1" ht="13.15" customHeight="1" x14ac:dyDescent="0.2">
      <c r="A4909" s="103"/>
    </row>
    <row r="4910" spans="1:1" ht="13.15" customHeight="1" x14ac:dyDescent="0.2">
      <c r="A4910" s="103"/>
    </row>
    <row r="4911" spans="1:1" ht="13.15" customHeight="1" x14ac:dyDescent="0.2">
      <c r="A4911" s="103"/>
    </row>
    <row r="4912" spans="1:1" ht="13.15" customHeight="1" x14ac:dyDescent="0.2">
      <c r="A4912" s="103"/>
    </row>
    <row r="4913" spans="1:1" ht="13.15" customHeight="1" x14ac:dyDescent="0.2">
      <c r="A4913" s="103"/>
    </row>
    <row r="4914" spans="1:1" ht="13.15" customHeight="1" x14ac:dyDescent="0.2">
      <c r="A4914" s="103"/>
    </row>
    <row r="4915" spans="1:1" ht="13.15" customHeight="1" x14ac:dyDescent="0.2">
      <c r="A4915" s="103"/>
    </row>
    <row r="4916" spans="1:1" ht="13.15" customHeight="1" x14ac:dyDescent="0.2">
      <c r="A4916" s="103"/>
    </row>
    <row r="4917" spans="1:1" ht="13.15" customHeight="1" x14ac:dyDescent="0.2">
      <c r="A4917" s="103"/>
    </row>
    <row r="4918" spans="1:1" ht="13.15" customHeight="1" x14ac:dyDescent="0.2">
      <c r="A4918" s="103"/>
    </row>
    <row r="4919" spans="1:1" ht="13.15" customHeight="1" x14ac:dyDescent="0.2">
      <c r="A4919" s="103"/>
    </row>
    <row r="4920" spans="1:1" ht="13.15" customHeight="1" x14ac:dyDescent="0.2">
      <c r="A4920" s="103"/>
    </row>
    <row r="4921" spans="1:1" ht="13.15" customHeight="1" x14ac:dyDescent="0.2">
      <c r="A4921" s="103"/>
    </row>
    <row r="4922" spans="1:1" ht="13.15" customHeight="1" x14ac:dyDescent="0.2">
      <c r="A4922" s="103"/>
    </row>
    <row r="4923" spans="1:1" ht="13.15" customHeight="1" x14ac:dyDescent="0.2">
      <c r="A4923" s="103"/>
    </row>
    <row r="4924" spans="1:1" ht="13.15" customHeight="1" x14ac:dyDescent="0.2">
      <c r="A4924" s="103"/>
    </row>
    <row r="4925" spans="1:1" ht="13.15" customHeight="1" x14ac:dyDescent="0.2">
      <c r="A4925" s="103"/>
    </row>
    <row r="4926" spans="1:1" ht="13.15" customHeight="1" x14ac:dyDescent="0.2">
      <c r="A4926" s="103"/>
    </row>
    <row r="4927" spans="1:1" ht="13.15" customHeight="1" x14ac:dyDescent="0.2">
      <c r="A4927" s="103"/>
    </row>
    <row r="4928" spans="1:1" ht="13.15" customHeight="1" x14ac:dyDescent="0.2">
      <c r="A4928" s="103"/>
    </row>
    <row r="4929" spans="1:1" ht="13.15" customHeight="1" x14ac:dyDescent="0.2">
      <c r="A4929" s="103"/>
    </row>
    <row r="4930" spans="1:1" ht="13.15" customHeight="1" x14ac:dyDescent="0.2">
      <c r="A4930" s="103"/>
    </row>
    <row r="4931" spans="1:1" ht="13.15" customHeight="1" x14ac:dyDescent="0.2">
      <c r="A4931" s="103"/>
    </row>
    <row r="4932" spans="1:1" ht="13.15" customHeight="1" x14ac:dyDescent="0.2">
      <c r="A4932" s="103"/>
    </row>
    <row r="4933" spans="1:1" ht="13.15" customHeight="1" x14ac:dyDescent="0.2">
      <c r="A4933" s="103"/>
    </row>
    <row r="4934" spans="1:1" ht="13.15" customHeight="1" x14ac:dyDescent="0.2">
      <c r="A4934" s="103"/>
    </row>
    <row r="4935" spans="1:1" ht="13.15" customHeight="1" x14ac:dyDescent="0.2">
      <c r="A4935" s="103"/>
    </row>
    <row r="4936" spans="1:1" ht="13.15" customHeight="1" x14ac:dyDescent="0.2">
      <c r="A4936" s="103"/>
    </row>
    <row r="4937" spans="1:1" ht="13.15" customHeight="1" x14ac:dyDescent="0.2">
      <c r="A4937" s="103"/>
    </row>
    <row r="4938" spans="1:1" ht="13.15" customHeight="1" x14ac:dyDescent="0.2">
      <c r="A4938" s="103"/>
    </row>
    <row r="4939" spans="1:1" ht="13.15" customHeight="1" x14ac:dyDescent="0.2">
      <c r="A4939" s="103"/>
    </row>
    <row r="4940" spans="1:1" ht="13.15" customHeight="1" x14ac:dyDescent="0.2">
      <c r="A4940" s="103"/>
    </row>
    <row r="4941" spans="1:1" ht="13.15" customHeight="1" x14ac:dyDescent="0.2">
      <c r="A4941" s="103"/>
    </row>
    <row r="4942" spans="1:1" ht="13.15" customHeight="1" x14ac:dyDescent="0.2">
      <c r="A4942" s="103"/>
    </row>
    <row r="4943" spans="1:1" ht="13.15" customHeight="1" x14ac:dyDescent="0.2">
      <c r="A4943" s="103"/>
    </row>
    <row r="4944" spans="1:1" ht="13.15" customHeight="1" x14ac:dyDescent="0.2">
      <c r="A4944" s="103"/>
    </row>
    <row r="4945" spans="1:1" ht="13.15" customHeight="1" x14ac:dyDescent="0.2">
      <c r="A4945" s="103"/>
    </row>
    <row r="4946" spans="1:1" ht="13.15" customHeight="1" x14ac:dyDescent="0.2">
      <c r="A4946" s="103"/>
    </row>
    <row r="4947" spans="1:1" ht="13.15" customHeight="1" x14ac:dyDescent="0.2">
      <c r="A4947" s="103"/>
    </row>
    <row r="4948" spans="1:1" ht="13.15" customHeight="1" x14ac:dyDescent="0.2">
      <c r="A4948" s="103"/>
    </row>
    <row r="4949" spans="1:1" ht="13.15" customHeight="1" x14ac:dyDescent="0.2">
      <c r="A4949" s="103"/>
    </row>
    <row r="4950" spans="1:1" ht="13.15" customHeight="1" x14ac:dyDescent="0.2">
      <c r="A4950" s="103"/>
    </row>
    <row r="4951" spans="1:1" ht="13.15" customHeight="1" x14ac:dyDescent="0.2">
      <c r="A4951" s="103"/>
    </row>
    <row r="4952" spans="1:1" ht="13.15" customHeight="1" x14ac:dyDescent="0.2">
      <c r="A4952" s="103"/>
    </row>
    <row r="4953" spans="1:1" ht="13.15" customHeight="1" x14ac:dyDescent="0.2">
      <c r="A4953" s="103"/>
    </row>
    <row r="4954" spans="1:1" ht="13.15" customHeight="1" x14ac:dyDescent="0.2">
      <c r="A4954" s="103"/>
    </row>
    <row r="4955" spans="1:1" ht="13.15" customHeight="1" x14ac:dyDescent="0.2">
      <c r="A4955" s="103"/>
    </row>
    <row r="4956" spans="1:1" ht="13.15" customHeight="1" x14ac:dyDescent="0.2">
      <c r="A4956" s="103"/>
    </row>
    <row r="4957" spans="1:1" ht="13.15" customHeight="1" x14ac:dyDescent="0.2">
      <c r="A4957" s="103"/>
    </row>
    <row r="4958" spans="1:1" ht="13.15" customHeight="1" x14ac:dyDescent="0.2">
      <c r="A4958" s="103"/>
    </row>
    <row r="4959" spans="1:1" ht="13.15" customHeight="1" x14ac:dyDescent="0.2">
      <c r="A4959" s="103"/>
    </row>
    <row r="4960" spans="1:1" ht="13.15" customHeight="1" x14ac:dyDescent="0.2">
      <c r="A4960" s="103"/>
    </row>
    <row r="4961" spans="1:1" ht="13.15" customHeight="1" x14ac:dyDescent="0.2">
      <c r="A4961" s="103"/>
    </row>
    <row r="4962" spans="1:1" ht="13.15" customHeight="1" x14ac:dyDescent="0.2">
      <c r="A4962" s="103"/>
    </row>
    <row r="4963" spans="1:1" ht="13.15" customHeight="1" x14ac:dyDescent="0.2">
      <c r="A4963" s="103"/>
    </row>
    <row r="4964" spans="1:1" ht="13.15" customHeight="1" x14ac:dyDescent="0.2">
      <c r="A4964" s="103"/>
    </row>
    <row r="4965" spans="1:1" ht="13.15" customHeight="1" x14ac:dyDescent="0.2">
      <c r="A4965" s="103"/>
    </row>
    <row r="4966" spans="1:1" ht="13.15" customHeight="1" x14ac:dyDescent="0.2">
      <c r="A4966" s="103"/>
    </row>
    <row r="4967" spans="1:1" ht="13.15" customHeight="1" x14ac:dyDescent="0.2">
      <c r="A4967" s="103"/>
    </row>
    <row r="4968" spans="1:1" ht="13.15" customHeight="1" x14ac:dyDescent="0.2">
      <c r="A4968" s="103"/>
    </row>
    <row r="4969" spans="1:1" ht="13.15" customHeight="1" x14ac:dyDescent="0.2">
      <c r="A4969" s="103"/>
    </row>
    <row r="4970" spans="1:1" ht="13.15" customHeight="1" x14ac:dyDescent="0.2">
      <c r="A4970" s="103"/>
    </row>
    <row r="4971" spans="1:1" ht="13.15" customHeight="1" x14ac:dyDescent="0.2">
      <c r="A4971" s="103"/>
    </row>
    <row r="4972" spans="1:1" ht="13.15" customHeight="1" x14ac:dyDescent="0.2">
      <c r="A4972" s="103"/>
    </row>
    <row r="4973" spans="1:1" ht="13.15" customHeight="1" x14ac:dyDescent="0.2">
      <c r="A4973" s="103"/>
    </row>
    <row r="4974" spans="1:1" ht="13.15" customHeight="1" x14ac:dyDescent="0.2">
      <c r="A4974" s="103"/>
    </row>
    <row r="4975" spans="1:1" ht="13.15" customHeight="1" x14ac:dyDescent="0.2">
      <c r="A4975" s="103"/>
    </row>
    <row r="4976" spans="1:1" ht="13.15" customHeight="1" x14ac:dyDescent="0.2">
      <c r="A4976" s="103"/>
    </row>
    <row r="4977" spans="1:1" ht="13.15" customHeight="1" x14ac:dyDescent="0.2">
      <c r="A4977" s="103"/>
    </row>
    <row r="4978" spans="1:1" ht="13.15" customHeight="1" x14ac:dyDescent="0.2">
      <c r="A4978" s="103"/>
    </row>
    <row r="4979" spans="1:1" ht="13.15" customHeight="1" x14ac:dyDescent="0.2">
      <c r="A4979" s="103"/>
    </row>
    <row r="4980" spans="1:1" ht="13.15" customHeight="1" x14ac:dyDescent="0.2">
      <c r="A4980" s="103"/>
    </row>
    <row r="4981" spans="1:1" ht="13.15" customHeight="1" x14ac:dyDescent="0.2">
      <c r="A4981" s="103"/>
    </row>
    <row r="4982" spans="1:1" ht="13.15" customHeight="1" x14ac:dyDescent="0.2">
      <c r="A4982" s="103"/>
    </row>
    <row r="4983" spans="1:1" ht="13.15" customHeight="1" x14ac:dyDescent="0.2">
      <c r="A4983" s="103"/>
    </row>
    <row r="4984" spans="1:1" ht="13.15" customHeight="1" x14ac:dyDescent="0.2">
      <c r="A4984" s="103"/>
    </row>
    <row r="4985" spans="1:1" ht="13.15" customHeight="1" x14ac:dyDescent="0.2">
      <c r="A4985" s="103"/>
    </row>
    <row r="4986" spans="1:1" ht="13.15" customHeight="1" x14ac:dyDescent="0.2">
      <c r="A4986" s="103"/>
    </row>
    <row r="4987" spans="1:1" ht="13.15" customHeight="1" x14ac:dyDescent="0.2">
      <c r="A4987" s="103"/>
    </row>
    <row r="4988" spans="1:1" ht="13.15" customHeight="1" x14ac:dyDescent="0.2">
      <c r="A4988" s="103"/>
    </row>
    <row r="4989" spans="1:1" ht="13.15" customHeight="1" x14ac:dyDescent="0.2">
      <c r="A4989" s="103"/>
    </row>
    <row r="4990" spans="1:1" ht="13.15" customHeight="1" x14ac:dyDescent="0.2">
      <c r="A4990" s="103"/>
    </row>
    <row r="4991" spans="1:1" ht="13.15" customHeight="1" x14ac:dyDescent="0.2">
      <c r="A4991" s="103"/>
    </row>
    <row r="4992" spans="1:1" ht="13.15" customHeight="1" x14ac:dyDescent="0.2">
      <c r="A4992" s="103"/>
    </row>
    <row r="4993" spans="1:1" ht="13.15" customHeight="1" x14ac:dyDescent="0.2">
      <c r="A4993" s="103"/>
    </row>
    <row r="4994" spans="1:1" ht="13.15" customHeight="1" x14ac:dyDescent="0.2">
      <c r="A4994" s="103"/>
    </row>
    <row r="4995" spans="1:1" ht="13.15" customHeight="1" x14ac:dyDescent="0.2">
      <c r="A4995" s="103"/>
    </row>
    <row r="4996" spans="1:1" ht="13.15" customHeight="1" x14ac:dyDescent="0.2">
      <c r="A4996" s="103"/>
    </row>
    <row r="4997" spans="1:1" ht="13.15" customHeight="1" x14ac:dyDescent="0.2">
      <c r="A4997" s="103"/>
    </row>
    <row r="4998" spans="1:1" ht="13.15" customHeight="1" x14ac:dyDescent="0.2">
      <c r="A4998" s="103"/>
    </row>
    <row r="4999" spans="1:1" ht="13.15" customHeight="1" x14ac:dyDescent="0.2">
      <c r="A4999" s="103"/>
    </row>
    <row r="5000" spans="1:1" ht="13.15" customHeight="1" x14ac:dyDescent="0.2">
      <c r="A5000" s="103"/>
    </row>
    <row r="5001" spans="1:1" ht="13.15" customHeight="1" x14ac:dyDescent="0.2">
      <c r="A5001" s="103"/>
    </row>
    <row r="5002" spans="1:1" ht="13.15" customHeight="1" x14ac:dyDescent="0.2">
      <c r="A5002" s="103"/>
    </row>
    <row r="5003" spans="1:1" ht="13.15" customHeight="1" x14ac:dyDescent="0.2">
      <c r="A5003" s="103"/>
    </row>
    <row r="5004" spans="1:1" ht="13.15" customHeight="1" x14ac:dyDescent="0.2">
      <c r="A5004" s="103"/>
    </row>
    <row r="5005" spans="1:1" ht="13.15" customHeight="1" x14ac:dyDescent="0.2">
      <c r="A5005" s="103"/>
    </row>
    <row r="5006" spans="1:1" ht="13.15" customHeight="1" x14ac:dyDescent="0.2">
      <c r="A5006" s="103"/>
    </row>
    <row r="5007" spans="1:1" ht="13.15" customHeight="1" x14ac:dyDescent="0.2">
      <c r="A5007" s="103"/>
    </row>
    <row r="5008" spans="1:1" ht="13.15" customHeight="1" x14ac:dyDescent="0.2">
      <c r="A5008" s="103"/>
    </row>
    <row r="5009" spans="1:1" ht="13.15" customHeight="1" x14ac:dyDescent="0.2">
      <c r="A5009" s="103"/>
    </row>
    <row r="5010" spans="1:1" ht="13.15" customHeight="1" x14ac:dyDescent="0.2">
      <c r="A5010" s="103"/>
    </row>
    <row r="5011" spans="1:1" ht="13.15" customHeight="1" x14ac:dyDescent="0.2">
      <c r="A5011" s="103"/>
    </row>
    <row r="5012" spans="1:1" ht="13.15" customHeight="1" x14ac:dyDescent="0.2">
      <c r="A5012" s="103"/>
    </row>
    <row r="5013" spans="1:1" ht="13.15" customHeight="1" x14ac:dyDescent="0.2">
      <c r="A5013" s="103"/>
    </row>
    <row r="5014" spans="1:1" ht="13.15" customHeight="1" x14ac:dyDescent="0.2">
      <c r="A5014" s="103"/>
    </row>
    <row r="5015" spans="1:1" ht="13.15" customHeight="1" x14ac:dyDescent="0.2">
      <c r="A5015" s="103"/>
    </row>
    <row r="5016" spans="1:1" ht="13.15" customHeight="1" x14ac:dyDescent="0.2">
      <c r="A5016" s="103"/>
    </row>
    <row r="5017" spans="1:1" ht="13.15" customHeight="1" x14ac:dyDescent="0.2">
      <c r="A5017" s="103"/>
    </row>
    <row r="5018" spans="1:1" ht="13.15" customHeight="1" x14ac:dyDescent="0.2">
      <c r="A5018" s="103"/>
    </row>
    <row r="5019" spans="1:1" ht="13.15" customHeight="1" x14ac:dyDescent="0.2">
      <c r="A5019" s="103"/>
    </row>
    <row r="5020" spans="1:1" ht="13.15" customHeight="1" x14ac:dyDescent="0.2">
      <c r="A5020" s="103"/>
    </row>
    <row r="5021" spans="1:1" ht="13.15" customHeight="1" x14ac:dyDescent="0.2">
      <c r="A5021" s="103"/>
    </row>
    <row r="5022" spans="1:1" ht="13.15" customHeight="1" x14ac:dyDescent="0.2">
      <c r="A5022" s="103"/>
    </row>
    <row r="5023" spans="1:1" ht="13.15" customHeight="1" x14ac:dyDescent="0.2">
      <c r="A5023" s="103"/>
    </row>
    <row r="5024" spans="1:1" ht="13.15" customHeight="1" x14ac:dyDescent="0.2">
      <c r="A5024" s="103"/>
    </row>
    <row r="5025" spans="1:1" ht="13.15" customHeight="1" x14ac:dyDescent="0.2">
      <c r="A5025" s="103"/>
    </row>
    <row r="5026" spans="1:1" ht="13.15" customHeight="1" x14ac:dyDescent="0.2">
      <c r="A5026" s="103"/>
    </row>
    <row r="5027" spans="1:1" ht="13.15" customHeight="1" x14ac:dyDescent="0.2">
      <c r="A5027" s="103"/>
    </row>
    <row r="5028" spans="1:1" ht="13.15" customHeight="1" x14ac:dyDescent="0.2">
      <c r="A5028" s="103"/>
    </row>
    <row r="5029" spans="1:1" ht="13.15" customHeight="1" x14ac:dyDescent="0.2">
      <c r="A5029" s="103"/>
    </row>
    <row r="5030" spans="1:1" ht="13.15" customHeight="1" x14ac:dyDescent="0.2">
      <c r="A5030" s="103"/>
    </row>
    <row r="5031" spans="1:1" ht="13.15" customHeight="1" x14ac:dyDescent="0.2">
      <c r="A5031" s="103"/>
    </row>
    <row r="5032" spans="1:1" ht="13.15" customHeight="1" x14ac:dyDescent="0.2">
      <c r="A5032" s="103"/>
    </row>
    <row r="5033" spans="1:1" ht="13.15" customHeight="1" x14ac:dyDescent="0.2">
      <c r="A5033" s="103"/>
    </row>
    <row r="5034" spans="1:1" ht="13.15" customHeight="1" x14ac:dyDescent="0.2">
      <c r="A5034" s="103"/>
    </row>
    <row r="5035" spans="1:1" ht="13.15" customHeight="1" x14ac:dyDescent="0.2">
      <c r="A5035" s="103"/>
    </row>
    <row r="5036" spans="1:1" ht="13.15" customHeight="1" x14ac:dyDescent="0.2">
      <c r="A5036" s="103"/>
    </row>
    <row r="5037" spans="1:1" ht="13.15" customHeight="1" x14ac:dyDescent="0.2">
      <c r="A5037" s="103"/>
    </row>
    <row r="5038" spans="1:1" ht="13.15" customHeight="1" x14ac:dyDescent="0.2">
      <c r="A5038" s="103"/>
    </row>
    <row r="5039" spans="1:1" ht="13.15" customHeight="1" x14ac:dyDescent="0.2">
      <c r="A5039" s="103"/>
    </row>
    <row r="5040" spans="1:1" ht="13.15" customHeight="1" x14ac:dyDescent="0.2">
      <c r="A5040" s="103"/>
    </row>
    <row r="5041" spans="1:1" ht="13.15" customHeight="1" x14ac:dyDescent="0.2">
      <c r="A5041" s="103"/>
    </row>
    <row r="5042" spans="1:1" ht="13.15" customHeight="1" x14ac:dyDescent="0.2">
      <c r="A5042" s="103"/>
    </row>
    <row r="5043" spans="1:1" ht="13.15" customHeight="1" x14ac:dyDescent="0.2">
      <c r="A5043" s="103"/>
    </row>
    <row r="5044" spans="1:1" ht="13.15" customHeight="1" x14ac:dyDescent="0.2">
      <c r="A5044" s="103"/>
    </row>
    <row r="5045" spans="1:1" ht="13.15" customHeight="1" x14ac:dyDescent="0.2">
      <c r="A5045" s="103"/>
    </row>
    <row r="5046" spans="1:1" ht="13.15" customHeight="1" x14ac:dyDescent="0.2">
      <c r="A5046" s="103"/>
    </row>
    <row r="5047" spans="1:1" ht="13.15" customHeight="1" x14ac:dyDescent="0.2">
      <c r="A5047" s="103"/>
    </row>
    <row r="5048" spans="1:1" ht="13.15" customHeight="1" x14ac:dyDescent="0.2">
      <c r="A5048" s="103"/>
    </row>
    <row r="5049" spans="1:1" ht="13.15" customHeight="1" x14ac:dyDescent="0.2">
      <c r="A5049" s="103"/>
    </row>
    <row r="5050" spans="1:1" ht="13.15" customHeight="1" x14ac:dyDescent="0.2">
      <c r="A5050" s="103"/>
    </row>
    <row r="5051" spans="1:1" ht="13.15" customHeight="1" x14ac:dyDescent="0.2">
      <c r="A5051" s="103"/>
    </row>
    <row r="5052" spans="1:1" ht="13.15" customHeight="1" x14ac:dyDescent="0.2">
      <c r="A5052" s="103"/>
    </row>
    <row r="5053" spans="1:1" ht="13.15" customHeight="1" x14ac:dyDescent="0.2">
      <c r="A5053" s="103"/>
    </row>
    <row r="5054" spans="1:1" ht="13.15" customHeight="1" x14ac:dyDescent="0.2">
      <c r="A5054" s="103"/>
    </row>
    <row r="5055" spans="1:1" ht="13.15" customHeight="1" x14ac:dyDescent="0.2">
      <c r="A5055" s="103"/>
    </row>
    <row r="5056" spans="1:1" ht="13.15" customHeight="1" x14ac:dyDescent="0.2">
      <c r="A5056" s="103"/>
    </row>
    <row r="5057" spans="1:1" ht="13.15" customHeight="1" x14ac:dyDescent="0.2">
      <c r="A5057" s="103"/>
    </row>
    <row r="5058" spans="1:1" ht="13.15" customHeight="1" x14ac:dyDescent="0.2">
      <c r="A5058" s="103"/>
    </row>
    <row r="5059" spans="1:1" ht="13.15" customHeight="1" x14ac:dyDescent="0.2">
      <c r="A5059" s="103"/>
    </row>
    <row r="5060" spans="1:1" ht="13.15" customHeight="1" x14ac:dyDescent="0.2">
      <c r="A5060" s="103"/>
    </row>
    <row r="5061" spans="1:1" ht="13.15" customHeight="1" x14ac:dyDescent="0.2">
      <c r="A5061" s="103"/>
    </row>
    <row r="5062" spans="1:1" ht="13.15" customHeight="1" x14ac:dyDescent="0.2">
      <c r="A5062" s="103"/>
    </row>
    <row r="5063" spans="1:1" ht="13.15" customHeight="1" x14ac:dyDescent="0.2">
      <c r="A5063" s="103"/>
    </row>
    <row r="5064" spans="1:1" ht="13.15" customHeight="1" x14ac:dyDescent="0.2">
      <c r="A5064" s="103"/>
    </row>
    <row r="5065" spans="1:1" ht="13.15" customHeight="1" x14ac:dyDescent="0.2">
      <c r="A5065" s="103"/>
    </row>
    <row r="5066" spans="1:1" ht="13.15" customHeight="1" x14ac:dyDescent="0.2">
      <c r="A5066" s="103"/>
    </row>
    <row r="5067" spans="1:1" ht="13.15" customHeight="1" x14ac:dyDescent="0.2">
      <c r="A5067" s="103"/>
    </row>
    <row r="5068" spans="1:1" ht="13.15" customHeight="1" x14ac:dyDescent="0.2">
      <c r="A5068" s="103"/>
    </row>
    <row r="5069" spans="1:1" ht="13.15" customHeight="1" x14ac:dyDescent="0.2">
      <c r="A5069" s="103"/>
    </row>
    <row r="5070" spans="1:1" ht="13.15" customHeight="1" x14ac:dyDescent="0.2">
      <c r="A5070" s="103"/>
    </row>
    <row r="5071" spans="1:1" ht="13.15" customHeight="1" x14ac:dyDescent="0.2">
      <c r="A5071" s="103"/>
    </row>
    <row r="5072" spans="1:1" ht="13.15" customHeight="1" x14ac:dyDescent="0.2">
      <c r="A5072" s="103"/>
    </row>
    <row r="5073" spans="1:1" ht="13.15" customHeight="1" x14ac:dyDescent="0.2">
      <c r="A5073" s="103"/>
    </row>
    <row r="5074" spans="1:1" ht="13.15" customHeight="1" x14ac:dyDescent="0.2">
      <c r="A5074" s="103"/>
    </row>
    <row r="5075" spans="1:1" ht="13.15" customHeight="1" x14ac:dyDescent="0.2">
      <c r="A5075" s="103"/>
    </row>
    <row r="5076" spans="1:1" ht="13.15" customHeight="1" x14ac:dyDescent="0.2">
      <c r="A5076" s="103"/>
    </row>
    <row r="5077" spans="1:1" ht="13.15" customHeight="1" x14ac:dyDescent="0.2">
      <c r="A5077" s="103"/>
    </row>
    <row r="5078" spans="1:1" ht="13.15" customHeight="1" x14ac:dyDescent="0.2">
      <c r="A5078" s="103"/>
    </row>
    <row r="5079" spans="1:1" ht="13.15" customHeight="1" x14ac:dyDescent="0.2">
      <c r="A5079" s="103"/>
    </row>
    <row r="5080" spans="1:1" ht="13.15" customHeight="1" x14ac:dyDescent="0.2">
      <c r="A5080" s="103"/>
    </row>
    <row r="5081" spans="1:1" ht="13.15" customHeight="1" x14ac:dyDescent="0.2">
      <c r="A5081" s="103"/>
    </row>
    <row r="5082" spans="1:1" ht="13.15" customHeight="1" x14ac:dyDescent="0.2">
      <c r="A5082" s="103"/>
    </row>
    <row r="5083" spans="1:1" ht="13.15" customHeight="1" x14ac:dyDescent="0.2">
      <c r="A5083" s="103"/>
    </row>
    <row r="5084" spans="1:1" ht="13.15" customHeight="1" x14ac:dyDescent="0.2">
      <c r="A5084" s="103"/>
    </row>
    <row r="5085" spans="1:1" ht="13.15" customHeight="1" x14ac:dyDescent="0.2">
      <c r="A5085" s="103"/>
    </row>
    <row r="5086" spans="1:1" ht="13.15" customHeight="1" x14ac:dyDescent="0.2">
      <c r="A5086" s="103"/>
    </row>
    <row r="5087" spans="1:1" ht="13.15" customHeight="1" x14ac:dyDescent="0.2">
      <c r="A5087" s="103"/>
    </row>
    <row r="5088" spans="1:1" ht="13.15" customHeight="1" x14ac:dyDescent="0.2">
      <c r="A5088" s="103"/>
    </row>
    <row r="5089" spans="1:1" ht="13.15" customHeight="1" x14ac:dyDescent="0.2">
      <c r="A5089" s="103"/>
    </row>
    <row r="5090" spans="1:1" ht="13.15" customHeight="1" x14ac:dyDescent="0.2">
      <c r="A5090" s="103"/>
    </row>
    <row r="5091" spans="1:1" ht="13.15" customHeight="1" x14ac:dyDescent="0.2">
      <c r="A5091" s="103"/>
    </row>
    <row r="5092" spans="1:1" ht="13.15" customHeight="1" x14ac:dyDescent="0.2">
      <c r="A5092" s="103"/>
    </row>
    <row r="5093" spans="1:1" ht="13.15" customHeight="1" x14ac:dyDescent="0.2">
      <c r="A5093" s="103"/>
    </row>
    <row r="5094" spans="1:1" ht="13.15" customHeight="1" x14ac:dyDescent="0.2">
      <c r="A5094" s="103"/>
    </row>
    <row r="5095" spans="1:1" ht="13.15" customHeight="1" x14ac:dyDescent="0.2">
      <c r="A5095" s="103"/>
    </row>
    <row r="5096" spans="1:1" ht="13.15" customHeight="1" x14ac:dyDescent="0.2">
      <c r="A5096" s="103"/>
    </row>
    <row r="5097" spans="1:1" ht="13.15" customHeight="1" x14ac:dyDescent="0.2">
      <c r="A5097" s="103"/>
    </row>
    <row r="5098" spans="1:1" ht="13.15" customHeight="1" x14ac:dyDescent="0.2">
      <c r="A5098" s="103"/>
    </row>
    <row r="5099" spans="1:1" ht="13.15" customHeight="1" x14ac:dyDescent="0.2">
      <c r="A5099" s="103"/>
    </row>
    <row r="5100" spans="1:1" ht="13.15" customHeight="1" x14ac:dyDescent="0.2">
      <c r="A5100" s="103"/>
    </row>
    <row r="5101" spans="1:1" ht="13.15" customHeight="1" x14ac:dyDescent="0.2">
      <c r="A5101" s="103"/>
    </row>
    <row r="5102" spans="1:1" ht="13.15" customHeight="1" x14ac:dyDescent="0.2">
      <c r="A5102" s="103"/>
    </row>
    <row r="5103" spans="1:1" ht="13.15" customHeight="1" x14ac:dyDescent="0.2">
      <c r="A5103" s="103"/>
    </row>
    <row r="5104" spans="1:1" ht="13.15" customHeight="1" x14ac:dyDescent="0.2">
      <c r="A5104" s="103"/>
    </row>
    <row r="5105" spans="1:1" ht="13.15" customHeight="1" x14ac:dyDescent="0.2">
      <c r="A5105" s="103"/>
    </row>
    <row r="5106" spans="1:1" ht="13.15" customHeight="1" x14ac:dyDescent="0.2">
      <c r="A5106" s="103"/>
    </row>
    <row r="5107" spans="1:1" ht="13.15" customHeight="1" x14ac:dyDescent="0.2">
      <c r="A5107" s="103"/>
    </row>
    <row r="5108" spans="1:1" ht="13.15" customHeight="1" x14ac:dyDescent="0.2">
      <c r="A5108" s="103"/>
    </row>
    <row r="5109" spans="1:1" ht="13.15" customHeight="1" x14ac:dyDescent="0.2">
      <c r="A5109" s="103"/>
    </row>
    <row r="5110" spans="1:1" ht="13.15" customHeight="1" x14ac:dyDescent="0.2">
      <c r="A5110" s="103"/>
    </row>
    <row r="5111" spans="1:1" ht="13.15" customHeight="1" x14ac:dyDescent="0.2">
      <c r="A5111" s="103"/>
    </row>
    <row r="5112" spans="1:1" ht="13.15" customHeight="1" x14ac:dyDescent="0.2">
      <c r="A5112" s="103"/>
    </row>
    <row r="5113" spans="1:1" ht="13.15" customHeight="1" x14ac:dyDescent="0.2">
      <c r="A5113" s="103"/>
    </row>
    <row r="5114" spans="1:1" ht="13.15" customHeight="1" x14ac:dyDescent="0.2">
      <c r="A5114" s="103"/>
    </row>
    <row r="5115" spans="1:1" ht="13.15" customHeight="1" x14ac:dyDescent="0.2">
      <c r="A5115" s="103"/>
    </row>
    <row r="5116" spans="1:1" ht="13.15" customHeight="1" x14ac:dyDescent="0.2">
      <c r="A5116" s="103"/>
    </row>
    <row r="5117" spans="1:1" ht="13.15" customHeight="1" x14ac:dyDescent="0.2">
      <c r="A5117" s="103"/>
    </row>
    <row r="5118" spans="1:1" ht="13.15" customHeight="1" x14ac:dyDescent="0.2">
      <c r="A5118" s="103"/>
    </row>
    <row r="5119" spans="1:1" ht="13.15" customHeight="1" x14ac:dyDescent="0.2">
      <c r="A5119" s="103"/>
    </row>
    <row r="5120" spans="1:1" ht="13.15" customHeight="1" x14ac:dyDescent="0.2">
      <c r="A5120" s="103"/>
    </row>
    <row r="5121" spans="1:1" ht="13.15" customHeight="1" x14ac:dyDescent="0.2">
      <c r="A5121" s="103"/>
    </row>
    <row r="5122" spans="1:1" ht="13.15" customHeight="1" x14ac:dyDescent="0.2">
      <c r="A5122" s="103"/>
    </row>
    <row r="5123" spans="1:1" ht="13.15" customHeight="1" x14ac:dyDescent="0.2">
      <c r="A5123" s="103"/>
    </row>
    <row r="5124" spans="1:1" ht="13.15" customHeight="1" x14ac:dyDescent="0.2">
      <c r="A5124" s="103"/>
    </row>
    <row r="5125" spans="1:1" ht="13.15" customHeight="1" x14ac:dyDescent="0.2">
      <c r="A5125" s="103"/>
    </row>
    <row r="5126" spans="1:1" ht="13.15" customHeight="1" x14ac:dyDescent="0.2">
      <c r="A5126" s="103"/>
    </row>
    <row r="5127" spans="1:1" ht="13.15" customHeight="1" x14ac:dyDescent="0.2">
      <c r="A5127" s="103"/>
    </row>
    <row r="5128" spans="1:1" ht="13.15" customHeight="1" x14ac:dyDescent="0.2">
      <c r="A5128" s="103"/>
    </row>
    <row r="5129" spans="1:1" ht="13.15" customHeight="1" x14ac:dyDescent="0.2">
      <c r="A5129" s="103"/>
    </row>
    <row r="5130" spans="1:1" ht="13.15" customHeight="1" x14ac:dyDescent="0.2">
      <c r="A5130" s="103"/>
    </row>
    <row r="5131" spans="1:1" ht="13.15" customHeight="1" x14ac:dyDescent="0.2">
      <c r="A5131" s="103"/>
    </row>
    <row r="5132" spans="1:1" ht="13.15" customHeight="1" x14ac:dyDescent="0.2">
      <c r="A5132" s="103"/>
    </row>
    <row r="5133" spans="1:1" ht="13.15" customHeight="1" x14ac:dyDescent="0.2">
      <c r="A5133" s="103"/>
    </row>
    <row r="5134" spans="1:1" ht="13.15" customHeight="1" x14ac:dyDescent="0.2">
      <c r="A5134" s="103"/>
    </row>
    <row r="5135" spans="1:1" ht="13.15" customHeight="1" x14ac:dyDescent="0.2">
      <c r="A5135" s="103"/>
    </row>
    <row r="5136" spans="1:1" ht="13.15" customHeight="1" x14ac:dyDescent="0.2">
      <c r="A5136" s="103"/>
    </row>
    <row r="5137" spans="1:1" ht="13.15" customHeight="1" x14ac:dyDescent="0.2">
      <c r="A5137" s="103"/>
    </row>
    <row r="5138" spans="1:1" ht="13.15" customHeight="1" x14ac:dyDescent="0.2">
      <c r="A5138" s="103"/>
    </row>
    <row r="5139" spans="1:1" ht="13.15" customHeight="1" x14ac:dyDescent="0.2">
      <c r="A5139" s="103"/>
    </row>
    <row r="5140" spans="1:1" ht="13.15" customHeight="1" x14ac:dyDescent="0.2">
      <c r="A5140" s="103"/>
    </row>
    <row r="5141" spans="1:1" ht="13.15" customHeight="1" x14ac:dyDescent="0.2">
      <c r="A5141" s="103"/>
    </row>
    <row r="5142" spans="1:1" ht="13.15" customHeight="1" x14ac:dyDescent="0.2">
      <c r="A5142" s="103"/>
    </row>
    <row r="5143" spans="1:1" ht="13.15" customHeight="1" x14ac:dyDescent="0.2">
      <c r="A5143" s="103"/>
    </row>
    <row r="5144" spans="1:1" ht="13.15" customHeight="1" x14ac:dyDescent="0.2">
      <c r="A5144" s="103"/>
    </row>
    <row r="5145" spans="1:1" ht="13.15" customHeight="1" x14ac:dyDescent="0.2">
      <c r="A5145" s="103"/>
    </row>
    <row r="5146" spans="1:1" ht="13.15" customHeight="1" x14ac:dyDescent="0.2">
      <c r="A5146" s="103"/>
    </row>
    <row r="5147" spans="1:1" ht="13.15" customHeight="1" x14ac:dyDescent="0.2">
      <c r="A5147" s="103"/>
    </row>
    <row r="5148" spans="1:1" ht="13.15" customHeight="1" x14ac:dyDescent="0.2">
      <c r="A5148" s="103"/>
    </row>
    <row r="5149" spans="1:1" ht="13.15" customHeight="1" x14ac:dyDescent="0.2">
      <c r="A5149" s="103"/>
    </row>
    <row r="5150" spans="1:1" ht="13.15" customHeight="1" x14ac:dyDescent="0.2">
      <c r="A5150" s="103"/>
    </row>
    <row r="5151" spans="1:1" ht="13.15" customHeight="1" x14ac:dyDescent="0.2">
      <c r="A5151" s="103"/>
    </row>
    <row r="5152" spans="1:1" ht="13.15" customHeight="1" x14ac:dyDescent="0.2">
      <c r="A5152" s="103"/>
    </row>
    <row r="5153" spans="1:1" ht="13.15" customHeight="1" x14ac:dyDescent="0.2">
      <c r="A5153" s="103"/>
    </row>
    <row r="5154" spans="1:1" ht="13.15" customHeight="1" x14ac:dyDescent="0.2">
      <c r="A5154" s="103"/>
    </row>
    <row r="5155" spans="1:1" ht="13.15" customHeight="1" x14ac:dyDescent="0.2">
      <c r="A5155" s="103"/>
    </row>
    <row r="5156" spans="1:1" ht="13.15" customHeight="1" x14ac:dyDescent="0.2">
      <c r="A5156" s="103"/>
    </row>
    <row r="5157" spans="1:1" ht="13.15" customHeight="1" x14ac:dyDescent="0.2">
      <c r="A5157" s="103"/>
    </row>
    <row r="5158" spans="1:1" ht="13.15" customHeight="1" x14ac:dyDescent="0.2">
      <c r="A5158" s="103"/>
    </row>
    <row r="5159" spans="1:1" ht="13.15" customHeight="1" x14ac:dyDescent="0.2">
      <c r="A5159" s="103"/>
    </row>
    <row r="5160" spans="1:1" ht="13.15" customHeight="1" x14ac:dyDescent="0.2">
      <c r="A5160" s="103"/>
    </row>
    <row r="5161" spans="1:1" ht="13.15" customHeight="1" x14ac:dyDescent="0.2">
      <c r="A5161" s="103"/>
    </row>
    <row r="5162" spans="1:1" ht="13.15" customHeight="1" x14ac:dyDescent="0.2">
      <c r="A5162" s="103"/>
    </row>
    <row r="5163" spans="1:1" ht="13.15" customHeight="1" x14ac:dyDescent="0.2">
      <c r="A5163" s="103"/>
    </row>
    <row r="5164" spans="1:1" ht="13.15" customHeight="1" x14ac:dyDescent="0.2">
      <c r="A5164" s="103"/>
    </row>
    <row r="5165" spans="1:1" ht="13.15" customHeight="1" x14ac:dyDescent="0.2">
      <c r="A5165" s="103"/>
    </row>
    <row r="5166" spans="1:1" ht="13.15" customHeight="1" x14ac:dyDescent="0.2">
      <c r="A5166" s="103"/>
    </row>
    <row r="5167" spans="1:1" ht="13.15" customHeight="1" x14ac:dyDescent="0.2">
      <c r="A5167" s="103"/>
    </row>
    <row r="5168" spans="1:1" ht="13.15" customHeight="1" x14ac:dyDescent="0.2">
      <c r="A5168" s="103"/>
    </row>
    <row r="5169" spans="1:1" ht="13.15" customHeight="1" x14ac:dyDescent="0.2">
      <c r="A5169" s="103"/>
    </row>
    <row r="5170" spans="1:1" ht="13.15" customHeight="1" x14ac:dyDescent="0.2">
      <c r="A5170" s="103"/>
    </row>
    <row r="5171" spans="1:1" ht="13.15" customHeight="1" x14ac:dyDescent="0.2">
      <c r="A5171" s="103"/>
    </row>
    <row r="5172" spans="1:1" ht="13.15" customHeight="1" x14ac:dyDescent="0.2">
      <c r="A5172" s="103"/>
    </row>
    <row r="5173" spans="1:1" ht="13.15" customHeight="1" x14ac:dyDescent="0.2">
      <c r="A5173" s="103"/>
    </row>
    <row r="5174" spans="1:1" ht="13.15" customHeight="1" x14ac:dyDescent="0.2">
      <c r="A5174" s="103"/>
    </row>
    <row r="5175" spans="1:1" ht="13.15" customHeight="1" x14ac:dyDescent="0.2">
      <c r="A5175" s="103"/>
    </row>
    <row r="5176" spans="1:1" ht="13.15" customHeight="1" x14ac:dyDescent="0.2">
      <c r="A5176" s="103"/>
    </row>
    <row r="5177" spans="1:1" ht="13.15" customHeight="1" x14ac:dyDescent="0.2">
      <c r="A5177" s="103"/>
    </row>
    <row r="5178" spans="1:1" ht="13.15" customHeight="1" x14ac:dyDescent="0.2">
      <c r="A5178" s="103"/>
    </row>
    <row r="5179" spans="1:1" ht="13.15" customHeight="1" x14ac:dyDescent="0.2">
      <c r="A5179" s="103"/>
    </row>
    <row r="5180" spans="1:1" ht="13.15" customHeight="1" x14ac:dyDescent="0.2">
      <c r="A5180" s="103"/>
    </row>
    <row r="5181" spans="1:1" ht="13.15" customHeight="1" x14ac:dyDescent="0.2">
      <c r="A5181" s="103"/>
    </row>
    <row r="5182" spans="1:1" ht="13.15" customHeight="1" x14ac:dyDescent="0.2">
      <c r="A5182" s="103"/>
    </row>
    <row r="5183" spans="1:1" ht="13.15" customHeight="1" x14ac:dyDescent="0.2">
      <c r="A5183" s="103"/>
    </row>
    <row r="5184" spans="1:1" ht="13.15" customHeight="1" x14ac:dyDescent="0.2">
      <c r="A5184" s="103"/>
    </row>
    <row r="5185" spans="1:1" ht="13.15" customHeight="1" x14ac:dyDescent="0.2">
      <c r="A5185" s="103"/>
    </row>
    <row r="5186" spans="1:1" ht="13.15" customHeight="1" x14ac:dyDescent="0.2">
      <c r="A5186" s="103"/>
    </row>
    <row r="5187" spans="1:1" ht="13.15" customHeight="1" x14ac:dyDescent="0.2">
      <c r="A5187" s="103"/>
    </row>
    <row r="5188" spans="1:1" ht="13.15" customHeight="1" x14ac:dyDescent="0.2">
      <c r="A5188" s="103"/>
    </row>
    <row r="5189" spans="1:1" ht="13.15" customHeight="1" x14ac:dyDescent="0.2">
      <c r="A5189" s="103"/>
    </row>
    <row r="5190" spans="1:1" ht="13.15" customHeight="1" x14ac:dyDescent="0.2">
      <c r="A5190" s="103"/>
    </row>
    <row r="5191" spans="1:1" ht="13.15" customHeight="1" x14ac:dyDescent="0.2">
      <c r="A5191" s="103"/>
    </row>
    <row r="5192" spans="1:1" ht="13.15" customHeight="1" x14ac:dyDescent="0.2">
      <c r="A5192" s="103"/>
    </row>
    <row r="5193" spans="1:1" ht="13.15" customHeight="1" x14ac:dyDescent="0.2">
      <c r="A5193" s="103"/>
    </row>
    <row r="5194" spans="1:1" ht="13.15" customHeight="1" x14ac:dyDescent="0.2">
      <c r="A5194" s="103"/>
    </row>
    <row r="5195" spans="1:1" ht="13.15" customHeight="1" x14ac:dyDescent="0.2">
      <c r="A5195" s="103"/>
    </row>
    <row r="5196" spans="1:1" ht="13.15" customHeight="1" x14ac:dyDescent="0.2">
      <c r="A5196" s="103"/>
    </row>
    <row r="5197" spans="1:1" ht="13.15" customHeight="1" x14ac:dyDescent="0.2">
      <c r="A5197" s="103"/>
    </row>
    <row r="5198" spans="1:1" ht="13.15" customHeight="1" x14ac:dyDescent="0.2">
      <c r="A5198" s="103"/>
    </row>
    <row r="5199" spans="1:1" ht="13.15" customHeight="1" x14ac:dyDescent="0.2">
      <c r="A5199" s="103"/>
    </row>
    <row r="5200" spans="1:1" ht="13.15" customHeight="1" x14ac:dyDescent="0.2">
      <c r="A5200" s="103"/>
    </row>
    <row r="5201" spans="1:1" ht="13.15" customHeight="1" x14ac:dyDescent="0.2">
      <c r="A5201" s="103"/>
    </row>
    <row r="5202" spans="1:1" ht="13.15" customHeight="1" x14ac:dyDescent="0.2">
      <c r="A5202" s="103"/>
    </row>
    <row r="5203" spans="1:1" ht="13.15" customHeight="1" x14ac:dyDescent="0.2">
      <c r="A5203" s="103"/>
    </row>
    <row r="5204" spans="1:1" ht="13.15" customHeight="1" x14ac:dyDescent="0.2">
      <c r="A5204" s="103"/>
    </row>
    <row r="5205" spans="1:1" ht="13.15" customHeight="1" x14ac:dyDescent="0.2">
      <c r="A5205" s="103"/>
    </row>
    <row r="5206" spans="1:1" ht="13.15" customHeight="1" x14ac:dyDescent="0.2">
      <c r="A5206" s="103"/>
    </row>
    <row r="5207" spans="1:1" ht="13.15" customHeight="1" x14ac:dyDescent="0.2">
      <c r="A5207" s="103"/>
    </row>
    <row r="5208" spans="1:1" ht="13.15" customHeight="1" x14ac:dyDescent="0.2">
      <c r="A5208" s="103"/>
    </row>
    <row r="5209" spans="1:1" ht="13.15" customHeight="1" x14ac:dyDescent="0.2">
      <c r="A5209" s="103"/>
    </row>
    <row r="5210" spans="1:1" ht="13.15" customHeight="1" x14ac:dyDescent="0.2">
      <c r="A5210" s="103"/>
    </row>
    <row r="5211" spans="1:1" ht="13.15" customHeight="1" x14ac:dyDescent="0.2">
      <c r="A5211" s="103"/>
    </row>
    <row r="5212" spans="1:1" ht="13.15" customHeight="1" x14ac:dyDescent="0.2">
      <c r="A5212" s="103"/>
    </row>
    <row r="5213" spans="1:1" ht="13.15" customHeight="1" x14ac:dyDescent="0.2">
      <c r="A5213" s="103"/>
    </row>
    <row r="5214" spans="1:1" ht="13.15" customHeight="1" x14ac:dyDescent="0.2">
      <c r="A5214" s="103"/>
    </row>
    <row r="5215" spans="1:1" ht="13.15" customHeight="1" x14ac:dyDescent="0.2">
      <c r="A5215" s="103"/>
    </row>
    <row r="5216" spans="1:1" ht="13.15" customHeight="1" x14ac:dyDescent="0.2">
      <c r="A5216" s="103"/>
    </row>
    <row r="5217" spans="1:1" ht="13.15" customHeight="1" x14ac:dyDescent="0.2">
      <c r="A5217" s="103"/>
    </row>
    <row r="5218" spans="1:1" ht="13.15" customHeight="1" x14ac:dyDescent="0.2">
      <c r="A5218" s="103"/>
    </row>
    <row r="5219" spans="1:1" ht="13.15" customHeight="1" x14ac:dyDescent="0.2">
      <c r="A5219" s="103"/>
    </row>
    <row r="5220" spans="1:1" ht="13.15" customHeight="1" x14ac:dyDescent="0.2">
      <c r="A5220" s="103"/>
    </row>
    <row r="5221" spans="1:1" ht="13.15" customHeight="1" x14ac:dyDescent="0.2">
      <c r="A5221" s="103"/>
    </row>
    <row r="5222" spans="1:1" ht="13.15" customHeight="1" x14ac:dyDescent="0.2">
      <c r="A5222" s="103"/>
    </row>
    <row r="5223" spans="1:1" ht="13.15" customHeight="1" x14ac:dyDescent="0.2">
      <c r="A5223" s="103"/>
    </row>
    <row r="5224" spans="1:1" ht="13.15" customHeight="1" x14ac:dyDescent="0.2">
      <c r="A5224" s="103"/>
    </row>
    <row r="5225" spans="1:1" ht="13.15" customHeight="1" x14ac:dyDescent="0.2">
      <c r="A5225" s="103"/>
    </row>
    <row r="5226" spans="1:1" ht="13.15" customHeight="1" x14ac:dyDescent="0.2">
      <c r="A5226" s="103"/>
    </row>
    <row r="5227" spans="1:1" ht="13.15" customHeight="1" x14ac:dyDescent="0.2">
      <c r="A5227" s="103"/>
    </row>
    <row r="5228" spans="1:1" ht="13.15" customHeight="1" x14ac:dyDescent="0.2">
      <c r="A5228" s="103"/>
    </row>
    <row r="5229" spans="1:1" ht="13.15" customHeight="1" x14ac:dyDescent="0.2">
      <c r="A5229" s="103"/>
    </row>
    <row r="5230" spans="1:1" ht="13.15" customHeight="1" x14ac:dyDescent="0.2">
      <c r="A5230" s="103"/>
    </row>
    <row r="5231" spans="1:1" ht="13.15" customHeight="1" x14ac:dyDescent="0.2">
      <c r="A5231" s="103"/>
    </row>
    <row r="5232" spans="1:1" ht="13.15" customHeight="1" x14ac:dyDescent="0.2">
      <c r="A5232" s="103"/>
    </row>
    <row r="5233" spans="1:1" ht="13.15" customHeight="1" x14ac:dyDescent="0.2">
      <c r="A5233" s="103"/>
    </row>
    <row r="5234" spans="1:1" ht="13.15" customHeight="1" x14ac:dyDescent="0.2">
      <c r="A5234" s="103"/>
    </row>
    <row r="5235" spans="1:1" ht="13.15" customHeight="1" x14ac:dyDescent="0.2">
      <c r="A5235" s="103"/>
    </row>
    <row r="5236" spans="1:1" ht="13.15" customHeight="1" x14ac:dyDescent="0.2">
      <c r="A5236" s="103"/>
    </row>
    <row r="5237" spans="1:1" ht="13.15" customHeight="1" x14ac:dyDescent="0.2">
      <c r="A5237" s="103"/>
    </row>
    <row r="5238" spans="1:1" ht="13.15" customHeight="1" x14ac:dyDescent="0.2">
      <c r="A5238" s="103"/>
    </row>
    <row r="5239" spans="1:1" ht="13.15" customHeight="1" x14ac:dyDescent="0.2">
      <c r="A5239" s="103"/>
    </row>
    <row r="5240" spans="1:1" ht="13.15" customHeight="1" x14ac:dyDescent="0.2">
      <c r="A5240" s="103"/>
    </row>
    <row r="5241" spans="1:1" ht="13.15" customHeight="1" x14ac:dyDescent="0.2">
      <c r="A5241" s="103"/>
    </row>
    <row r="5242" spans="1:1" ht="13.15" customHeight="1" x14ac:dyDescent="0.2">
      <c r="A5242" s="103"/>
    </row>
    <row r="5243" spans="1:1" ht="13.15" customHeight="1" x14ac:dyDescent="0.2">
      <c r="A5243" s="103"/>
    </row>
    <row r="5244" spans="1:1" ht="13.15" customHeight="1" x14ac:dyDescent="0.2">
      <c r="A5244" s="103"/>
    </row>
    <row r="5245" spans="1:1" ht="13.15" customHeight="1" x14ac:dyDescent="0.2">
      <c r="A5245" s="103"/>
    </row>
    <row r="5246" spans="1:1" ht="13.15" customHeight="1" x14ac:dyDescent="0.2">
      <c r="A5246" s="103"/>
    </row>
    <row r="5247" spans="1:1" ht="13.15" customHeight="1" x14ac:dyDescent="0.2">
      <c r="A5247" s="103"/>
    </row>
    <row r="5248" spans="1:1" ht="13.15" customHeight="1" x14ac:dyDescent="0.2">
      <c r="A5248" s="103"/>
    </row>
    <row r="5249" spans="1:1" ht="13.15" customHeight="1" x14ac:dyDescent="0.2">
      <c r="A5249" s="103"/>
    </row>
    <row r="5250" spans="1:1" ht="13.15" customHeight="1" x14ac:dyDescent="0.2">
      <c r="A5250" s="103"/>
    </row>
    <row r="5251" spans="1:1" ht="13.15" customHeight="1" x14ac:dyDescent="0.2">
      <c r="A5251" s="103"/>
    </row>
    <row r="5252" spans="1:1" ht="13.15" customHeight="1" x14ac:dyDescent="0.2">
      <c r="A5252" s="103"/>
    </row>
    <row r="5253" spans="1:1" ht="13.15" customHeight="1" x14ac:dyDescent="0.2">
      <c r="A5253" s="103"/>
    </row>
    <row r="5254" spans="1:1" ht="13.15" customHeight="1" x14ac:dyDescent="0.2">
      <c r="A5254" s="103"/>
    </row>
    <row r="5255" spans="1:1" ht="13.15" customHeight="1" x14ac:dyDescent="0.2">
      <c r="A5255" s="103"/>
    </row>
    <row r="5256" spans="1:1" ht="13.15" customHeight="1" x14ac:dyDescent="0.2">
      <c r="A5256" s="103"/>
    </row>
    <row r="5257" spans="1:1" ht="13.15" customHeight="1" x14ac:dyDescent="0.2">
      <c r="A5257" s="103"/>
    </row>
    <row r="5258" spans="1:1" ht="13.15" customHeight="1" x14ac:dyDescent="0.2">
      <c r="A5258" s="103"/>
    </row>
    <row r="5259" spans="1:1" ht="13.15" customHeight="1" x14ac:dyDescent="0.2">
      <c r="A5259" s="103"/>
    </row>
    <row r="5260" spans="1:1" ht="13.15" customHeight="1" x14ac:dyDescent="0.2">
      <c r="A5260" s="103"/>
    </row>
    <row r="5261" spans="1:1" ht="13.15" customHeight="1" x14ac:dyDescent="0.2">
      <c r="A5261" s="103"/>
    </row>
    <row r="5262" spans="1:1" ht="13.15" customHeight="1" x14ac:dyDescent="0.2">
      <c r="A5262" s="103"/>
    </row>
    <row r="5263" spans="1:1" ht="13.15" customHeight="1" x14ac:dyDescent="0.2">
      <c r="A5263" s="103"/>
    </row>
    <row r="5264" spans="1:1" ht="13.15" customHeight="1" x14ac:dyDescent="0.2">
      <c r="A5264" s="103"/>
    </row>
    <row r="5265" spans="1:1" ht="13.15" customHeight="1" x14ac:dyDescent="0.2">
      <c r="A5265" s="103"/>
    </row>
    <row r="5266" spans="1:1" ht="13.15" customHeight="1" x14ac:dyDescent="0.2">
      <c r="A5266" s="103"/>
    </row>
    <row r="5267" spans="1:1" ht="13.15" customHeight="1" x14ac:dyDescent="0.2">
      <c r="A5267" s="103"/>
    </row>
    <row r="5268" spans="1:1" ht="13.15" customHeight="1" x14ac:dyDescent="0.2">
      <c r="A5268" s="103"/>
    </row>
    <row r="5269" spans="1:1" ht="13.15" customHeight="1" x14ac:dyDescent="0.2">
      <c r="A5269" s="103"/>
    </row>
    <row r="5270" spans="1:1" ht="13.15" customHeight="1" x14ac:dyDescent="0.2">
      <c r="A5270" s="103"/>
    </row>
    <row r="5271" spans="1:1" ht="13.15" customHeight="1" x14ac:dyDescent="0.2">
      <c r="A5271" s="103"/>
    </row>
    <row r="5272" spans="1:1" ht="13.15" customHeight="1" x14ac:dyDescent="0.2">
      <c r="A5272" s="103"/>
    </row>
    <row r="5273" spans="1:1" ht="13.15" customHeight="1" x14ac:dyDescent="0.2">
      <c r="A5273" s="103"/>
    </row>
    <row r="5274" spans="1:1" ht="13.15" customHeight="1" x14ac:dyDescent="0.2">
      <c r="A5274" s="103"/>
    </row>
    <row r="5275" spans="1:1" ht="13.15" customHeight="1" x14ac:dyDescent="0.2">
      <c r="A5275" s="103"/>
    </row>
    <row r="5276" spans="1:1" ht="13.15" customHeight="1" x14ac:dyDescent="0.2">
      <c r="A5276" s="103"/>
    </row>
    <row r="5277" spans="1:1" ht="13.15" customHeight="1" x14ac:dyDescent="0.2">
      <c r="A5277" s="103"/>
    </row>
    <row r="5278" spans="1:1" ht="13.15" customHeight="1" x14ac:dyDescent="0.2">
      <c r="A5278" s="103"/>
    </row>
    <row r="5279" spans="1:1" ht="13.15" customHeight="1" x14ac:dyDescent="0.2">
      <c r="A5279" s="103"/>
    </row>
    <row r="5280" spans="1:1" ht="13.15" customHeight="1" x14ac:dyDescent="0.2">
      <c r="A5280" s="103"/>
    </row>
    <row r="5281" spans="1:1" ht="13.15" customHeight="1" x14ac:dyDescent="0.2">
      <c r="A5281" s="103"/>
    </row>
    <row r="5282" spans="1:1" ht="13.15" customHeight="1" x14ac:dyDescent="0.2">
      <c r="A5282" s="103"/>
    </row>
    <row r="5283" spans="1:1" ht="13.15" customHeight="1" x14ac:dyDescent="0.2">
      <c r="A5283" s="103"/>
    </row>
    <row r="5284" spans="1:1" ht="13.15" customHeight="1" x14ac:dyDescent="0.2">
      <c r="A5284" s="103"/>
    </row>
    <row r="5285" spans="1:1" ht="13.15" customHeight="1" x14ac:dyDescent="0.2">
      <c r="A5285" s="103"/>
    </row>
    <row r="5286" spans="1:1" ht="13.15" customHeight="1" x14ac:dyDescent="0.2">
      <c r="A5286" s="103"/>
    </row>
    <row r="5287" spans="1:1" ht="13.15" customHeight="1" x14ac:dyDescent="0.2">
      <c r="A5287" s="103"/>
    </row>
    <row r="5288" spans="1:1" ht="13.15" customHeight="1" x14ac:dyDescent="0.2">
      <c r="A5288" s="103"/>
    </row>
    <row r="5289" spans="1:1" ht="13.15" customHeight="1" x14ac:dyDescent="0.2">
      <c r="A5289" s="103"/>
    </row>
    <row r="5290" spans="1:1" ht="13.15" customHeight="1" x14ac:dyDescent="0.2">
      <c r="A5290" s="103"/>
    </row>
    <row r="5291" spans="1:1" ht="13.15" customHeight="1" x14ac:dyDescent="0.2">
      <c r="A5291" s="103"/>
    </row>
    <row r="5292" spans="1:1" ht="13.15" customHeight="1" x14ac:dyDescent="0.2">
      <c r="A5292" s="103"/>
    </row>
    <row r="5293" spans="1:1" ht="13.15" customHeight="1" x14ac:dyDescent="0.2">
      <c r="A5293" s="103"/>
    </row>
    <row r="5294" spans="1:1" ht="13.15" customHeight="1" x14ac:dyDescent="0.2">
      <c r="A5294" s="103"/>
    </row>
    <row r="5295" spans="1:1" ht="13.15" customHeight="1" x14ac:dyDescent="0.2">
      <c r="A5295" s="103"/>
    </row>
    <row r="5296" spans="1:1" ht="13.15" customHeight="1" x14ac:dyDescent="0.2">
      <c r="A5296" s="103"/>
    </row>
    <row r="5297" spans="1:1" ht="13.15" customHeight="1" x14ac:dyDescent="0.2">
      <c r="A5297" s="103"/>
    </row>
    <row r="5298" spans="1:1" ht="13.15" customHeight="1" x14ac:dyDescent="0.2">
      <c r="A5298" s="103"/>
    </row>
    <row r="5299" spans="1:1" ht="13.15" customHeight="1" x14ac:dyDescent="0.2">
      <c r="A5299" s="103"/>
    </row>
    <row r="5300" spans="1:1" ht="13.15" customHeight="1" x14ac:dyDescent="0.2">
      <c r="A5300" s="103"/>
    </row>
    <row r="5301" spans="1:1" ht="13.15" customHeight="1" x14ac:dyDescent="0.2">
      <c r="A5301" s="103"/>
    </row>
    <row r="5302" spans="1:1" ht="13.15" customHeight="1" x14ac:dyDescent="0.2">
      <c r="A5302" s="103"/>
    </row>
    <row r="5303" spans="1:1" ht="13.15" customHeight="1" x14ac:dyDescent="0.2">
      <c r="A5303" s="103"/>
    </row>
    <row r="5304" spans="1:1" ht="13.15" customHeight="1" x14ac:dyDescent="0.2">
      <c r="A5304" s="103"/>
    </row>
    <row r="5305" spans="1:1" ht="13.15" customHeight="1" x14ac:dyDescent="0.2">
      <c r="A5305" s="103"/>
    </row>
    <row r="5306" spans="1:1" ht="13.15" customHeight="1" x14ac:dyDescent="0.2">
      <c r="A5306" s="103"/>
    </row>
    <row r="5307" spans="1:1" ht="13.15" customHeight="1" x14ac:dyDescent="0.2">
      <c r="A5307" s="103"/>
    </row>
    <row r="5308" spans="1:1" ht="13.15" customHeight="1" x14ac:dyDescent="0.2">
      <c r="A5308" s="103"/>
    </row>
    <row r="5309" spans="1:1" ht="13.15" customHeight="1" x14ac:dyDescent="0.2">
      <c r="A5309" s="103"/>
    </row>
    <row r="5310" spans="1:1" ht="13.15" customHeight="1" x14ac:dyDescent="0.2">
      <c r="A5310" s="103"/>
    </row>
    <row r="5311" spans="1:1" ht="13.15" customHeight="1" x14ac:dyDescent="0.2">
      <c r="A5311" s="103"/>
    </row>
    <row r="5312" spans="1:1" ht="13.15" customHeight="1" x14ac:dyDescent="0.2">
      <c r="A5312" s="103"/>
    </row>
    <row r="5313" spans="1:1" ht="13.15" customHeight="1" x14ac:dyDescent="0.2">
      <c r="A5313" s="103"/>
    </row>
    <row r="5314" spans="1:1" ht="13.15" customHeight="1" x14ac:dyDescent="0.2">
      <c r="A5314" s="103"/>
    </row>
    <row r="5315" spans="1:1" ht="13.15" customHeight="1" x14ac:dyDescent="0.2">
      <c r="A5315" s="103"/>
    </row>
    <row r="5316" spans="1:1" ht="13.15" customHeight="1" x14ac:dyDescent="0.2">
      <c r="A5316" s="103"/>
    </row>
    <row r="5317" spans="1:1" ht="13.15" customHeight="1" x14ac:dyDescent="0.2">
      <c r="A5317" s="103"/>
    </row>
    <row r="5318" spans="1:1" ht="13.15" customHeight="1" x14ac:dyDescent="0.2">
      <c r="A5318" s="103"/>
    </row>
    <row r="5319" spans="1:1" ht="13.15" customHeight="1" x14ac:dyDescent="0.2">
      <c r="A5319" s="103"/>
    </row>
    <row r="5320" spans="1:1" ht="13.15" customHeight="1" x14ac:dyDescent="0.2">
      <c r="A5320" s="103"/>
    </row>
    <row r="5321" spans="1:1" ht="13.15" customHeight="1" x14ac:dyDescent="0.2">
      <c r="A5321" s="103"/>
    </row>
    <row r="5322" spans="1:1" ht="13.15" customHeight="1" x14ac:dyDescent="0.2">
      <c r="A5322" s="103"/>
    </row>
    <row r="5323" spans="1:1" ht="13.15" customHeight="1" x14ac:dyDescent="0.2">
      <c r="A5323" s="103"/>
    </row>
    <row r="5324" spans="1:1" ht="13.15" customHeight="1" x14ac:dyDescent="0.2">
      <c r="A5324" s="103"/>
    </row>
    <row r="5325" spans="1:1" ht="13.15" customHeight="1" x14ac:dyDescent="0.2">
      <c r="A5325" s="103"/>
    </row>
    <row r="5326" spans="1:1" ht="13.15" customHeight="1" x14ac:dyDescent="0.2">
      <c r="A5326" s="103"/>
    </row>
    <row r="5327" spans="1:1" ht="13.15" customHeight="1" x14ac:dyDescent="0.2">
      <c r="A5327" s="103"/>
    </row>
    <row r="5328" spans="1:1" ht="13.15" customHeight="1" x14ac:dyDescent="0.2">
      <c r="A5328" s="103"/>
    </row>
    <row r="5329" spans="1:1" ht="13.15" customHeight="1" x14ac:dyDescent="0.2">
      <c r="A5329" s="103"/>
    </row>
    <row r="5330" spans="1:1" ht="13.15" customHeight="1" x14ac:dyDescent="0.2">
      <c r="A5330" s="103"/>
    </row>
    <row r="5331" spans="1:1" ht="13.15" customHeight="1" x14ac:dyDescent="0.2">
      <c r="A5331" s="103"/>
    </row>
    <row r="5332" spans="1:1" ht="13.15" customHeight="1" x14ac:dyDescent="0.2">
      <c r="A5332" s="103"/>
    </row>
    <row r="5333" spans="1:1" ht="13.15" customHeight="1" x14ac:dyDescent="0.2">
      <c r="A5333" s="103"/>
    </row>
    <row r="5334" spans="1:1" ht="13.15" customHeight="1" x14ac:dyDescent="0.2">
      <c r="A5334" s="103"/>
    </row>
    <row r="5335" spans="1:1" ht="13.15" customHeight="1" x14ac:dyDescent="0.2">
      <c r="A5335" s="103"/>
    </row>
    <row r="5336" spans="1:1" ht="13.15" customHeight="1" x14ac:dyDescent="0.2">
      <c r="A5336" s="103"/>
    </row>
    <row r="5337" spans="1:1" ht="13.15" customHeight="1" x14ac:dyDescent="0.2">
      <c r="A5337" s="103"/>
    </row>
    <row r="5338" spans="1:1" ht="13.15" customHeight="1" x14ac:dyDescent="0.2">
      <c r="A5338" s="103"/>
    </row>
    <row r="5339" spans="1:1" ht="13.15" customHeight="1" x14ac:dyDescent="0.2">
      <c r="A5339" s="103"/>
    </row>
    <row r="5340" spans="1:1" ht="13.15" customHeight="1" x14ac:dyDescent="0.2">
      <c r="A5340" s="103"/>
    </row>
    <row r="5341" spans="1:1" ht="13.15" customHeight="1" x14ac:dyDescent="0.2">
      <c r="A5341" s="103"/>
    </row>
    <row r="5342" spans="1:1" ht="13.15" customHeight="1" x14ac:dyDescent="0.2">
      <c r="A5342" s="103"/>
    </row>
    <row r="5343" spans="1:1" ht="13.15" customHeight="1" x14ac:dyDescent="0.2">
      <c r="A5343" s="103"/>
    </row>
    <row r="5344" spans="1:1" ht="13.15" customHeight="1" x14ac:dyDescent="0.2">
      <c r="A5344" s="103"/>
    </row>
    <row r="5345" spans="1:1" ht="13.15" customHeight="1" x14ac:dyDescent="0.2">
      <c r="A5345" s="103"/>
    </row>
    <row r="5346" spans="1:1" ht="13.15" customHeight="1" x14ac:dyDescent="0.2">
      <c r="A5346" s="103"/>
    </row>
    <row r="5347" spans="1:1" ht="13.15" customHeight="1" x14ac:dyDescent="0.2">
      <c r="A5347" s="103"/>
    </row>
    <row r="5348" spans="1:1" ht="13.15" customHeight="1" x14ac:dyDescent="0.2">
      <c r="A5348" s="103"/>
    </row>
    <row r="5349" spans="1:1" ht="13.15" customHeight="1" x14ac:dyDescent="0.2">
      <c r="A5349" s="103"/>
    </row>
    <row r="5350" spans="1:1" ht="13.15" customHeight="1" x14ac:dyDescent="0.2">
      <c r="A5350" s="103"/>
    </row>
    <row r="5351" spans="1:1" ht="13.15" customHeight="1" x14ac:dyDescent="0.2">
      <c r="A5351" s="103"/>
    </row>
    <row r="5352" spans="1:1" ht="13.15" customHeight="1" x14ac:dyDescent="0.2">
      <c r="A5352" s="103"/>
    </row>
    <row r="5353" spans="1:1" ht="13.15" customHeight="1" x14ac:dyDescent="0.2">
      <c r="A5353" s="103"/>
    </row>
    <row r="5354" spans="1:1" ht="13.15" customHeight="1" x14ac:dyDescent="0.2">
      <c r="A5354" s="103"/>
    </row>
    <row r="5355" spans="1:1" ht="13.15" customHeight="1" x14ac:dyDescent="0.2">
      <c r="A5355" s="103"/>
    </row>
    <row r="5356" spans="1:1" ht="13.15" customHeight="1" x14ac:dyDescent="0.2">
      <c r="A5356" s="103"/>
    </row>
    <row r="5357" spans="1:1" ht="13.15" customHeight="1" x14ac:dyDescent="0.2">
      <c r="A5357" s="103"/>
    </row>
    <row r="5358" spans="1:1" ht="13.15" customHeight="1" x14ac:dyDescent="0.2">
      <c r="A5358" s="103"/>
    </row>
    <row r="5359" spans="1:1" ht="13.15" customHeight="1" x14ac:dyDescent="0.2">
      <c r="A5359" s="103"/>
    </row>
    <row r="5360" spans="1:1" ht="13.15" customHeight="1" x14ac:dyDescent="0.2">
      <c r="A5360" s="103"/>
    </row>
    <row r="5361" spans="1:1" ht="13.15" customHeight="1" x14ac:dyDescent="0.2">
      <c r="A5361" s="103"/>
    </row>
    <row r="5362" spans="1:1" ht="13.15" customHeight="1" x14ac:dyDescent="0.2">
      <c r="A5362" s="103"/>
    </row>
    <row r="5363" spans="1:1" ht="13.15" customHeight="1" x14ac:dyDescent="0.2">
      <c r="A5363" s="103"/>
    </row>
    <row r="5364" spans="1:1" ht="13.15" customHeight="1" x14ac:dyDescent="0.2">
      <c r="A5364" s="103"/>
    </row>
    <row r="5365" spans="1:1" ht="13.15" customHeight="1" x14ac:dyDescent="0.2">
      <c r="A5365" s="103"/>
    </row>
    <row r="5366" spans="1:1" ht="13.15" customHeight="1" x14ac:dyDescent="0.2">
      <c r="A5366" s="103"/>
    </row>
    <row r="5367" spans="1:1" ht="13.15" customHeight="1" x14ac:dyDescent="0.2">
      <c r="A5367" s="103"/>
    </row>
    <row r="5368" spans="1:1" ht="13.15" customHeight="1" x14ac:dyDescent="0.2">
      <c r="A5368" s="103"/>
    </row>
    <row r="5369" spans="1:1" ht="13.15" customHeight="1" x14ac:dyDescent="0.2">
      <c r="A5369" s="103"/>
    </row>
    <row r="5370" spans="1:1" ht="13.15" customHeight="1" x14ac:dyDescent="0.2">
      <c r="A5370" s="103"/>
    </row>
    <row r="5371" spans="1:1" ht="13.15" customHeight="1" x14ac:dyDescent="0.2">
      <c r="A5371" s="103"/>
    </row>
    <row r="5372" spans="1:1" ht="13.15" customHeight="1" x14ac:dyDescent="0.2">
      <c r="A5372" s="103"/>
    </row>
    <row r="5373" spans="1:1" ht="13.15" customHeight="1" x14ac:dyDescent="0.2">
      <c r="A5373" s="103"/>
    </row>
    <row r="5374" spans="1:1" ht="13.15" customHeight="1" x14ac:dyDescent="0.2">
      <c r="A5374" s="103"/>
    </row>
    <row r="5375" spans="1:1" ht="13.15" customHeight="1" x14ac:dyDescent="0.2">
      <c r="A5375" s="103"/>
    </row>
    <row r="5376" spans="1:1" ht="13.15" customHeight="1" x14ac:dyDescent="0.2">
      <c r="A5376" s="103"/>
    </row>
    <row r="5377" spans="1:1" ht="13.15" customHeight="1" x14ac:dyDescent="0.2">
      <c r="A5377" s="103"/>
    </row>
    <row r="5378" spans="1:1" ht="13.15" customHeight="1" x14ac:dyDescent="0.2">
      <c r="A5378" s="103"/>
    </row>
    <row r="5379" spans="1:1" ht="13.15" customHeight="1" x14ac:dyDescent="0.2">
      <c r="A5379" s="103"/>
    </row>
    <row r="5380" spans="1:1" ht="13.15" customHeight="1" x14ac:dyDescent="0.2">
      <c r="A5380" s="103"/>
    </row>
    <row r="5381" spans="1:1" ht="13.15" customHeight="1" x14ac:dyDescent="0.2">
      <c r="A5381" s="103"/>
    </row>
    <row r="5382" spans="1:1" ht="13.15" customHeight="1" x14ac:dyDescent="0.2">
      <c r="A5382" s="103"/>
    </row>
    <row r="5383" spans="1:1" ht="13.15" customHeight="1" x14ac:dyDescent="0.2">
      <c r="A5383" s="103"/>
    </row>
    <row r="5384" spans="1:1" ht="13.15" customHeight="1" x14ac:dyDescent="0.2">
      <c r="A5384" s="103"/>
    </row>
    <row r="5385" spans="1:1" ht="13.15" customHeight="1" x14ac:dyDescent="0.2">
      <c r="A5385" s="103"/>
    </row>
    <row r="5386" spans="1:1" ht="13.15" customHeight="1" x14ac:dyDescent="0.2">
      <c r="A5386" s="103"/>
    </row>
    <row r="5387" spans="1:1" ht="13.15" customHeight="1" x14ac:dyDescent="0.2">
      <c r="A5387" s="103"/>
    </row>
    <row r="5388" spans="1:1" ht="13.15" customHeight="1" x14ac:dyDescent="0.2">
      <c r="A5388" s="103"/>
    </row>
    <row r="5389" spans="1:1" ht="13.15" customHeight="1" x14ac:dyDescent="0.2">
      <c r="A5389" s="103"/>
    </row>
    <row r="5390" spans="1:1" ht="13.15" customHeight="1" x14ac:dyDescent="0.2">
      <c r="A5390" s="103"/>
    </row>
    <row r="5391" spans="1:1" ht="13.15" customHeight="1" x14ac:dyDescent="0.2">
      <c r="A5391" s="103"/>
    </row>
    <row r="5392" spans="1:1" ht="13.15" customHeight="1" x14ac:dyDescent="0.2">
      <c r="A5392" s="103"/>
    </row>
    <row r="5393" spans="1:1" ht="13.15" customHeight="1" x14ac:dyDescent="0.2">
      <c r="A5393" s="103"/>
    </row>
    <row r="5394" spans="1:1" ht="13.15" customHeight="1" x14ac:dyDescent="0.2">
      <c r="A5394" s="103"/>
    </row>
    <row r="5395" spans="1:1" ht="13.15" customHeight="1" x14ac:dyDescent="0.2">
      <c r="A5395" s="103"/>
    </row>
    <row r="5396" spans="1:1" ht="13.15" customHeight="1" x14ac:dyDescent="0.2">
      <c r="A5396" s="103"/>
    </row>
    <row r="5397" spans="1:1" ht="13.15" customHeight="1" x14ac:dyDescent="0.2">
      <c r="A5397" s="103"/>
    </row>
    <row r="5398" spans="1:1" ht="13.15" customHeight="1" x14ac:dyDescent="0.2">
      <c r="A5398" s="103"/>
    </row>
    <row r="5399" spans="1:1" ht="13.15" customHeight="1" x14ac:dyDescent="0.2">
      <c r="A5399" s="103"/>
    </row>
    <row r="5400" spans="1:1" ht="13.15" customHeight="1" x14ac:dyDescent="0.2">
      <c r="A5400" s="103"/>
    </row>
    <row r="5401" spans="1:1" ht="13.15" customHeight="1" x14ac:dyDescent="0.2">
      <c r="A5401" s="103"/>
    </row>
    <row r="5402" spans="1:1" ht="13.15" customHeight="1" x14ac:dyDescent="0.2">
      <c r="A5402" s="103"/>
    </row>
    <row r="5403" spans="1:1" ht="13.15" customHeight="1" x14ac:dyDescent="0.2">
      <c r="A5403" s="103"/>
    </row>
    <row r="5404" spans="1:1" ht="13.15" customHeight="1" x14ac:dyDescent="0.2">
      <c r="A5404" s="103"/>
    </row>
    <row r="5405" spans="1:1" ht="13.15" customHeight="1" x14ac:dyDescent="0.2">
      <c r="A5405" s="103"/>
    </row>
    <row r="5406" spans="1:1" ht="13.15" customHeight="1" x14ac:dyDescent="0.2">
      <c r="A5406" s="103"/>
    </row>
    <row r="5407" spans="1:1" ht="13.15" customHeight="1" x14ac:dyDescent="0.2">
      <c r="A5407" s="103"/>
    </row>
    <row r="5408" spans="1:1" ht="13.15" customHeight="1" x14ac:dyDescent="0.2">
      <c r="A5408" s="103"/>
    </row>
    <row r="5409" spans="1:1" ht="13.15" customHeight="1" x14ac:dyDescent="0.2">
      <c r="A5409" s="103"/>
    </row>
    <row r="5410" spans="1:1" ht="13.15" customHeight="1" x14ac:dyDescent="0.2">
      <c r="A5410" s="103"/>
    </row>
    <row r="5411" spans="1:1" ht="13.15" customHeight="1" x14ac:dyDescent="0.2">
      <c r="A5411" s="103"/>
    </row>
    <row r="5412" spans="1:1" ht="13.15" customHeight="1" x14ac:dyDescent="0.2">
      <c r="A5412" s="103"/>
    </row>
    <row r="5413" spans="1:1" ht="13.15" customHeight="1" x14ac:dyDescent="0.2">
      <c r="A5413" s="103"/>
    </row>
    <row r="5414" spans="1:1" ht="13.15" customHeight="1" x14ac:dyDescent="0.2">
      <c r="A5414" s="103"/>
    </row>
    <row r="5415" spans="1:1" ht="13.15" customHeight="1" x14ac:dyDescent="0.2">
      <c r="A5415" s="103"/>
    </row>
    <row r="5416" spans="1:1" ht="13.15" customHeight="1" x14ac:dyDescent="0.2">
      <c r="A5416" s="103"/>
    </row>
    <row r="5417" spans="1:1" ht="13.15" customHeight="1" x14ac:dyDescent="0.2">
      <c r="A5417" s="103"/>
    </row>
    <row r="5418" spans="1:1" ht="13.15" customHeight="1" x14ac:dyDescent="0.2">
      <c r="A5418" s="103"/>
    </row>
    <row r="5419" spans="1:1" ht="13.15" customHeight="1" x14ac:dyDescent="0.2">
      <c r="A5419" s="103"/>
    </row>
    <row r="5420" spans="1:1" ht="13.15" customHeight="1" x14ac:dyDescent="0.2">
      <c r="A5420" s="103"/>
    </row>
    <row r="5421" spans="1:1" ht="13.15" customHeight="1" x14ac:dyDescent="0.2">
      <c r="A5421" s="103"/>
    </row>
    <row r="5422" spans="1:1" ht="13.15" customHeight="1" x14ac:dyDescent="0.2">
      <c r="A5422" s="103"/>
    </row>
    <row r="5423" spans="1:1" ht="13.15" customHeight="1" x14ac:dyDescent="0.2">
      <c r="A5423" s="103"/>
    </row>
    <row r="5424" spans="1:1" ht="13.15" customHeight="1" x14ac:dyDescent="0.2">
      <c r="A5424" s="103"/>
    </row>
    <row r="5425" spans="1:1" ht="13.15" customHeight="1" x14ac:dyDescent="0.2">
      <c r="A5425" s="103"/>
    </row>
    <row r="5426" spans="1:1" ht="13.15" customHeight="1" x14ac:dyDescent="0.2">
      <c r="A5426" s="103"/>
    </row>
    <row r="5427" spans="1:1" ht="13.15" customHeight="1" x14ac:dyDescent="0.2">
      <c r="A5427" s="103"/>
    </row>
    <row r="5428" spans="1:1" ht="13.15" customHeight="1" x14ac:dyDescent="0.2">
      <c r="A5428" s="103"/>
    </row>
    <row r="5429" spans="1:1" ht="13.15" customHeight="1" x14ac:dyDescent="0.2">
      <c r="A5429" s="103"/>
    </row>
    <row r="5430" spans="1:1" ht="13.15" customHeight="1" x14ac:dyDescent="0.2">
      <c r="A5430" s="103"/>
    </row>
    <row r="5431" spans="1:1" ht="13.15" customHeight="1" x14ac:dyDescent="0.2">
      <c r="A5431" s="103"/>
    </row>
    <row r="5432" spans="1:1" ht="13.15" customHeight="1" x14ac:dyDescent="0.2">
      <c r="A5432" s="103"/>
    </row>
    <row r="5433" spans="1:1" ht="13.15" customHeight="1" x14ac:dyDescent="0.2">
      <c r="A5433" s="103"/>
    </row>
    <row r="5434" spans="1:1" ht="13.15" customHeight="1" x14ac:dyDescent="0.2">
      <c r="A5434" s="103"/>
    </row>
    <row r="5435" spans="1:1" ht="13.15" customHeight="1" x14ac:dyDescent="0.2">
      <c r="A5435" s="103"/>
    </row>
    <row r="5436" spans="1:1" ht="13.15" customHeight="1" x14ac:dyDescent="0.2">
      <c r="A5436" s="103"/>
    </row>
    <row r="5437" spans="1:1" ht="13.15" customHeight="1" x14ac:dyDescent="0.2">
      <c r="A5437" s="103"/>
    </row>
    <row r="5438" spans="1:1" ht="13.15" customHeight="1" x14ac:dyDescent="0.2">
      <c r="A5438" s="103"/>
    </row>
    <row r="5439" spans="1:1" ht="13.15" customHeight="1" x14ac:dyDescent="0.2">
      <c r="A5439" s="103"/>
    </row>
    <row r="5440" spans="1:1" ht="13.15" customHeight="1" x14ac:dyDescent="0.2">
      <c r="A5440" s="103"/>
    </row>
    <row r="5441" spans="1:1" ht="13.15" customHeight="1" x14ac:dyDescent="0.2">
      <c r="A5441" s="103"/>
    </row>
    <row r="5442" spans="1:1" ht="13.15" customHeight="1" x14ac:dyDescent="0.2">
      <c r="A5442" s="103"/>
    </row>
    <row r="5443" spans="1:1" ht="13.15" customHeight="1" x14ac:dyDescent="0.2">
      <c r="A5443" s="103"/>
    </row>
    <row r="5444" spans="1:1" ht="13.15" customHeight="1" x14ac:dyDescent="0.2">
      <c r="A5444" s="103"/>
    </row>
    <row r="5445" spans="1:1" ht="13.15" customHeight="1" x14ac:dyDescent="0.2">
      <c r="A5445" s="103"/>
    </row>
    <row r="5446" spans="1:1" ht="13.15" customHeight="1" x14ac:dyDescent="0.2">
      <c r="A5446" s="103"/>
    </row>
    <row r="5447" spans="1:1" ht="13.15" customHeight="1" x14ac:dyDescent="0.2">
      <c r="A5447" s="103"/>
    </row>
    <row r="5448" spans="1:1" ht="13.15" customHeight="1" x14ac:dyDescent="0.2">
      <c r="A5448" s="103"/>
    </row>
    <row r="5449" spans="1:1" ht="13.15" customHeight="1" x14ac:dyDescent="0.2">
      <c r="A5449" s="103"/>
    </row>
    <row r="5450" spans="1:1" ht="13.15" customHeight="1" x14ac:dyDescent="0.2">
      <c r="A5450" s="103"/>
    </row>
    <row r="5451" spans="1:1" ht="13.15" customHeight="1" x14ac:dyDescent="0.2">
      <c r="A5451" s="103"/>
    </row>
    <row r="5452" spans="1:1" ht="13.15" customHeight="1" x14ac:dyDescent="0.2">
      <c r="A5452" s="103"/>
    </row>
    <row r="5453" spans="1:1" ht="13.15" customHeight="1" x14ac:dyDescent="0.2">
      <c r="A5453" s="103"/>
    </row>
    <row r="5454" spans="1:1" ht="13.15" customHeight="1" x14ac:dyDescent="0.2">
      <c r="A5454" s="103"/>
    </row>
    <row r="5455" spans="1:1" ht="13.15" customHeight="1" x14ac:dyDescent="0.2">
      <c r="A5455" s="103"/>
    </row>
    <row r="5456" spans="1:1" ht="13.15" customHeight="1" x14ac:dyDescent="0.2">
      <c r="A5456" s="103"/>
    </row>
    <row r="5457" spans="1:1" ht="13.15" customHeight="1" x14ac:dyDescent="0.2">
      <c r="A5457" s="103"/>
    </row>
    <row r="5458" spans="1:1" ht="13.15" customHeight="1" x14ac:dyDescent="0.2">
      <c r="A5458" s="103"/>
    </row>
    <row r="5459" spans="1:1" ht="13.15" customHeight="1" x14ac:dyDescent="0.2">
      <c r="A5459" s="103"/>
    </row>
    <row r="5460" spans="1:1" ht="13.15" customHeight="1" x14ac:dyDescent="0.2">
      <c r="A5460" s="103"/>
    </row>
    <row r="5461" spans="1:1" ht="13.15" customHeight="1" x14ac:dyDescent="0.2">
      <c r="A5461" s="103"/>
    </row>
    <row r="5462" spans="1:1" ht="13.15" customHeight="1" x14ac:dyDescent="0.2">
      <c r="A5462" s="103"/>
    </row>
    <row r="5463" spans="1:1" ht="13.15" customHeight="1" x14ac:dyDescent="0.2">
      <c r="A5463" s="103"/>
    </row>
    <row r="5464" spans="1:1" ht="13.15" customHeight="1" x14ac:dyDescent="0.2">
      <c r="A5464" s="103"/>
    </row>
    <row r="5465" spans="1:1" ht="13.15" customHeight="1" x14ac:dyDescent="0.2">
      <c r="A5465" s="103"/>
    </row>
    <row r="5466" spans="1:1" ht="13.15" customHeight="1" x14ac:dyDescent="0.2">
      <c r="A5466" s="103"/>
    </row>
    <row r="5467" spans="1:1" ht="13.15" customHeight="1" x14ac:dyDescent="0.2">
      <c r="A5467" s="103"/>
    </row>
    <row r="5468" spans="1:1" ht="13.15" customHeight="1" x14ac:dyDescent="0.2">
      <c r="A5468" s="103"/>
    </row>
    <row r="5469" spans="1:1" ht="13.15" customHeight="1" x14ac:dyDescent="0.2">
      <c r="A5469" s="103"/>
    </row>
    <row r="5470" spans="1:1" ht="13.15" customHeight="1" x14ac:dyDescent="0.2">
      <c r="A5470" s="103"/>
    </row>
    <row r="5471" spans="1:1" ht="13.15" customHeight="1" x14ac:dyDescent="0.2">
      <c r="A5471" s="103"/>
    </row>
    <row r="5472" spans="1:1" ht="13.15" customHeight="1" x14ac:dyDescent="0.2">
      <c r="A5472" s="103"/>
    </row>
    <row r="5473" spans="1:1" ht="13.15" customHeight="1" x14ac:dyDescent="0.2">
      <c r="A5473" s="103"/>
    </row>
    <row r="5474" spans="1:1" ht="13.15" customHeight="1" x14ac:dyDescent="0.2">
      <c r="A5474" s="103"/>
    </row>
    <row r="5475" spans="1:1" ht="13.15" customHeight="1" x14ac:dyDescent="0.2">
      <c r="A5475" s="103"/>
    </row>
    <row r="5476" spans="1:1" ht="13.15" customHeight="1" x14ac:dyDescent="0.2">
      <c r="A5476" s="103"/>
    </row>
    <row r="5477" spans="1:1" ht="13.15" customHeight="1" x14ac:dyDescent="0.2">
      <c r="A5477" s="103"/>
    </row>
    <row r="5478" spans="1:1" ht="13.15" customHeight="1" x14ac:dyDescent="0.2">
      <c r="A5478" s="103"/>
    </row>
    <row r="5479" spans="1:1" ht="13.15" customHeight="1" x14ac:dyDescent="0.2">
      <c r="A5479" s="103"/>
    </row>
    <row r="5480" spans="1:1" ht="13.15" customHeight="1" x14ac:dyDescent="0.2">
      <c r="A5480" s="103"/>
    </row>
    <row r="5481" spans="1:1" ht="13.15" customHeight="1" x14ac:dyDescent="0.2">
      <c r="A5481" s="103"/>
    </row>
    <row r="5482" spans="1:1" ht="13.15" customHeight="1" x14ac:dyDescent="0.2">
      <c r="A5482" s="103"/>
    </row>
    <row r="5483" spans="1:1" ht="13.15" customHeight="1" x14ac:dyDescent="0.2">
      <c r="A5483" s="103"/>
    </row>
    <row r="5484" spans="1:1" ht="13.15" customHeight="1" x14ac:dyDescent="0.2">
      <c r="A5484" s="103"/>
    </row>
    <row r="5485" spans="1:1" ht="13.15" customHeight="1" x14ac:dyDescent="0.2">
      <c r="A5485" s="103"/>
    </row>
    <row r="5486" spans="1:1" ht="13.15" customHeight="1" x14ac:dyDescent="0.2">
      <c r="A5486" s="103"/>
    </row>
    <row r="5487" spans="1:1" ht="13.15" customHeight="1" x14ac:dyDescent="0.2">
      <c r="A5487" s="103"/>
    </row>
    <row r="5488" spans="1:1" ht="13.15" customHeight="1" x14ac:dyDescent="0.2">
      <c r="A5488" s="103"/>
    </row>
    <row r="5489" spans="1:1" ht="13.15" customHeight="1" x14ac:dyDescent="0.2">
      <c r="A5489" s="103"/>
    </row>
    <row r="5490" spans="1:1" ht="13.15" customHeight="1" x14ac:dyDescent="0.2">
      <c r="A5490" s="103"/>
    </row>
    <row r="5491" spans="1:1" ht="13.15" customHeight="1" x14ac:dyDescent="0.2">
      <c r="A5491" s="103"/>
    </row>
    <row r="5492" spans="1:1" ht="13.15" customHeight="1" x14ac:dyDescent="0.2">
      <c r="A5492" s="103"/>
    </row>
    <row r="5493" spans="1:1" ht="13.15" customHeight="1" x14ac:dyDescent="0.2">
      <c r="A5493" s="103"/>
    </row>
    <row r="5494" spans="1:1" ht="13.15" customHeight="1" x14ac:dyDescent="0.2">
      <c r="A5494" s="103"/>
    </row>
    <row r="5495" spans="1:1" ht="13.15" customHeight="1" x14ac:dyDescent="0.2">
      <c r="A5495" s="103"/>
    </row>
    <row r="5496" spans="1:1" ht="13.15" customHeight="1" x14ac:dyDescent="0.2">
      <c r="A5496" s="103"/>
    </row>
    <row r="5497" spans="1:1" ht="13.15" customHeight="1" x14ac:dyDescent="0.2">
      <c r="A5497" s="103"/>
    </row>
    <row r="5498" spans="1:1" ht="13.15" customHeight="1" x14ac:dyDescent="0.2">
      <c r="A5498" s="103"/>
    </row>
    <row r="5499" spans="1:1" ht="13.15" customHeight="1" x14ac:dyDescent="0.2">
      <c r="A5499" s="103"/>
    </row>
    <row r="5500" spans="1:1" ht="13.15" customHeight="1" x14ac:dyDescent="0.2">
      <c r="A5500" s="103"/>
    </row>
    <row r="5501" spans="1:1" ht="13.15" customHeight="1" x14ac:dyDescent="0.2">
      <c r="A5501" s="103"/>
    </row>
    <row r="5502" spans="1:1" ht="13.15" customHeight="1" x14ac:dyDescent="0.2">
      <c r="A5502" s="103"/>
    </row>
    <row r="5503" spans="1:1" ht="13.15" customHeight="1" x14ac:dyDescent="0.2">
      <c r="A5503" s="103"/>
    </row>
    <row r="5504" spans="1:1" ht="13.15" customHeight="1" x14ac:dyDescent="0.2">
      <c r="A5504" s="103"/>
    </row>
    <row r="5505" spans="1:1" ht="13.15" customHeight="1" x14ac:dyDescent="0.2">
      <c r="A5505" s="103"/>
    </row>
    <row r="5506" spans="1:1" ht="13.15" customHeight="1" x14ac:dyDescent="0.2">
      <c r="A5506" s="103"/>
    </row>
    <row r="5507" spans="1:1" ht="13.15" customHeight="1" x14ac:dyDescent="0.2">
      <c r="A5507" s="103"/>
    </row>
    <row r="5508" spans="1:1" ht="13.15" customHeight="1" x14ac:dyDescent="0.2">
      <c r="A5508" s="103"/>
    </row>
    <row r="5509" spans="1:1" ht="13.15" customHeight="1" x14ac:dyDescent="0.2">
      <c r="A5509" s="103"/>
    </row>
    <row r="5510" spans="1:1" ht="13.15" customHeight="1" x14ac:dyDescent="0.2">
      <c r="A5510" s="103"/>
    </row>
    <row r="5511" spans="1:1" ht="13.15" customHeight="1" x14ac:dyDescent="0.2">
      <c r="A5511" s="103"/>
    </row>
    <row r="5512" spans="1:1" ht="13.15" customHeight="1" x14ac:dyDescent="0.2">
      <c r="A5512" s="103"/>
    </row>
    <row r="5513" spans="1:1" ht="13.15" customHeight="1" x14ac:dyDescent="0.2">
      <c r="A5513" s="103"/>
    </row>
    <row r="5514" spans="1:1" ht="13.15" customHeight="1" x14ac:dyDescent="0.2">
      <c r="A5514" s="103"/>
    </row>
    <row r="5515" spans="1:1" ht="13.15" customHeight="1" x14ac:dyDescent="0.2">
      <c r="A5515" s="103"/>
    </row>
    <row r="5516" spans="1:1" ht="13.15" customHeight="1" x14ac:dyDescent="0.2">
      <c r="A5516" s="103"/>
    </row>
    <row r="5517" spans="1:1" ht="13.15" customHeight="1" x14ac:dyDescent="0.2">
      <c r="A5517" s="103"/>
    </row>
    <row r="5518" spans="1:1" ht="13.15" customHeight="1" x14ac:dyDescent="0.2">
      <c r="A5518" s="103"/>
    </row>
    <row r="5519" spans="1:1" ht="13.15" customHeight="1" x14ac:dyDescent="0.2">
      <c r="A5519" s="103"/>
    </row>
    <row r="5520" spans="1:1" ht="13.15" customHeight="1" x14ac:dyDescent="0.2">
      <c r="A5520" s="103"/>
    </row>
    <row r="5521" spans="1:1" ht="13.15" customHeight="1" x14ac:dyDescent="0.2">
      <c r="A5521" s="103"/>
    </row>
    <row r="5522" spans="1:1" ht="13.15" customHeight="1" x14ac:dyDescent="0.2">
      <c r="A5522" s="103"/>
    </row>
    <row r="5523" spans="1:1" ht="13.15" customHeight="1" x14ac:dyDescent="0.2">
      <c r="A5523" s="103"/>
    </row>
    <row r="5524" spans="1:1" ht="13.15" customHeight="1" x14ac:dyDescent="0.2">
      <c r="A5524" s="103"/>
    </row>
    <row r="5525" spans="1:1" ht="13.15" customHeight="1" x14ac:dyDescent="0.2">
      <c r="A5525" s="103"/>
    </row>
    <row r="5526" spans="1:1" ht="13.15" customHeight="1" x14ac:dyDescent="0.2">
      <c r="A5526" s="103"/>
    </row>
    <row r="5527" spans="1:1" ht="13.15" customHeight="1" x14ac:dyDescent="0.2">
      <c r="A5527" s="103"/>
    </row>
    <row r="5528" spans="1:1" ht="13.15" customHeight="1" x14ac:dyDescent="0.2">
      <c r="A5528" s="103"/>
    </row>
    <row r="5529" spans="1:1" ht="13.15" customHeight="1" x14ac:dyDescent="0.2">
      <c r="A5529" s="103"/>
    </row>
    <row r="5530" spans="1:1" ht="13.15" customHeight="1" x14ac:dyDescent="0.2">
      <c r="A5530" s="103"/>
    </row>
    <row r="5531" spans="1:1" ht="13.15" customHeight="1" x14ac:dyDescent="0.2">
      <c r="A5531" s="103"/>
    </row>
    <row r="5532" spans="1:1" ht="13.15" customHeight="1" x14ac:dyDescent="0.2">
      <c r="A5532" s="103"/>
    </row>
    <row r="5533" spans="1:1" ht="13.15" customHeight="1" x14ac:dyDescent="0.2">
      <c r="A5533" s="103"/>
    </row>
    <row r="5534" spans="1:1" ht="13.15" customHeight="1" x14ac:dyDescent="0.2">
      <c r="A5534" s="103"/>
    </row>
    <row r="5535" spans="1:1" ht="13.15" customHeight="1" x14ac:dyDescent="0.2">
      <c r="A5535" s="103"/>
    </row>
    <row r="5536" spans="1:1" ht="13.15" customHeight="1" x14ac:dyDescent="0.2">
      <c r="A5536" s="103"/>
    </row>
    <row r="5537" spans="1:1" ht="13.15" customHeight="1" x14ac:dyDescent="0.2">
      <c r="A5537" s="103"/>
    </row>
    <row r="5538" spans="1:1" ht="13.15" customHeight="1" x14ac:dyDescent="0.2">
      <c r="A5538" s="103"/>
    </row>
    <row r="5539" spans="1:1" ht="13.15" customHeight="1" x14ac:dyDescent="0.2">
      <c r="A5539" s="103"/>
    </row>
    <row r="5540" spans="1:1" ht="13.15" customHeight="1" x14ac:dyDescent="0.2">
      <c r="A5540" s="103"/>
    </row>
    <row r="5541" spans="1:1" ht="13.15" customHeight="1" x14ac:dyDescent="0.2">
      <c r="A5541" s="103"/>
    </row>
    <row r="5542" spans="1:1" ht="13.15" customHeight="1" x14ac:dyDescent="0.2">
      <c r="A5542" s="103"/>
    </row>
    <row r="5543" spans="1:1" ht="13.15" customHeight="1" x14ac:dyDescent="0.2">
      <c r="A5543" s="103"/>
    </row>
    <row r="5544" spans="1:1" ht="13.15" customHeight="1" x14ac:dyDescent="0.2">
      <c r="A5544" s="103"/>
    </row>
    <row r="5545" spans="1:1" ht="13.15" customHeight="1" x14ac:dyDescent="0.2">
      <c r="A5545" s="103"/>
    </row>
    <row r="5546" spans="1:1" ht="13.15" customHeight="1" x14ac:dyDescent="0.2">
      <c r="A5546" s="103"/>
    </row>
    <row r="5547" spans="1:1" ht="13.15" customHeight="1" x14ac:dyDescent="0.2">
      <c r="A5547" s="103"/>
    </row>
    <row r="5548" spans="1:1" ht="13.15" customHeight="1" x14ac:dyDescent="0.2">
      <c r="A5548" s="103"/>
    </row>
    <row r="5549" spans="1:1" ht="13.15" customHeight="1" x14ac:dyDescent="0.2">
      <c r="A5549" s="103"/>
    </row>
    <row r="5550" spans="1:1" ht="13.15" customHeight="1" x14ac:dyDescent="0.2">
      <c r="A5550" s="103"/>
    </row>
    <row r="5551" spans="1:1" ht="13.15" customHeight="1" x14ac:dyDescent="0.2">
      <c r="A5551" s="103"/>
    </row>
    <row r="5552" spans="1:1" ht="13.15" customHeight="1" x14ac:dyDescent="0.2">
      <c r="A5552" s="103"/>
    </row>
    <row r="5553" spans="1:1" ht="13.15" customHeight="1" x14ac:dyDescent="0.2">
      <c r="A5553" s="103"/>
    </row>
    <row r="5554" spans="1:1" ht="13.15" customHeight="1" x14ac:dyDescent="0.2">
      <c r="A5554" s="103"/>
    </row>
    <row r="5555" spans="1:1" ht="13.15" customHeight="1" x14ac:dyDescent="0.2">
      <c r="A5555" s="103"/>
    </row>
    <row r="5556" spans="1:1" ht="13.15" customHeight="1" x14ac:dyDescent="0.2">
      <c r="A5556" s="103"/>
    </row>
    <row r="5557" spans="1:1" ht="13.15" customHeight="1" x14ac:dyDescent="0.2">
      <c r="A5557" s="103"/>
    </row>
    <row r="5558" spans="1:1" ht="13.15" customHeight="1" x14ac:dyDescent="0.2">
      <c r="A5558" s="103"/>
    </row>
    <row r="5559" spans="1:1" ht="13.15" customHeight="1" x14ac:dyDescent="0.2">
      <c r="A5559" s="103"/>
    </row>
    <row r="5560" spans="1:1" ht="13.15" customHeight="1" x14ac:dyDescent="0.2">
      <c r="A5560" s="103"/>
    </row>
    <row r="5561" spans="1:1" ht="13.15" customHeight="1" x14ac:dyDescent="0.2">
      <c r="A5561" s="103"/>
    </row>
    <row r="5562" spans="1:1" ht="13.15" customHeight="1" x14ac:dyDescent="0.2">
      <c r="A5562" s="103"/>
    </row>
    <row r="5563" spans="1:1" ht="13.15" customHeight="1" x14ac:dyDescent="0.2">
      <c r="A5563" s="103"/>
    </row>
    <row r="5564" spans="1:1" ht="13.15" customHeight="1" x14ac:dyDescent="0.2">
      <c r="A5564" s="103"/>
    </row>
    <row r="5565" spans="1:1" ht="13.15" customHeight="1" x14ac:dyDescent="0.2">
      <c r="A5565" s="103"/>
    </row>
    <row r="5566" spans="1:1" ht="13.15" customHeight="1" x14ac:dyDescent="0.2">
      <c r="A5566" s="103"/>
    </row>
    <row r="5567" spans="1:1" ht="13.15" customHeight="1" x14ac:dyDescent="0.2">
      <c r="A5567" s="103"/>
    </row>
    <row r="5568" spans="1:1" ht="13.15" customHeight="1" x14ac:dyDescent="0.2">
      <c r="A5568" s="103"/>
    </row>
    <row r="5569" spans="1:1" ht="13.15" customHeight="1" x14ac:dyDescent="0.2">
      <c r="A5569" s="103"/>
    </row>
    <row r="5570" spans="1:1" ht="13.15" customHeight="1" x14ac:dyDescent="0.2">
      <c r="A5570" s="103"/>
    </row>
    <row r="5571" spans="1:1" ht="13.15" customHeight="1" x14ac:dyDescent="0.2">
      <c r="A5571" s="103"/>
    </row>
    <row r="5572" spans="1:1" ht="13.15" customHeight="1" x14ac:dyDescent="0.2">
      <c r="A5572" s="103"/>
    </row>
    <row r="5573" spans="1:1" ht="13.15" customHeight="1" x14ac:dyDescent="0.2">
      <c r="A5573" s="103"/>
    </row>
    <row r="5574" spans="1:1" ht="13.15" customHeight="1" x14ac:dyDescent="0.2">
      <c r="A5574" s="103"/>
    </row>
    <row r="5575" spans="1:1" ht="13.15" customHeight="1" x14ac:dyDescent="0.2">
      <c r="A5575" s="103"/>
    </row>
    <row r="5576" spans="1:1" ht="13.15" customHeight="1" x14ac:dyDescent="0.2">
      <c r="A5576" s="103"/>
    </row>
    <row r="5577" spans="1:1" ht="13.15" customHeight="1" x14ac:dyDescent="0.2">
      <c r="A5577" s="103"/>
    </row>
    <row r="5578" spans="1:1" ht="13.15" customHeight="1" x14ac:dyDescent="0.2">
      <c r="A5578" s="103"/>
    </row>
    <row r="5579" spans="1:1" ht="13.15" customHeight="1" x14ac:dyDescent="0.2">
      <c r="A5579" s="103"/>
    </row>
    <row r="5580" spans="1:1" ht="13.15" customHeight="1" x14ac:dyDescent="0.2">
      <c r="A5580" s="103"/>
    </row>
    <row r="5581" spans="1:1" ht="13.15" customHeight="1" x14ac:dyDescent="0.2">
      <c r="A5581" s="103"/>
    </row>
    <row r="5582" spans="1:1" ht="13.15" customHeight="1" x14ac:dyDescent="0.2">
      <c r="A5582" s="103"/>
    </row>
    <row r="5583" spans="1:1" ht="13.15" customHeight="1" x14ac:dyDescent="0.2">
      <c r="A5583" s="103"/>
    </row>
    <row r="5584" spans="1:1" ht="13.15" customHeight="1" x14ac:dyDescent="0.2">
      <c r="A5584" s="103"/>
    </row>
    <row r="5585" spans="1:1" ht="13.15" customHeight="1" x14ac:dyDescent="0.2">
      <c r="A5585" s="103"/>
    </row>
    <row r="5586" spans="1:1" ht="13.15" customHeight="1" x14ac:dyDescent="0.2">
      <c r="A5586" s="103"/>
    </row>
    <row r="5587" spans="1:1" ht="13.15" customHeight="1" x14ac:dyDescent="0.2">
      <c r="A5587" s="103"/>
    </row>
    <row r="5588" spans="1:1" ht="13.15" customHeight="1" x14ac:dyDescent="0.2">
      <c r="A5588" s="103"/>
    </row>
    <row r="5589" spans="1:1" ht="13.15" customHeight="1" x14ac:dyDescent="0.2">
      <c r="A5589" s="103"/>
    </row>
    <row r="5590" spans="1:1" ht="13.15" customHeight="1" x14ac:dyDescent="0.2">
      <c r="A5590" s="103"/>
    </row>
    <row r="5591" spans="1:1" ht="13.15" customHeight="1" x14ac:dyDescent="0.2">
      <c r="A5591" s="103"/>
    </row>
    <row r="5592" spans="1:1" ht="13.15" customHeight="1" x14ac:dyDescent="0.2">
      <c r="A5592" s="103"/>
    </row>
    <row r="5593" spans="1:1" ht="13.15" customHeight="1" x14ac:dyDescent="0.2">
      <c r="A5593" s="103"/>
    </row>
    <row r="5594" spans="1:1" ht="13.15" customHeight="1" x14ac:dyDescent="0.2">
      <c r="A5594" s="103"/>
    </row>
    <row r="5595" spans="1:1" ht="13.15" customHeight="1" x14ac:dyDescent="0.2">
      <c r="A5595" s="103"/>
    </row>
    <row r="5596" spans="1:1" ht="13.15" customHeight="1" x14ac:dyDescent="0.2">
      <c r="A5596" s="103"/>
    </row>
    <row r="5597" spans="1:1" ht="13.15" customHeight="1" x14ac:dyDescent="0.2">
      <c r="A5597" s="103"/>
    </row>
    <row r="5598" spans="1:1" ht="13.15" customHeight="1" x14ac:dyDescent="0.2">
      <c r="A5598" s="103"/>
    </row>
    <row r="5599" spans="1:1" ht="13.15" customHeight="1" x14ac:dyDescent="0.2">
      <c r="A5599" s="103"/>
    </row>
    <row r="5600" spans="1:1" ht="13.15" customHeight="1" x14ac:dyDescent="0.2">
      <c r="A5600" s="103"/>
    </row>
    <row r="5601" spans="1:1" ht="13.15" customHeight="1" x14ac:dyDescent="0.2">
      <c r="A5601" s="103"/>
    </row>
    <row r="5602" spans="1:1" ht="13.15" customHeight="1" x14ac:dyDescent="0.2">
      <c r="A5602" s="103"/>
    </row>
    <row r="5603" spans="1:1" ht="13.15" customHeight="1" x14ac:dyDescent="0.2">
      <c r="A5603" s="103"/>
    </row>
    <row r="5604" spans="1:1" ht="13.15" customHeight="1" x14ac:dyDescent="0.2">
      <c r="A5604" s="103"/>
    </row>
    <row r="5605" spans="1:1" ht="13.15" customHeight="1" x14ac:dyDescent="0.2">
      <c r="A5605" s="103"/>
    </row>
    <row r="5606" spans="1:1" ht="13.15" customHeight="1" x14ac:dyDescent="0.2">
      <c r="A5606" s="103"/>
    </row>
    <row r="5607" spans="1:1" ht="13.15" customHeight="1" x14ac:dyDescent="0.2">
      <c r="A5607" s="103"/>
    </row>
    <row r="5608" spans="1:1" ht="13.15" customHeight="1" x14ac:dyDescent="0.2">
      <c r="A5608" s="103"/>
    </row>
    <row r="5609" spans="1:1" ht="13.15" customHeight="1" x14ac:dyDescent="0.2">
      <c r="A5609" s="103"/>
    </row>
    <row r="5610" spans="1:1" ht="13.15" customHeight="1" x14ac:dyDescent="0.2">
      <c r="A5610" s="103"/>
    </row>
    <row r="5611" spans="1:1" ht="13.15" customHeight="1" x14ac:dyDescent="0.2">
      <c r="A5611" s="103"/>
    </row>
    <row r="5612" spans="1:1" ht="13.15" customHeight="1" x14ac:dyDescent="0.2">
      <c r="A5612" s="103"/>
    </row>
    <row r="5613" spans="1:1" ht="13.15" customHeight="1" x14ac:dyDescent="0.2">
      <c r="A5613" s="103"/>
    </row>
    <row r="5614" spans="1:1" ht="13.15" customHeight="1" x14ac:dyDescent="0.2">
      <c r="A5614" s="103"/>
    </row>
    <row r="5615" spans="1:1" ht="13.15" customHeight="1" x14ac:dyDescent="0.2">
      <c r="A5615" s="103"/>
    </row>
    <row r="5616" spans="1:1" ht="13.15" customHeight="1" x14ac:dyDescent="0.2">
      <c r="A5616" s="103"/>
    </row>
    <row r="5617" spans="1:1" ht="13.15" customHeight="1" x14ac:dyDescent="0.2">
      <c r="A5617" s="103"/>
    </row>
    <row r="5618" spans="1:1" ht="13.15" customHeight="1" x14ac:dyDescent="0.2">
      <c r="A5618" s="103"/>
    </row>
    <row r="5619" spans="1:1" ht="13.15" customHeight="1" x14ac:dyDescent="0.2">
      <c r="A5619" s="103"/>
    </row>
    <row r="5620" spans="1:1" ht="13.15" customHeight="1" x14ac:dyDescent="0.2">
      <c r="A5620" s="103"/>
    </row>
    <row r="5621" spans="1:1" ht="13.15" customHeight="1" x14ac:dyDescent="0.2">
      <c r="A5621" s="103"/>
    </row>
    <row r="5622" spans="1:1" ht="13.15" customHeight="1" x14ac:dyDescent="0.2">
      <c r="A5622" s="103"/>
    </row>
    <row r="5623" spans="1:1" ht="13.15" customHeight="1" x14ac:dyDescent="0.2">
      <c r="A5623" s="103"/>
    </row>
    <row r="5624" spans="1:1" ht="13.15" customHeight="1" x14ac:dyDescent="0.2">
      <c r="A5624" s="103"/>
    </row>
    <row r="5625" spans="1:1" ht="13.15" customHeight="1" x14ac:dyDescent="0.2">
      <c r="A5625" s="103"/>
    </row>
    <row r="5626" spans="1:1" ht="13.15" customHeight="1" x14ac:dyDescent="0.2">
      <c r="A5626" s="103"/>
    </row>
    <row r="5627" spans="1:1" ht="13.15" customHeight="1" x14ac:dyDescent="0.2">
      <c r="A5627" s="103"/>
    </row>
    <row r="5628" spans="1:1" ht="13.15" customHeight="1" x14ac:dyDescent="0.2">
      <c r="A5628" s="103"/>
    </row>
    <row r="5629" spans="1:1" ht="13.15" customHeight="1" x14ac:dyDescent="0.2">
      <c r="A5629" s="103"/>
    </row>
    <row r="5630" spans="1:1" ht="13.15" customHeight="1" x14ac:dyDescent="0.2">
      <c r="A5630" s="103"/>
    </row>
    <row r="5631" spans="1:1" ht="13.15" customHeight="1" x14ac:dyDescent="0.2">
      <c r="A5631" s="103"/>
    </row>
    <row r="5632" spans="1:1" ht="13.15" customHeight="1" x14ac:dyDescent="0.2">
      <c r="A5632" s="103"/>
    </row>
    <row r="5633" spans="1:1" ht="13.15" customHeight="1" x14ac:dyDescent="0.2">
      <c r="A5633" s="103"/>
    </row>
    <row r="5634" spans="1:1" ht="13.15" customHeight="1" x14ac:dyDescent="0.2">
      <c r="A5634" s="103"/>
    </row>
    <row r="5635" spans="1:1" ht="13.15" customHeight="1" x14ac:dyDescent="0.2">
      <c r="A5635" s="103"/>
    </row>
    <row r="5636" spans="1:1" ht="13.15" customHeight="1" x14ac:dyDescent="0.2">
      <c r="A5636" s="103"/>
    </row>
    <row r="5637" spans="1:1" ht="13.15" customHeight="1" x14ac:dyDescent="0.2">
      <c r="A5637" s="103"/>
    </row>
    <row r="5638" spans="1:1" ht="13.15" customHeight="1" x14ac:dyDescent="0.2">
      <c r="A5638" s="103"/>
    </row>
    <row r="5639" spans="1:1" ht="13.15" customHeight="1" x14ac:dyDescent="0.2">
      <c r="A5639" s="103"/>
    </row>
    <row r="5640" spans="1:1" ht="13.15" customHeight="1" x14ac:dyDescent="0.2">
      <c r="A5640" s="103"/>
    </row>
    <row r="5641" spans="1:1" ht="13.15" customHeight="1" x14ac:dyDescent="0.2">
      <c r="A5641" s="103"/>
    </row>
    <row r="5642" spans="1:1" ht="13.15" customHeight="1" x14ac:dyDescent="0.2">
      <c r="A5642" s="103"/>
    </row>
    <row r="5643" spans="1:1" ht="13.15" customHeight="1" x14ac:dyDescent="0.2">
      <c r="A5643" s="103"/>
    </row>
    <row r="5644" spans="1:1" ht="13.15" customHeight="1" x14ac:dyDescent="0.2">
      <c r="A5644" s="103"/>
    </row>
    <row r="5645" spans="1:1" ht="13.15" customHeight="1" x14ac:dyDescent="0.2">
      <c r="A5645" s="103"/>
    </row>
    <row r="5646" spans="1:1" ht="13.15" customHeight="1" x14ac:dyDescent="0.2">
      <c r="A5646" s="103"/>
    </row>
    <row r="5647" spans="1:1" ht="13.15" customHeight="1" x14ac:dyDescent="0.2">
      <c r="A5647" s="103"/>
    </row>
    <row r="5648" spans="1:1" ht="13.15" customHeight="1" x14ac:dyDescent="0.2">
      <c r="A5648" s="103"/>
    </row>
    <row r="5649" spans="1:1" ht="13.15" customHeight="1" x14ac:dyDescent="0.2">
      <c r="A5649" s="103"/>
    </row>
    <row r="5650" spans="1:1" ht="13.15" customHeight="1" x14ac:dyDescent="0.2">
      <c r="A5650" s="103"/>
    </row>
    <row r="5651" spans="1:1" ht="13.15" customHeight="1" x14ac:dyDescent="0.2">
      <c r="A5651" s="103"/>
    </row>
    <row r="5652" spans="1:1" ht="13.15" customHeight="1" x14ac:dyDescent="0.2">
      <c r="A5652" s="103"/>
    </row>
    <row r="5653" spans="1:1" ht="13.15" customHeight="1" x14ac:dyDescent="0.2">
      <c r="A5653" s="103"/>
    </row>
    <row r="5654" spans="1:1" ht="13.15" customHeight="1" x14ac:dyDescent="0.2">
      <c r="A5654" s="103"/>
    </row>
    <row r="5655" spans="1:1" ht="13.15" customHeight="1" x14ac:dyDescent="0.2">
      <c r="A5655" s="103"/>
    </row>
    <row r="5656" spans="1:1" ht="13.15" customHeight="1" x14ac:dyDescent="0.2">
      <c r="A5656" s="103"/>
    </row>
    <row r="5657" spans="1:1" ht="13.15" customHeight="1" x14ac:dyDescent="0.2">
      <c r="A5657" s="103"/>
    </row>
    <row r="5658" spans="1:1" ht="13.15" customHeight="1" x14ac:dyDescent="0.2">
      <c r="A5658" s="103"/>
    </row>
    <row r="5659" spans="1:1" ht="13.15" customHeight="1" x14ac:dyDescent="0.2">
      <c r="A5659" s="103"/>
    </row>
    <row r="5660" spans="1:1" ht="13.15" customHeight="1" x14ac:dyDescent="0.2">
      <c r="A5660" s="103"/>
    </row>
    <row r="5661" spans="1:1" ht="13.15" customHeight="1" x14ac:dyDescent="0.2">
      <c r="A5661" s="103"/>
    </row>
    <row r="5662" spans="1:1" ht="13.15" customHeight="1" x14ac:dyDescent="0.2">
      <c r="A5662" s="103"/>
    </row>
    <row r="5663" spans="1:1" ht="13.15" customHeight="1" x14ac:dyDescent="0.2">
      <c r="A5663" s="103"/>
    </row>
    <row r="5664" spans="1:1" ht="13.15" customHeight="1" x14ac:dyDescent="0.2">
      <c r="A5664" s="103"/>
    </row>
    <row r="5665" spans="1:1" ht="13.15" customHeight="1" x14ac:dyDescent="0.2">
      <c r="A5665" s="103"/>
    </row>
    <row r="5666" spans="1:1" ht="13.15" customHeight="1" x14ac:dyDescent="0.2">
      <c r="A5666" s="103"/>
    </row>
    <row r="5667" spans="1:1" ht="13.15" customHeight="1" x14ac:dyDescent="0.2">
      <c r="A5667" s="103"/>
    </row>
    <row r="5668" spans="1:1" ht="13.15" customHeight="1" x14ac:dyDescent="0.2">
      <c r="A5668" s="103"/>
    </row>
    <row r="5669" spans="1:1" ht="13.15" customHeight="1" x14ac:dyDescent="0.2">
      <c r="A5669" s="103"/>
    </row>
    <row r="5670" spans="1:1" ht="13.15" customHeight="1" x14ac:dyDescent="0.2">
      <c r="A5670" s="103"/>
    </row>
    <row r="5671" spans="1:1" ht="13.15" customHeight="1" x14ac:dyDescent="0.2">
      <c r="A5671" s="103"/>
    </row>
    <row r="5672" spans="1:1" ht="13.15" customHeight="1" x14ac:dyDescent="0.2">
      <c r="A5672" s="103"/>
    </row>
    <row r="5673" spans="1:1" ht="13.15" customHeight="1" x14ac:dyDescent="0.2">
      <c r="A5673" s="103"/>
    </row>
    <row r="5674" spans="1:1" ht="13.15" customHeight="1" x14ac:dyDescent="0.2">
      <c r="A5674" s="103"/>
    </row>
    <row r="5675" spans="1:1" ht="13.15" customHeight="1" x14ac:dyDescent="0.2">
      <c r="A5675" s="103"/>
    </row>
    <row r="5676" spans="1:1" ht="13.15" customHeight="1" x14ac:dyDescent="0.2">
      <c r="A5676" s="103"/>
    </row>
    <row r="5677" spans="1:1" ht="13.15" customHeight="1" x14ac:dyDescent="0.2">
      <c r="A5677" s="103"/>
    </row>
    <row r="5678" spans="1:1" ht="13.15" customHeight="1" x14ac:dyDescent="0.2">
      <c r="A5678" s="103"/>
    </row>
    <row r="5679" spans="1:1" ht="13.15" customHeight="1" x14ac:dyDescent="0.2">
      <c r="A5679" s="103"/>
    </row>
    <row r="5680" spans="1:1" ht="13.15" customHeight="1" x14ac:dyDescent="0.2">
      <c r="A5680" s="103"/>
    </row>
    <row r="5681" spans="1:1" ht="13.15" customHeight="1" x14ac:dyDescent="0.2">
      <c r="A5681" s="103"/>
    </row>
    <row r="5682" spans="1:1" ht="13.15" customHeight="1" x14ac:dyDescent="0.2">
      <c r="A5682" s="103"/>
    </row>
    <row r="5683" spans="1:1" ht="13.15" customHeight="1" x14ac:dyDescent="0.2">
      <c r="A5683" s="103"/>
    </row>
    <row r="5684" spans="1:1" ht="13.15" customHeight="1" x14ac:dyDescent="0.2">
      <c r="A5684" s="103"/>
    </row>
    <row r="5685" spans="1:1" ht="13.15" customHeight="1" x14ac:dyDescent="0.2">
      <c r="A5685" s="103"/>
    </row>
    <row r="5686" spans="1:1" ht="13.15" customHeight="1" x14ac:dyDescent="0.2">
      <c r="A5686" s="103"/>
    </row>
    <row r="5687" spans="1:1" ht="13.15" customHeight="1" x14ac:dyDescent="0.2">
      <c r="A5687" s="103"/>
    </row>
    <row r="5688" spans="1:1" ht="13.15" customHeight="1" x14ac:dyDescent="0.2">
      <c r="A5688" s="103"/>
    </row>
    <row r="5689" spans="1:1" ht="13.15" customHeight="1" x14ac:dyDescent="0.2">
      <c r="A5689" s="103"/>
    </row>
    <row r="5690" spans="1:1" ht="13.15" customHeight="1" x14ac:dyDescent="0.2">
      <c r="A5690" s="103"/>
    </row>
    <row r="5691" spans="1:1" ht="13.15" customHeight="1" x14ac:dyDescent="0.2">
      <c r="A5691" s="103"/>
    </row>
    <row r="5692" spans="1:1" ht="13.15" customHeight="1" x14ac:dyDescent="0.2">
      <c r="A5692" s="103"/>
    </row>
    <row r="5693" spans="1:1" ht="13.15" customHeight="1" x14ac:dyDescent="0.2">
      <c r="A5693" s="103"/>
    </row>
    <row r="5694" spans="1:1" ht="13.15" customHeight="1" x14ac:dyDescent="0.2">
      <c r="A5694" s="103"/>
    </row>
    <row r="5695" spans="1:1" ht="13.15" customHeight="1" x14ac:dyDescent="0.2">
      <c r="A5695" s="103"/>
    </row>
    <row r="5696" spans="1:1" ht="13.15" customHeight="1" x14ac:dyDescent="0.2">
      <c r="A5696" s="103"/>
    </row>
    <row r="5697" spans="1:1" ht="13.15" customHeight="1" x14ac:dyDescent="0.2">
      <c r="A5697" s="103"/>
    </row>
    <row r="5698" spans="1:1" ht="13.15" customHeight="1" x14ac:dyDescent="0.2">
      <c r="A5698" s="103"/>
    </row>
    <row r="5699" spans="1:1" ht="13.15" customHeight="1" x14ac:dyDescent="0.2">
      <c r="A5699" s="103"/>
    </row>
    <row r="5700" spans="1:1" ht="13.15" customHeight="1" x14ac:dyDescent="0.2">
      <c r="A5700" s="103"/>
    </row>
    <row r="5701" spans="1:1" ht="13.15" customHeight="1" x14ac:dyDescent="0.2">
      <c r="A5701" s="103"/>
    </row>
    <row r="5702" spans="1:1" ht="13.15" customHeight="1" x14ac:dyDescent="0.2">
      <c r="A5702" s="103"/>
    </row>
    <row r="5703" spans="1:1" ht="13.15" customHeight="1" x14ac:dyDescent="0.2">
      <c r="A5703" s="103"/>
    </row>
    <row r="5704" spans="1:1" ht="13.15" customHeight="1" x14ac:dyDescent="0.2">
      <c r="A5704" s="103"/>
    </row>
    <row r="5705" spans="1:1" ht="13.15" customHeight="1" x14ac:dyDescent="0.2">
      <c r="A5705" s="103"/>
    </row>
    <row r="5706" spans="1:1" ht="13.15" customHeight="1" x14ac:dyDescent="0.2">
      <c r="A5706" s="103"/>
    </row>
    <row r="5707" spans="1:1" ht="13.15" customHeight="1" x14ac:dyDescent="0.2">
      <c r="A5707" s="103"/>
    </row>
    <row r="5708" spans="1:1" ht="13.15" customHeight="1" x14ac:dyDescent="0.2">
      <c r="A5708" s="103"/>
    </row>
    <row r="5709" spans="1:1" ht="13.15" customHeight="1" x14ac:dyDescent="0.2">
      <c r="A5709" s="103"/>
    </row>
    <row r="5710" spans="1:1" ht="13.15" customHeight="1" x14ac:dyDescent="0.2">
      <c r="A5710" s="103"/>
    </row>
    <row r="5711" spans="1:1" ht="13.15" customHeight="1" x14ac:dyDescent="0.2">
      <c r="A5711" s="103"/>
    </row>
    <row r="5712" spans="1:1" ht="13.15" customHeight="1" x14ac:dyDescent="0.2">
      <c r="A5712" s="103"/>
    </row>
    <row r="5713" spans="1:1" ht="13.15" customHeight="1" x14ac:dyDescent="0.2">
      <c r="A5713" s="103"/>
    </row>
    <row r="5714" spans="1:1" ht="13.15" customHeight="1" x14ac:dyDescent="0.2">
      <c r="A5714" s="103"/>
    </row>
    <row r="5715" spans="1:1" ht="13.15" customHeight="1" x14ac:dyDescent="0.2">
      <c r="A5715" s="103"/>
    </row>
    <row r="5716" spans="1:1" ht="13.15" customHeight="1" x14ac:dyDescent="0.2">
      <c r="A5716" s="103"/>
    </row>
    <row r="5717" spans="1:1" ht="13.15" customHeight="1" x14ac:dyDescent="0.2">
      <c r="A5717" s="103"/>
    </row>
    <row r="5718" spans="1:1" ht="13.15" customHeight="1" x14ac:dyDescent="0.2">
      <c r="A5718" s="103"/>
    </row>
    <row r="5719" spans="1:1" ht="13.15" customHeight="1" x14ac:dyDescent="0.2">
      <c r="A5719" s="103"/>
    </row>
    <row r="5720" spans="1:1" ht="13.15" customHeight="1" x14ac:dyDescent="0.2">
      <c r="A5720" s="103"/>
    </row>
    <row r="5721" spans="1:1" ht="13.15" customHeight="1" x14ac:dyDescent="0.2">
      <c r="A5721" s="103"/>
    </row>
    <row r="5722" spans="1:1" ht="13.15" customHeight="1" x14ac:dyDescent="0.2">
      <c r="A5722" s="103"/>
    </row>
    <row r="5723" spans="1:1" ht="13.15" customHeight="1" x14ac:dyDescent="0.2">
      <c r="A5723" s="103"/>
    </row>
    <row r="5724" spans="1:1" ht="13.15" customHeight="1" x14ac:dyDescent="0.2">
      <c r="A5724" s="103"/>
    </row>
    <row r="5725" spans="1:1" ht="13.15" customHeight="1" x14ac:dyDescent="0.2">
      <c r="A5725" s="103"/>
    </row>
    <row r="5726" spans="1:1" ht="13.15" customHeight="1" x14ac:dyDescent="0.2">
      <c r="A5726" s="103"/>
    </row>
    <row r="5727" spans="1:1" ht="13.15" customHeight="1" x14ac:dyDescent="0.2">
      <c r="A5727" s="103"/>
    </row>
    <row r="5728" spans="1:1" ht="13.15" customHeight="1" x14ac:dyDescent="0.2">
      <c r="A5728" s="103"/>
    </row>
    <row r="5729" spans="1:1" ht="13.15" customHeight="1" x14ac:dyDescent="0.2">
      <c r="A5729" s="103"/>
    </row>
    <row r="5730" spans="1:1" ht="13.15" customHeight="1" x14ac:dyDescent="0.2">
      <c r="A5730" s="103"/>
    </row>
    <row r="5731" spans="1:1" ht="13.15" customHeight="1" x14ac:dyDescent="0.2">
      <c r="A5731" s="103"/>
    </row>
    <row r="5732" spans="1:1" ht="13.15" customHeight="1" x14ac:dyDescent="0.2">
      <c r="A5732" s="103"/>
    </row>
    <row r="5733" spans="1:1" ht="13.15" customHeight="1" x14ac:dyDescent="0.2">
      <c r="A5733" s="103"/>
    </row>
    <row r="5734" spans="1:1" ht="13.15" customHeight="1" x14ac:dyDescent="0.2">
      <c r="A5734" s="103"/>
    </row>
    <row r="5735" spans="1:1" ht="13.15" customHeight="1" x14ac:dyDescent="0.2">
      <c r="A5735" s="103"/>
    </row>
    <row r="5736" spans="1:1" ht="13.15" customHeight="1" x14ac:dyDescent="0.2">
      <c r="A5736" s="103"/>
    </row>
    <row r="5737" spans="1:1" ht="13.15" customHeight="1" x14ac:dyDescent="0.2">
      <c r="A5737" s="103"/>
    </row>
    <row r="5738" spans="1:1" ht="13.15" customHeight="1" x14ac:dyDescent="0.2">
      <c r="A5738" s="103"/>
    </row>
    <row r="5739" spans="1:1" ht="13.15" customHeight="1" x14ac:dyDescent="0.2">
      <c r="A5739" s="103"/>
    </row>
    <row r="5740" spans="1:1" ht="13.15" customHeight="1" x14ac:dyDescent="0.2">
      <c r="A5740" s="103"/>
    </row>
    <row r="5741" spans="1:1" ht="13.15" customHeight="1" x14ac:dyDescent="0.2">
      <c r="A5741" s="103"/>
    </row>
    <row r="5742" spans="1:1" ht="13.15" customHeight="1" x14ac:dyDescent="0.2">
      <c r="A5742" s="103"/>
    </row>
    <row r="5743" spans="1:1" ht="13.15" customHeight="1" x14ac:dyDescent="0.2">
      <c r="A5743" s="103"/>
    </row>
    <row r="5744" spans="1:1" ht="13.15" customHeight="1" x14ac:dyDescent="0.2">
      <c r="A5744" s="103"/>
    </row>
    <row r="5745" spans="1:1" ht="13.15" customHeight="1" x14ac:dyDescent="0.2">
      <c r="A5745" s="103"/>
    </row>
    <row r="5746" spans="1:1" ht="13.15" customHeight="1" x14ac:dyDescent="0.2">
      <c r="A5746" s="103"/>
    </row>
    <row r="5747" spans="1:1" ht="13.15" customHeight="1" x14ac:dyDescent="0.2">
      <c r="A5747" s="103"/>
    </row>
    <row r="5748" spans="1:1" ht="13.15" customHeight="1" x14ac:dyDescent="0.2">
      <c r="A5748" s="103"/>
    </row>
    <row r="5749" spans="1:1" ht="13.15" customHeight="1" x14ac:dyDescent="0.2">
      <c r="A5749" s="103"/>
    </row>
    <row r="5750" spans="1:1" ht="13.15" customHeight="1" x14ac:dyDescent="0.2">
      <c r="A5750" s="103"/>
    </row>
    <row r="5751" spans="1:1" ht="13.15" customHeight="1" x14ac:dyDescent="0.2">
      <c r="A5751" s="103"/>
    </row>
    <row r="5752" spans="1:1" ht="13.15" customHeight="1" x14ac:dyDescent="0.2">
      <c r="A5752" s="103"/>
    </row>
    <row r="5753" spans="1:1" ht="13.15" customHeight="1" x14ac:dyDescent="0.2">
      <c r="A5753" s="103"/>
    </row>
    <row r="5754" spans="1:1" ht="13.15" customHeight="1" x14ac:dyDescent="0.2">
      <c r="A5754" s="103"/>
    </row>
    <row r="5755" spans="1:1" ht="13.15" customHeight="1" x14ac:dyDescent="0.2">
      <c r="A5755" s="103"/>
    </row>
    <row r="5756" spans="1:1" ht="13.15" customHeight="1" x14ac:dyDescent="0.2">
      <c r="A5756" s="103"/>
    </row>
    <row r="5757" spans="1:1" ht="13.15" customHeight="1" x14ac:dyDescent="0.2">
      <c r="A5757" s="103"/>
    </row>
    <row r="5758" spans="1:1" ht="13.15" customHeight="1" x14ac:dyDescent="0.2">
      <c r="A5758" s="103"/>
    </row>
    <row r="5759" spans="1:1" ht="13.15" customHeight="1" x14ac:dyDescent="0.2">
      <c r="A5759" s="103"/>
    </row>
    <row r="5760" spans="1:1" ht="13.15" customHeight="1" x14ac:dyDescent="0.2">
      <c r="A5760" s="103"/>
    </row>
    <row r="5761" spans="1:1" ht="13.15" customHeight="1" x14ac:dyDescent="0.2">
      <c r="A5761" s="103"/>
    </row>
    <row r="5762" spans="1:1" ht="13.15" customHeight="1" x14ac:dyDescent="0.2">
      <c r="A5762" s="103"/>
    </row>
    <row r="5763" spans="1:1" ht="13.15" customHeight="1" x14ac:dyDescent="0.2">
      <c r="A5763" s="103"/>
    </row>
    <row r="5764" spans="1:1" ht="13.15" customHeight="1" x14ac:dyDescent="0.2">
      <c r="A5764" s="103"/>
    </row>
    <row r="5765" spans="1:1" ht="13.15" customHeight="1" x14ac:dyDescent="0.2">
      <c r="A5765" s="103"/>
    </row>
    <row r="5766" spans="1:1" ht="13.15" customHeight="1" x14ac:dyDescent="0.2">
      <c r="A5766" s="103"/>
    </row>
    <row r="5767" spans="1:1" ht="13.15" customHeight="1" x14ac:dyDescent="0.2">
      <c r="A5767" s="103"/>
    </row>
    <row r="5768" spans="1:1" ht="13.15" customHeight="1" x14ac:dyDescent="0.2">
      <c r="A5768" s="103"/>
    </row>
    <row r="5769" spans="1:1" ht="13.15" customHeight="1" x14ac:dyDescent="0.2">
      <c r="A5769" s="103"/>
    </row>
    <row r="5770" spans="1:1" ht="13.15" customHeight="1" x14ac:dyDescent="0.2">
      <c r="A5770" s="103"/>
    </row>
    <row r="5771" spans="1:1" ht="13.15" customHeight="1" x14ac:dyDescent="0.2">
      <c r="A5771" s="103"/>
    </row>
    <row r="5772" spans="1:1" ht="13.15" customHeight="1" x14ac:dyDescent="0.2">
      <c r="A5772" s="103"/>
    </row>
    <row r="5773" spans="1:1" ht="13.15" customHeight="1" x14ac:dyDescent="0.2">
      <c r="A5773" s="103"/>
    </row>
    <row r="5774" spans="1:1" ht="13.15" customHeight="1" x14ac:dyDescent="0.2">
      <c r="A5774" s="103"/>
    </row>
    <row r="5775" spans="1:1" ht="13.15" customHeight="1" x14ac:dyDescent="0.2">
      <c r="A5775" s="103"/>
    </row>
    <row r="5776" spans="1:1" ht="13.15" customHeight="1" x14ac:dyDescent="0.2">
      <c r="A5776" s="103"/>
    </row>
    <row r="5777" spans="1:1" ht="13.15" customHeight="1" x14ac:dyDescent="0.2">
      <c r="A5777" s="103"/>
    </row>
    <row r="5778" spans="1:1" ht="13.15" customHeight="1" x14ac:dyDescent="0.2">
      <c r="A5778" s="103"/>
    </row>
    <row r="5779" spans="1:1" ht="13.15" customHeight="1" x14ac:dyDescent="0.2">
      <c r="A5779" s="103"/>
    </row>
    <row r="5780" spans="1:1" ht="13.15" customHeight="1" x14ac:dyDescent="0.2">
      <c r="A5780" s="103"/>
    </row>
    <row r="5781" spans="1:1" ht="13.15" customHeight="1" x14ac:dyDescent="0.2">
      <c r="A5781" s="103"/>
    </row>
    <row r="5782" spans="1:1" ht="13.15" customHeight="1" x14ac:dyDescent="0.2">
      <c r="A5782" s="103"/>
    </row>
    <row r="5783" spans="1:1" ht="13.15" customHeight="1" x14ac:dyDescent="0.2">
      <c r="A5783" s="103"/>
    </row>
    <row r="5784" spans="1:1" ht="13.15" customHeight="1" x14ac:dyDescent="0.2">
      <c r="A5784" s="103"/>
    </row>
    <row r="5785" spans="1:1" ht="13.15" customHeight="1" x14ac:dyDescent="0.2">
      <c r="A5785" s="103"/>
    </row>
    <row r="5786" spans="1:1" ht="13.15" customHeight="1" x14ac:dyDescent="0.2">
      <c r="A5786" s="103"/>
    </row>
    <row r="5787" spans="1:1" ht="13.15" customHeight="1" x14ac:dyDescent="0.2">
      <c r="A5787" s="103"/>
    </row>
    <row r="5788" spans="1:1" ht="13.15" customHeight="1" x14ac:dyDescent="0.2">
      <c r="A5788" s="103"/>
    </row>
    <row r="5789" spans="1:1" ht="13.15" customHeight="1" x14ac:dyDescent="0.2">
      <c r="A5789" s="103"/>
    </row>
    <row r="5790" spans="1:1" ht="13.15" customHeight="1" x14ac:dyDescent="0.2">
      <c r="A5790" s="103"/>
    </row>
    <row r="5791" spans="1:1" ht="13.15" customHeight="1" x14ac:dyDescent="0.2">
      <c r="A5791" s="103"/>
    </row>
    <row r="5792" spans="1:1" ht="13.15" customHeight="1" x14ac:dyDescent="0.2">
      <c r="A5792" s="103"/>
    </row>
    <row r="5793" spans="1:1" ht="13.15" customHeight="1" x14ac:dyDescent="0.2">
      <c r="A5793" s="103"/>
    </row>
    <row r="5794" spans="1:1" ht="13.15" customHeight="1" x14ac:dyDescent="0.2">
      <c r="A5794" s="103"/>
    </row>
    <row r="5795" spans="1:1" ht="13.15" customHeight="1" x14ac:dyDescent="0.2">
      <c r="A5795" s="103"/>
    </row>
    <row r="5796" spans="1:1" ht="13.15" customHeight="1" x14ac:dyDescent="0.2">
      <c r="A5796" s="103"/>
    </row>
    <row r="5797" spans="1:1" ht="13.15" customHeight="1" x14ac:dyDescent="0.2">
      <c r="A5797" s="103"/>
    </row>
    <row r="5798" spans="1:1" ht="13.15" customHeight="1" x14ac:dyDescent="0.2">
      <c r="A5798" s="103"/>
    </row>
    <row r="5799" spans="1:1" ht="13.15" customHeight="1" x14ac:dyDescent="0.2">
      <c r="A5799" s="103"/>
    </row>
    <row r="5800" spans="1:1" ht="13.15" customHeight="1" x14ac:dyDescent="0.2">
      <c r="A5800" s="103"/>
    </row>
    <row r="5801" spans="1:1" ht="13.15" customHeight="1" x14ac:dyDescent="0.2">
      <c r="A5801" s="103"/>
    </row>
    <row r="5802" spans="1:1" ht="13.15" customHeight="1" x14ac:dyDescent="0.2">
      <c r="A5802" s="103"/>
    </row>
    <row r="5803" spans="1:1" ht="13.15" customHeight="1" x14ac:dyDescent="0.2">
      <c r="A5803" s="103"/>
    </row>
    <row r="5804" spans="1:1" ht="13.15" customHeight="1" x14ac:dyDescent="0.2">
      <c r="A5804" s="103"/>
    </row>
    <row r="5805" spans="1:1" ht="13.15" customHeight="1" x14ac:dyDescent="0.2">
      <c r="A5805" s="103"/>
    </row>
    <row r="5806" spans="1:1" ht="13.15" customHeight="1" x14ac:dyDescent="0.2">
      <c r="A5806" s="103"/>
    </row>
    <row r="5807" spans="1:1" ht="13.15" customHeight="1" x14ac:dyDescent="0.2">
      <c r="A5807" s="103"/>
    </row>
    <row r="5808" spans="1:1" ht="13.15" customHeight="1" x14ac:dyDescent="0.2">
      <c r="A5808" s="103"/>
    </row>
    <row r="5809" spans="1:1" ht="13.15" customHeight="1" x14ac:dyDescent="0.2">
      <c r="A5809" s="103"/>
    </row>
    <row r="5810" spans="1:1" ht="13.15" customHeight="1" x14ac:dyDescent="0.2">
      <c r="A5810" s="103"/>
    </row>
    <row r="5811" spans="1:1" ht="13.15" customHeight="1" x14ac:dyDescent="0.2">
      <c r="A5811" s="103"/>
    </row>
    <row r="5812" spans="1:1" ht="13.15" customHeight="1" x14ac:dyDescent="0.2">
      <c r="A5812" s="103"/>
    </row>
    <row r="5813" spans="1:1" ht="13.15" customHeight="1" x14ac:dyDescent="0.2">
      <c r="A5813" s="103"/>
    </row>
    <row r="5814" spans="1:1" ht="13.15" customHeight="1" x14ac:dyDescent="0.2">
      <c r="A5814" s="103"/>
    </row>
    <row r="5815" spans="1:1" ht="13.15" customHeight="1" x14ac:dyDescent="0.2">
      <c r="A5815" s="103"/>
    </row>
    <row r="5816" spans="1:1" ht="13.15" customHeight="1" x14ac:dyDescent="0.2">
      <c r="A5816" s="103"/>
    </row>
    <row r="5817" spans="1:1" ht="13.15" customHeight="1" x14ac:dyDescent="0.2">
      <c r="A5817" s="103"/>
    </row>
    <row r="5818" spans="1:1" ht="13.15" customHeight="1" x14ac:dyDescent="0.2">
      <c r="A5818" s="103"/>
    </row>
    <row r="5819" spans="1:1" ht="13.15" customHeight="1" x14ac:dyDescent="0.2">
      <c r="A5819" s="103"/>
    </row>
    <row r="5820" spans="1:1" ht="13.15" customHeight="1" x14ac:dyDescent="0.2">
      <c r="A5820" s="103"/>
    </row>
    <row r="5821" spans="1:1" ht="13.15" customHeight="1" x14ac:dyDescent="0.2">
      <c r="A5821" s="103"/>
    </row>
    <row r="5822" spans="1:1" ht="13.15" customHeight="1" x14ac:dyDescent="0.2">
      <c r="A5822" s="103"/>
    </row>
    <row r="5823" spans="1:1" ht="13.15" customHeight="1" x14ac:dyDescent="0.2">
      <c r="A5823" s="103"/>
    </row>
    <row r="5824" spans="1:1" ht="13.15" customHeight="1" x14ac:dyDescent="0.2">
      <c r="A5824" s="103"/>
    </row>
    <row r="5825" spans="1:1" ht="13.15" customHeight="1" x14ac:dyDescent="0.2">
      <c r="A5825" s="103"/>
    </row>
    <row r="5826" spans="1:1" ht="13.15" customHeight="1" x14ac:dyDescent="0.2">
      <c r="A5826" s="103"/>
    </row>
    <row r="5827" spans="1:1" ht="13.15" customHeight="1" x14ac:dyDescent="0.2">
      <c r="A5827" s="103"/>
    </row>
    <row r="5828" spans="1:1" ht="13.15" customHeight="1" x14ac:dyDescent="0.2">
      <c r="A5828" s="103"/>
    </row>
    <row r="5829" spans="1:1" ht="13.15" customHeight="1" x14ac:dyDescent="0.2">
      <c r="A5829" s="103"/>
    </row>
    <row r="5830" spans="1:1" ht="13.15" customHeight="1" x14ac:dyDescent="0.2">
      <c r="A5830" s="103"/>
    </row>
    <row r="5831" spans="1:1" ht="13.15" customHeight="1" x14ac:dyDescent="0.2">
      <c r="A5831" s="103"/>
    </row>
    <row r="5832" spans="1:1" ht="13.15" customHeight="1" x14ac:dyDescent="0.2">
      <c r="A5832" s="103"/>
    </row>
    <row r="5833" spans="1:1" ht="13.15" customHeight="1" x14ac:dyDescent="0.2">
      <c r="A5833" s="103"/>
    </row>
    <row r="5834" spans="1:1" ht="13.15" customHeight="1" x14ac:dyDescent="0.2">
      <c r="A5834" s="103"/>
    </row>
    <row r="5835" spans="1:1" ht="13.15" customHeight="1" x14ac:dyDescent="0.2">
      <c r="A5835" s="103"/>
    </row>
    <row r="5836" spans="1:1" ht="13.15" customHeight="1" x14ac:dyDescent="0.2">
      <c r="A5836" s="103"/>
    </row>
    <row r="5837" spans="1:1" ht="13.15" customHeight="1" x14ac:dyDescent="0.2">
      <c r="A5837" s="103"/>
    </row>
    <row r="5838" spans="1:1" ht="13.15" customHeight="1" x14ac:dyDescent="0.2">
      <c r="A5838" s="103"/>
    </row>
    <row r="5839" spans="1:1" ht="13.15" customHeight="1" x14ac:dyDescent="0.2">
      <c r="A5839" s="103"/>
    </row>
    <row r="5840" spans="1:1" ht="13.15" customHeight="1" x14ac:dyDescent="0.2">
      <c r="A5840" s="103"/>
    </row>
    <row r="5841" spans="1:1" ht="13.15" customHeight="1" x14ac:dyDescent="0.2">
      <c r="A5841" s="103"/>
    </row>
    <row r="5842" spans="1:1" ht="13.15" customHeight="1" x14ac:dyDescent="0.2">
      <c r="A5842" s="103"/>
    </row>
    <row r="5843" spans="1:1" ht="13.15" customHeight="1" x14ac:dyDescent="0.2">
      <c r="A5843" s="103"/>
    </row>
    <row r="5844" spans="1:1" ht="13.15" customHeight="1" x14ac:dyDescent="0.2">
      <c r="A5844" s="103"/>
    </row>
    <row r="5845" spans="1:1" ht="13.15" customHeight="1" x14ac:dyDescent="0.2">
      <c r="A5845" s="103"/>
    </row>
    <row r="5846" spans="1:1" ht="13.15" customHeight="1" x14ac:dyDescent="0.2">
      <c r="A5846" s="103"/>
    </row>
    <row r="5847" spans="1:1" ht="13.15" customHeight="1" x14ac:dyDescent="0.2">
      <c r="A5847" s="103"/>
    </row>
    <row r="5848" spans="1:1" ht="13.15" customHeight="1" x14ac:dyDescent="0.2">
      <c r="A5848" s="103"/>
    </row>
    <row r="5849" spans="1:1" ht="13.15" customHeight="1" x14ac:dyDescent="0.2">
      <c r="A5849" s="103"/>
    </row>
    <row r="5850" spans="1:1" ht="13.15" customHeight="1" x14ac:dyDescent="0.2">
      <c r="A5850" s="103"/>
    </row>
    <row r="5851" spans="1:1" ht="13.15" customHeight="1" x14ac:dyDescent="0.2">
      <c r="A5851" s="103"/>
    </row>
    <row r="5852" spans="1:1" ht="13.15" customHeight="1" x14ac:dyDescent="0.2">
      <c r="A5852" s="103"/>
    </row>
    <row r="5853" spans="1:1" ht="13.15" customHeight="1" x14ac:dyDescent="0.2">
      <c r="A5853" s="103"/>
    </row>
    <row r="5854" spans="1:1" ht="13.15" customHeight="1" x14ac:dyDescent="0.2">
      <c r="A5854" s="103"/>
    </row>
    <row r="5855" spans="1:1" ht="13.15" customHeight="1" x14ac:dyDescent="0.2">
      <c r="A5855" s="103"/>
    </row>
    <row r="5856" spans="1:1" ht="13.15" customHeight="1" x14ac:dyDescent="0.2">
      <c r="A5856" s="103"/>
    </row>
    <row r="5857" spans="1:1" ht="13.15" customHeight="1" x14ac:dyDescent="0.2">
      <c r="A5857" s="103"/>
    </row>
    <row r="5858" spans="1:1" ht="13.15" customHeight="1" x14ac:dyDescent="0.2">
      <c r="A5858" s="103"/>
    </row>
    <row r="5859" spans="1:1" ht="13.15" customHeight="1" x14ac:dyDescent="0.2">
      <c r="A5859" s="103"/>
    </row>
    <row r="5860" spans="1:1" ht="13.15" customHeight="1" x14ac:dyDescent="0.2">
      <c r="A5860" s="103"/>
    </row>
    <row r="5861" spans="1:1" ht="13.15" customHeight="1" x14ac:dyDescent="0.2">
      <c r="A5861" s="103"/>
    </row>
    <row r="5862" spans="1:1" ht="13.15" customHeight="1" x14ac:dyDescent="0.2">
      <c r="A5862" s="103"/>
    </row>
    <row r="5863" spans="1:1" ht="13.15" customHeight="1" x14ac:dyDescent="0.2">
      <c r="A5863" s="103"/>
    </row>
    <row r="5864" spans="1:1" ht="13.15" customHeight="1" x14ac:dyDescent="0.2">
      <c r="A5864" s="103"/>
    </row>
    <row r="5865" spans="1:1" ht="13.15" customHeight="1" x14ac:dyDescent="0.2">
      <c r="A5865" s="103"/>
    </row>
    <row r="5866" spans="1:1" ht="13.15" customHeight="1" x14ac:dyDescent="0.2">
      <c r="A5866" s="103"/>
    </row>
    <row r="5867" spans="1:1" ht="13.15" customHeight="1" x14ac:dyDescent="0.2">
      <c r="A5867" s="103"/>
    </row>
    <row r="5868" spans="1:1" ht="13.15" customHeight="1" x14ac:dyDescent="0.2">
      <c r="A5868" s="103"/>
    </row>
    <row r="5869" spans="1:1" ht="13.15" customHeight="1" x14ac:dyDescent="0.2">
      <c r="A5869" s="103"/>
    </row>
    <row r="5870" spans="1:1" ht="13.15" customHeight="1" x14ac:dyDescent="0.2">
      <c r="A5870" s="103"/>
    </row>
    <row r="5871" spans="1:1" ht="13.15" customHeight="1" x14ac:dyDescent="0.2">
      <c r="A5871" s="103"/>
    </row>
    <row r="5872" spans="1:1" ht="13.15" customHeight="1" x14ac:dyDescent="0.2">
      <c r="A5872" s="103"/>
    </row>
    <row r="5873" spans="1:1" ht="13.15" customHeight="1" x14ac:dyDescent="0.2">
      <c r="A5873" s="103"/>
    </row>
    <row r="5874" spans="1:1" ht="13.15" customHeight="1" x14ac:dyDescent="0.2">
      <c r="A5874" s="103"/>
    </row>
    <row r="5875" spans="1:1" ht="13.15" customHeight="1" x14ac:dyDescent="0.2">
      <c r="A5875" s="103"/>
    </row>
    <row r="5876" spans="1:1" ht="13.15" customHeight="1" x14ac:dyDescent="0.2">
      <c r="A5876" s="103"/>
    </row>
    <row r="5877" spans="1:1" ht="13.15" customHeight="1" x14ac:dyDescent="0.2">
      <c r="A5877" s="103"/>
    </row>
    <row r="5878" spans="1:1" ht="13.15" customHeight="1" x14ac:dyDescent="0.2">
      <c r="A5878" s="103"/>
    </row>
    <row r="5879" spans="1:1" ht="13.15" customHeight="1" x14ac:dyDescent="0.2">
      <c r="A5879" s="103"/>
    </row>
    <row r="5880" spans="1:1" ht="13.15" customHeight="1" x14ac:dyDescent="0.2">
      <c r="A5880" s="103"/>
    </row>
    <row r="5881" spans="1:1" ht="13.15" customHeight="1" x14ac:dyDescent="0.2">
      <c r="A5881" s="103"/>
    </row>
    <row r="5882" spans="1:1" ht="13.15" customHeight="1" x14ac:dyDescent="0.2">
      <c r="A5882" s="103"/>
    </row>
    <row r="5883" spans="1:1" ht="13.15" customHeight="1" x14ac:dyDescent="0.2">
      <c r="A5883" s="103"/>
    </row>
    <row r="5884" spans="1:1" ht="13.15" customHeight="1" x14ac:dyDescent="0.2">
      <c r="A5884" s="103"/>
    </row>
    <row r="5885" spans="1:1" ht="13.15" customHeight="1" x14ac:dyDescent="0.2">
      <c r="A5885" s="103"/>
    </row>
    <row r="5886" spans="1:1" ht="13.15" customHeight="1" x14ac:dyDescent="0.2">
      <c r="A5886" s="103"/>
    </row>
    <row r="5887" spans="1:1" ht="13.15" customHeight="1" x14ac:dyDescent="0.2">
      <c r="A5887" s="103"/>
    </row>
    <row r="5888" spans="1:1" ht="13.15" customHeight="1" x14ac:dyDescent="0.2">
      <c r="A5888" s="103"/>
    </row>
    <row r="5889" spans="1:1" ht="13.15" customHeight="1" x14ac:dyDescent="0.2">
      <c r="A5889" s="103"/>
    </row>
    <row r="5890" spans="1:1" ht="13.15" customHeight="1" x14ac:dyDescent="0.2">
      <c r="A5890" s="103"/>
    </row>
    <row r="5891" spans="1:1" ht="13.15" customHeight="1" x14ac:dyDescent="0.2">
      <c r="A5891" s="103"/>
    </row>
    <row r="5892" spans="1:1" ht="13.15" customHeight="1" x14ac:dyDescent="0.2">
      <c r="A5892" s="103"/>
    </row>
    <row r="5893" spans="1:1" ht="13.15" customHeight="1" x14ac:dyDescent="0.2">
      <c r="A5893" s="103"/>
    </row>
    <row r="5894" spans="1:1" ht="13.15" customHeight="1" x14ac:dyDescent="0.2">
      <c r="A5894" s="103"/>
    </row>
    <row r="5895" spans="1:1" ht="13.15" customHeight="1" x14ac:dyDescent="0.2">
      <c r="A5895" s="103"/>
    </row>
    <row r="5896" spans="1:1" ht="13.15" customHeight="1" x14ac:dyDescent="0.2">
      <c r="A5896" s="103"/>
    </row>
    <row r="5897" spans="1:1" ht="13.15" customHeight="1" x14ac:dyDescent="0.2">
      <c r="A5897" s="103"/>
    </row>
    <row r="5898" spans="1:1" ht="13.15" customHeight="1" x14ac:dyDescent="0.2">
      <c r="A5898" s="103"/>
    </row>
    <row r="5899" spans="1:1" ht="13.15" customHeight="1" x14ac:dyDescent="0.2">
      <c r="A5899" s="103"/>
    </row>
    <row r="5900" spans="1:1" ht="13.15" customHeight="1" x14ac:dyDescent="0.2">
      <c r="A5900" s="103"/>
    </row>
    <row r="5901" spans="1:1" ht="13.15" customHeight="1" x14ac:dyDescent="0.2">
      <c r="A5901" s="103"/>
    </row>
    <row r="5902" spans="1:1" ht="13.15" customHeight="1" x14ac:dyDescent="0.2">
      <c r="A5902" s="103"/>
    </row>
    <row r="5903" spans="1:1" ht="13.15" customHeight="1" x14ac:dyDescent="0.2">
      <c r="A5903" s="103"/>
    </row>
    <row r="5904" spans="1:1" ht="13.15" customHeight="1" x14ac:dyDescent="0.2">
      <c r="A5904" s="103"/>
    </row>
    <row r="5905" spans="1:1" ht="13.15" customHeight="1" x14ac:dyDescent="0.2">
      <c r="A5905" s="103"/>
    </row>
    <row r="5906" spans="1:1" ht="13.15" customHeight="1" x14ac:dyDescent="0.2">
      <c r="A5906" s="103"/>
    </row>
    <row r="5907" spans="1:1" ht="13.15" customHeight="1" x14ac:dyDescent="0.2">
      <c r="A5907" s="103"/>
    </row>
    <row r="5908" spans="1:1" ht="13.15" customHeight="1" x14ac:dyDescent="0.2">
      <c r="A5908" s="103"/>
    </row>
    <row r="5909" spans="1:1" ht="13.15" customHeight="1" x14ac:dyDescent="0.2">
      <c r="A5909" s="103"/>
    </row>
    <row r="5910" spans="1:1" ht="13.15" customHeight="1" x14ac:dyDescent="0.2">
      <c r="A5910" s="103"/>
    </row>
    <row r="5911" spans="1:1" ht="13.15" customHeight="1" x14ac:dyDescent="0.2">
      <c r="A5911" s="103"/>
    </row>
    <row r="5912" spans="1:1" ht="13.15" customHeight="1" x14ac:dyDescent="0.2">
      <c r="A5912" s="103"/>
    </row>
    <row r="5913" spans="1:1" ht="13.15" customHeight="1" x14ac:dyDescent="0.2">
      <c r="A5913" s="103"/>
    </row>
    <row r="5914" spans="1:1" ht="13.15" customHeight="1" x14ac:dyDescent="0.2">
      <c r="A5914" s="103"/>
    </row>
    <row r="5915" spans="1:1" ht="13.15" customHeight="1" x14ac:dyDescent="0.2">
      <c r="A5915" s="103"/>
    </row>
    <row r="5916" spans="1:1" ht="13.15" customHeight="1" x14ac:dyDescent="0.2">
      <c r="A5916" s="103"/>
    </row>
    <row r="5917" spans="1:1" ht="13.15" customHeight="1" x14ac:dyDescent="0.2">
      <c r="A5917" s="103"/>
    </row>
    <row r="5918" spans="1:1" ht="13.15" customHeight="1" x14ac:dyDescent="0.2">
      <c r="A5918" s="103"/>
    </row>
    <row r="5919" spans="1:1" ht="13.15" customHeight="1" x14ac:dyDescent="0.2">
      <c r="A5919" s="103"/>
    </row>
    <row r="5920" spans="1:1" ht="13.15" customHeight="1" x14ac:dyDescent="0.2">
      <c r="A5920" s="103"/>
    </row>
    <row r="5921" spans="1:1" ht="13.15" customHeight="1" x14ac:dyDescent="0.2">
      <c r="A5921" s="103"/>
    </row>
    <row r="5922" spans="1:1" ht="13.15" customHeight="1" x14ac:dyDescent="0.2">
      <c r="A5922" s="103"/>
    </row>
    <row r="5923" spans="1:1" ht="13.15" customHeight="1" x14ac:dyDescent="0.2">
      <c r="A5923" s="103"/>
    </row>
    <row r="5924" spans="1:1" ht="13.15" customHeight="1" x14ac:dyDescent="0.2">
      <c r="A5924" s="103"/>
    </row>
    <row r="5925" spans="1:1" ht="13.15" customHeight="1" x14ac:dyDescent="0.2">
      <c r="A5925" s="103"/>
    </row>
    <row r="5926" spans="1:1" ht="13.15" customHeight="1" x14ac:dyDescent="0.2">
      <c r="A5926" s="103"/>
    </row>
    <row r="5927" spans="1:1" ht="13.15" customHeight="1" x14ac:dyDescent="0.2">
      <c r="A5927" s="103"/>
    </row>
    <row r="5928" spans="1:1" ht="13.15" customHeight="1" x14ac:dyDescent="0.2">
      <c r="A5928" s="103"/>
    </row>
    <row r="5929" spans="1:1" ht="13.15" customHeight="1" x14ac:dyDescent="0.2">
      <c r="A5929" s="103"/>
    </row>
    <row r="5930" spans="1:1" ht="13.15" customHeight="1" x14ac:dyDescent="0.2">
      <c r="A5930" s="103"/>
    </row>
    <row r="5931" spans="1:1" ht="13.15" customHeight="1" x14ac:dyDescent="0.2">
      <c r="A5931" s="103"/>
    </row>
    <row r="5932" spans="1:1" ht="13.15" customHeight="1" x14ac:dyDescent="0.2">
      <c r="A5932" s="103"/>
    </row>
    <row r="5933" spans="1:1" ht="13.15" customHeight="1" x14ac:dyDescent="0.2">
      <c r="A5933" s="103"/>
    </row>
    <row r="5934" spans="1:1" ht="13.15" customHeight="1" x14ac:dyDescent="0.2">
      <c r="A5934" s="103"/>
    </row>
    <row r="5935" spans="1:1" ht="13.15" customHeight="1" x14ac:dyDescent="0.2">
      <c r="A5935" s="103"/>
    </row>
    <row r="5936" spans="1:1" ht="13.15" customHeight="1" x14ac:dyDescent="0.2">
      <c r="A5936" s="103"/>
    </row>
    <row r="5937" spans="1:1" ht="13.15" customHeight="1" x14ac:dyDescent="0.2">
      <c r="A5937" s="103"/>
    </row>
    <row r="5938" spans="1:1" ht="13.15" customHeight="1" x14ac:dyDescent="0.2">
      <c r="A5938" s="103"/>
    </row>
    <row r="5939" spans="1:1" ht="13.15" customHeight="1" x14ac:dyDescent="0.2">
      <c r="A5939" s="103"/>
    </row>
    <row r="5940" spans="1:1" ht="13.15" customHeight="1" x14ac:dyDescent="0.2">
      <c r="A5940" s="103"/>
    </row>
    <row r="5941" spans="1:1" ht="13.15" customHeight="1" x14ac:dyDescent="0.2">
      <c r="A5941" s="103"/>
    </row>
    <row r="5942" spans="1:1" ht="13.15" customHeight="1" x14ac:dyDescent="0.2">
      <c r="A5942" s="103"/>
    </row>
    <row r="5943" spans="1:1" ht="13.15" customHeight="1" x14ac:dyDescent="0.2">
      <c r="A5943" s="103"/>
    </row>
    <row r="5944" spans="1:1" ht="13.15" customHeight="1" x14ac:dyDescent="0.2">
      <c r="A5944" s="103"/>
    </row>
    <row r="5945" spans="1:1" ht="13.15" customHeight="1" x14ac:dyDescent="0.2">
      <c r="A5945" s="103"/>
    </row>
    <row r="5946" spans="1:1" ht="13.15" customHeight="1" x14ac:dyDescent="0.2">
      <c r="A5946" s="103"/>
    </row>
    <row r="5947" spans="1:1" ht="13.15" customHeight="1" x14ac:dyDescent="0.2">
      <c r="A5947" s="103"/>
    </row>
    <row r="5948" spans="1:1" ht="13.15" customHeight="1" x14ac:dyDescent="0.2">
      <c r="A5948" s="103"/>
    </row>
    <row r="5949" spans="1:1" ht="13.15" customHeight="1" x14ac:dyDescent="0.2">
      <c r="A5949" s="103"/>
    </row>
    <row r="5950" spans="1:1" ht="13.15" customHeight="1" x14ac:dyDescent="0.2">
      <c r="A5950" s="103"/>
    </row>
    <row r="5951" spans="1:1" ht="13.15" customHeight="1" x14ac:dyDescent="0.2">
      <c r="A5951" s="103"/>
    </row>
    <row r="5952" spans="1:1" ht="13.15" customHeight="1" x14ac:dyDescent="0.2">
      <c r="A5952" s="103"/>
    </row>
    <row r="5953" spans="1:1" ht="13.15" customHeight="1" x14ac:dyDescent="0.2">
      <c r="A5953" s="103"/>
    </row>
    <row r="5954" spans="1:1" ht="13.15" customHeight="1" x14ac:dyDescent="0.2">
      <c r="A5954" s="103"/>
    </row>
    <row r="5955" spans="1:1" ht="13.15" customHeight="1" x14ac:dyDescent="0.2">
      <c r="A5955" s="103"/>
    </row>
    <row r="5956" spans="1:1" ht="13.15" customHeight="1" x14ac:dyDescent="0.2">
      <c r="A5956" s="103"/>
    </row>
    <row r="5957" spans="1:1" ht="13.15" customHeight="1" x14ac:dyDescent="0.2">
      <c r="A5957" s="103"/>
    </row>
    <row r="5958" spans="1:1" ht="13.15" customHeight="1" x14ac:dyDescent="0.2">
      <c r="A5958" s="103"/>
    </row>
    <row r="5959" spans="1:1" ht="13.15" customHeight="1" x14ac:dyDescent="0.2">
      <c r="A5959" s="103"/>
    </row>
    <row r="5960" spans="1:1" ht="13.15" customHeight="1" x14ac:dyDescent="0.2">
      <c r="A5960" s="103"/>
    </row>
    <row r="5961" spans="1:1" ht="13.15" customHeight="1" x14ac:dyDescent="0.2">
      <c r="A5961" s="103"/>
    </row>
    <row r="5962" spans="1:1" ht="13.15" customHeight="1" x14ac:dyDescent="0.2">
      <c r="A5962" s="103"/>
    </row>
    <row r="5963" spans="1:1" ht="13.15" customHeight="1" x14ac:dyDescent="0.2">
      <c r="A5963" s="103"/>
    </row>
    <row r="5964" spans="1:1" ht="13.15" customHeight="1" x14ac:dyDescent="0.2">
      <c r="A5964" s="103"/>
    </row>
    <row r="5965" spans="1:1" ht="13.15" customHeight="1" x14ac:dyDescent="0.2">
      <c r="A5965" s="103"/>
    </row>
    <row r="5966" spans="1:1" ht="13.15" customHeight="1" x14ac:dyDescent="0.2">
      <c r="A5966" s="103"/>
    </row>
    <row r="5967" spans="1:1" ht="13.15" customHeight="1" x14ac:dyDescent="0.2">
      <c r="A5967" s="103"/>
    </row>
    <row r="5968" spans="1:1" ht="13.15" customHeight="1" x14ac:dyDescent="0.2">
      <c r="A5968" s="103"/>
    </row>
    <row r="5969" spans="1:1" ht="13.15" customHeight="1" x14ac:dyDescent="0.2">
      <c r="A5969" s="103"/>
    </row>
    <row r="5970" spans="1:1" ht="13.15" customHeight="1" x14ac:dyDescent="0.2">
      <c r="A5970" s="103"/>
    </row>
    <row r="5971" spans="1:1" ht="13.15" customHeight="1" x14ac:dyDescent="0.2">
      <c r="A5971" s="103"/>
    </row>
    <row r="5972" spans="1:1" ht="13.15" customHeight="1" x14ac:dyDescent="0.2">
      <c r="A5972" s="103"/>
    </row>
    <row r="5973" spans="1:1" ht="13.15" customHeight="1" x14ac:dyDescent="0.2">
      <c r="A5973" s="103"/>
    </row>
    <row r="5974" spans="1:1" ht="13.15" customHeight="1" x14ac:dyDescent="0.2">
      <c r="A5974" s="103"/>
    </row>
    <row r="5975" spans="1:1" ht="13.15" customHeight="1" x14ac:dyDescent="0.2">
      <c r="A5975" s="103"/>
    </row>
    <row r="5976" spans="1:1" ht="13.15" customHeight="1" x14ac:dyDescent="0.2">
      <c r="A5976" s="103"/>
    </row>
    <row r="5977" spans="1:1" ht="13.15" customHeight="1" x14ac:dyDescent="0.2">
      <c r="A5977" s="103"/>
    </row>
    <row r="5978" spans="1:1" ht="13.15" customHeight="1" x14ac:dyDescent="0.2">
      <c r="A5978" s="103"/>
    </row>
    <row r="5979" spans="1:1" ht="13.15" customHeight="1" x14ac:dyDescent="0.2">
      <c r="A5979" s="103"/>
    </row>
    <row r="5980" spans="1:1" ht="13.15" customHeight="1" x14ac:dyDescent="0.2">
      <c r="A5980" s="103"/>
    </row>
    <row r="5981" spans="1:1" ht="13.15" customHeight="1" x14ac:dyDescent="0.2">
      <c r="A5981" s="103"/>
    </row>
    <row r="5982" spans="1:1" ht="13.15" customHeight="1" x14ac:dyDescent="0.2">
      <c r="A5982" s="103"/>
    </row>
    <row r="5983" spans="1:1" ht="13.15" customHeight="1" x14ac:dyDescent="0.2">
      <c r="A5983" s="103"/>
    </row>
    <row r="5984" spans="1:1" ht="13.15" customHeight="1" x14ac:dyDescent="0.2">
      <c r="A5984" s="103"/>
    </row>
    <row r="5985" spans="1:1" ht="13.15" customHeight="1" x14ac:dyDescent="0.2">
      <c r="A5985" s="103"/>
    </row>
    <row r="5986" spans="1:1" ht="13.15" customHeight="1" x14ac:dyDescent="0.2">
      <c r="A5986" s="103"/>
    </row>
    <row r="5987" spans="1:1" ht="13.15" customHeight="1" x14ac:dyDescent="0.2">
      <c r="A5987" s="103"/>
    </row>
    <row r="5988" spans="1:1" ht="13.15" customHeight="1" x14ac:dyDescent="0.2">
      <c r="A5988" s="103"/>
    </row>
    <row r="5989" spans="1:1" ht="13.15" customHeight="1" x14ac:dyDescent="0.2">
      <c r="A5989" s="103"/>
    </row>
    <row r="5990" spans="1:1" ht="13.15" customHeight="1" x14ac:dyDescent="0.2">
      <c r="A5990" s="103"/>
    </row>
    <row r="5991" spans="1:1" ht="13.15" customHeight="1" x14ac:dyDescent="0.2">
      <c r="A5991" s="103"/>
    </row>
    <row r="5992" spans="1:1" ht="13.15" customHeight="1" x14ac:dyDescent="0.2">
      <c r="A5992" s="103"/>
    </row>
    <row r="5993" spans="1:1" ht="13.15" customHeight="1" x14ac:dyDescent="0.2">
      <c r="A5993" s="103"/>
    </row>
    <row r="5994" spans="1:1" ht="13.15" customHeight="1" x14ac:dyDescent="0.2">
      <c r="A5994" s="103"/>
    </row>
    <row r="5995" spans="1:1" ht="13.15" customHeight="1" x14ac:dyDescent="0.2">
      <c r="A5995" s="103"/>
    </row>
    <row r="5996" spans="1:1" ht="13.15" customHeight="1" x14ac:dyDescent="0.2">
      <c r="A5996" s="103"/>
    </row>
    <row r="5997" spans="1:1" ht="13.15" customHeight="1" x14ac:dyDescent="0.2">
      <c r="A5997" s="103"/>
    </row>
    <row r="5998" spans="1:1" ht="13.15" customHeight="1" x14ac:dyDescent="0.2">
      <c r="A5998" s="103"/>
    </row>
    <row r="5999" spans="1:1" ht="13.15" customHeight="1" x14ac:dyDescent="0.2">
      <c r="A5999" s="103"/>
    </row>
    <row r="6000" spans="1:1" ht="13.15" customHeight="1" x14ac:dyDescent="0.2">
      <c r="A6000" s="103"/>
    </row>
    <row r="6001" spans="1:1" ht="13.15" customHeight="1" x14ac:dyDescent="0.2">
      <c r="A6001" s="103"/>
    </row>
    <row r="6002" spans="1:1" ht="13.15" customHeight="1" x14ac:dyDescent="0.2">
      <c r="A6002" s="103"/>
    </row>
    <row r="6003" spans="1:1" ht="13.15" customHeight="1" x14ac:dyDescent="0.2">
      <c r="A6003" s="103"/>
    </row>
    <row r="6004" spans="1:1" ht="13.15" customHeight="1" x14ac:dyDescent="0.2">
      <c r="A6004" s="103"/>
    </row>
    <row r="6005" spans="1:1" ht="13.15" customHeight="1" x14ac:dyDescent="0.2">
      <c r="A6005" s="103"/>
    </row>
    <row r="6006" spans="1:1" ht="13.15" customHeight="1" x14ac:dyDescent="0.2">
      <c r="A6006" s="103"/>
    </row>
    <row r="6007" spans="1:1" ht="13.15" customHeight="1" x14ac:dyDescent="0.2">
      <c r="A6007" s="103"/>
    </row>
    <row r="6008" spans="1:1" ht="13.15" customHeight="1" x14ac:dyDescent="0.2">
      <c r="A6008" s="103"/>
    </row>
    <row r="6009" spans="1:1" ht="13.15" customHeight="1" x14ac:dyDescent="0.2">
      <c r="A6009" s="103"/>
    </row>
    <row r="6010" spans="1:1" ht="13.15" customHeight="1" x14ac:dyDescent="0.2">
      <c r="A6010" s="103"/>
    </row>
    <row r="6011" spans="1:1" ht="13.15" customHeight="1" x14ac:dyDescent="0.2">
      <c r="A6011" s="103"/>
    </row>
    <row r="6012" spans="1:1" ht="13.15" customHeight="1" x14ac:dyDescent="0.2">
      <c r="A6012" s="103"/>
    </row>
    <row r="6013" spans="1:1" ht="13.15" customHeight="1" x14ac:dyDescent="0.2">
      <c r="A6013" s="103"/>
    </row>
    <row r="6014" spans="1:1" ht="13.15" customHeight="1" x14ac:dyDescent="0.2">
      <c r="A6014" s="103"/>
    </row>
    <row r="6015" spans="1:1" ht="13.15" customHeight="1" x14ac:dyDescent="0.2">
      <c r="A6015" s="103"/>
    </row>
    <row r="6016" spans="1:1" ht="13.15" customHeight="1" x14ac:dyDescent="0.2">
      <c r="A6016" s="103"/>
    </row>
    <row r="6017" spans="1:1" ht="13.15" customHeight="1" x14ac:dyDescent="0.2">
      <c r="A6017" s="103"/>
    </row>
    <row r="6018" spans="1:1" ht="13.15" customHeight="1" x14ac:dyDescent="0.2">
      <c r="A6018" s="103"/>
    </row>
    <row r="6019" spans="1:1" ht="13.15" customHeight="1" x14ac:dyDescent="0.2">
      <c r="A6019" s="103"/>
    </row>
    <row r="6020" spans="1:1" ht="13.15" customHeight="1" x14ac:dyDescent="0.2">
      <c r="A6020" s="103"/>
    </row>
    <row r="6021" spans="1:1" ht="13.15" customHeight="1" x14ac:dyDescent="0.2">
      <c r="A6021" s="103"/>
    </row>
    <row r="6022" spans="1:1" ht="13.15" customHeight="1" x14ac:dyDescent="0.2">
      <c r="A6022" s="103"/>
    </row>
    <row r="6023" spans="1:1" ht="13.15" customHeight="1" x14ac:dyDescent="0.2">
      <c r="A6023" s="103"/>
    </row>
    <row r="6024" spans="1:1" ht="13.15" customHeight="1" x14ac:dyDescent="0.2">
      <c r="A6024" s="103"/>
    </row>
    <row r="6025" spans="1:1" ht="13.15" customHeight="1" x14ac:dyDescent="0.2">
      <c r="A6025" s="103"/>
    </row>
    <row r="6026" spans="1:1" ht="13.15" customHeight="1" x14ac:dyDescent="0.2">
      <c r="A6026" s="103"/>
    </row>
    <row r="6027" spans="1:1" ht="13.15" customHeight="1" x14ac:dyDescent="0.2">
      <c r="A6027" s="103"/>
    </row>
    <row r="6028" spans="1:1" ht="13.15" customHeight="1" x14ac:dyDescent="0.2">
      <c r="A6028" s="103"/>
    </row>
    <row r="6029" spans="1:1" ht="13.15" customHeight="1" x14ac:dyDescent="0.2">
      <c r="A6029" s="103"/>
    </row>
    <row r="6030" spans="1:1" ht="13.15" customHeight="1" x14ac:dyDescent="0.2">
      <c r="A6030" s="103"/>
    </row>
    <row r="6031" spans="1:1" ht="13.15" customHeight="1" x14ac:dyDescent="0.2">
      <c r="A6031" s="103"/>
    </row>
    <row r="6032" spans="1:1" ht="13.15" customHeight="1" x14ac:dyDescent="0.2">
      <c r="A6032" s="103"/>
    </row>
    <row r="6033" spans="1:1" ht="13.15" customHeight="1" x14ac:dyDescent="0.2">
      <c r="A6033" s="103"/>
    </row>
    <row r="6034" spans="1:1" ht="13.15" customHeight="1" x14ac:dyDescent="0.2">
      <c r="A6034" s="103"/>
    </row>
    <row r="6035" spans="1:1" ht="13.15" customHeight="1" x14ac:dyDescent="0.2">
      <c r="A6035" s="103"/>
    </row>
    <row r="6036" spans="1:1" ht="13.15" customHeight="1" x14ac:dyDescent="0.2">
      <c r="A6036" s="103"/>
    </row>
    <row r="6037" spans="1:1" ht="13.15" customHeight="1" x14ac:dyDescent="0.2">
      <c r="A6037" s="103"/>
    </row>
    <row r="6038" spans="1:1" ht="13.15" customHeight="1" x14ac:dyDescent="0.2">
      <c r="A6038" s="103"/>
    </row>
    <row r="6039" spans="1:1" ht="13.15" customHeight="1" x14ac:dyDescent="0.2">
      <c r="A6039" s="103"/>
    </row>
    <row r="6040" spans="1:1" ht="13.15" customHeight="1" x14ac:dyDescent="0.2">
      <c r="A6040" s="103"/>
    </row>
    <row r="6041" spans="1:1" ht="13.15" customHeight="1" x14ac:dyDescent="0.2">
      <c r="A6041" s="103"/>
    </row>
    <row r="6042" spans="1:1" ht="13.15" customHeight="1" x14ac:dyDescent="0.2">
      <c r="A6042" s="103"/>
    </row>
    <row r="6043" spans="1:1" ht="13.15" customHeight="1" x14ac:dyDescent="0.2">
      <c r="A6043" s="103"/>
    </row>
    <row r="6044" spans="1:1" ht="13.15" customHeight="1" x14ac:dyDescent="0.2">
      <c r="A6044" s="103"/>
    </row>
    <row r="6045" spans="1:1" ht="13.15" customHeight="1" x14ac:dyDescent="0.2">
      <c r="A6045" s="103"/>
    </row>
    <row r="6046" spans="1:1" ht="13.15" customHeight="1" x14ac:dyDescent="0.2">
      <c r="A6046" s="103"/>
    </row>
    <row r="6047" spans="1:1" ht="13.15" customHeight="1" x14ac:dyDescent="0.2">
      <c r="A6047" s="103"/>
    </row>
    <row r="6048" spans="1:1" ht="13.15" customHeight="1" x14ac:dyDescent="0.2">
      <c r="A6048" s="103"/>
    </row>
    <row r="6049" spans="1:1" ht="13.15" customHeight="1" x14ac:dyDescent="0.2">
      <c r="A6049" s="103"/>
    </row>
    <row r="6050" spans="1:1" ht="13.15" customHeight="1" x14ac:dyDescent="0.2">
      <c r="A6050" s="103"/>
    </row>
    <row r="6051" spans="1:1" ht="13.15" customHeight="1" x14ac:dyDescent="0.2">
      <c r="A6051" s="103"/>
    </row>
    <row r="6052" spans="1:1" ht="13.15" customHeight="1" x14ac:dyDescent="0.2">
      <c r="A6052" s="103"/>
    </row>
    <row r="6053" spans="1:1" ht="13.15" customHeight="1" x14ac:dyDescent="0.2">
      <c r="A6053" s="103"/>
    </row>
    <row r="6054" spans="1:1" ht="13.15" customHeight="1" x14ac:dyDescent="0.2">
      <c r="A6054" s="103"/>
    </row>
    <row r="6055" spans="1:1" ht="13.15" customHeight="1" x14ac:dyDescent="0.2">
      <c r="A6055" s="103"/>
    </row>
    <row r="6056" spans="1:1" ht="13.15" customHeight="1" x14ac:dyDescent="0.2">
      <c r="A6056" s="103"/>
    </row>
    <row r="6057" spans="1:1" ht="13.15" customHeight="1" x14ac:dyDescent="0.2">
      <c r="A6057" s="103"/>
    </row>
    <row r="6058" spans="1:1" ht="13.15" customHeight="1" x14ac:dyDescent="0.2">
      <c r="A6058" s="103"/>
    </row>
    <row r="6059" spans="1:1" ht="13.15" customHeight="1" x14ac:dyDescent="0.2">
      <c r="A6059" s="103"/>
    </row>
    <row r="6060" spans="1:1" ht="13.15" customHeight="1" x14ac:dyDescent="0.2">
      <c r="A6060" s="103"/>
    </row>
    <row r="6061" spans="1:1" ht="13.15" customHeight="1" x14ac:dyDescent="0.2">
      <c r="A6061" s="103"/>
    </row>
    <row r="6062" spans="1:1" ht="13.15" customHeight="1" x14ac:dyDescent="0.2">
      <c r="A6062" s="103"/>
    </row>
    <row r="6063" spans="1:1" ht="13.15" customHeight="1" x14ac:dyDescent="0.2">
      <c r="A6063" s="103"/>
    </row>
    <row r="6064" spans="1:1" ht="13.15" customHeight="1" x14ac:dyDescent="0.2">
      <c r="A6064" s="103"/>
    </row>
    <row r="6065" spans="1:1" ht="13.15" customHeight="1" x14ac:dyDescent="0.2">
      <c r="A6065" s="103"/>
    </row>
    <row r="6066" spans="1:1" ht="13.15" customHeight="1" x14ac:dyDescent="0.2">
      <c r="A6066" s="103"/>
    </row>
    <row r="6067" spans="1:1" ht="13.15" customHeight="1" x14ac:dyDescent="0.2">
      <c r="A6067" s="103"/>
    </row>
    <row r="6068" spans="1:1" ht="13.15" customHeight="1" x14ac:dyDescent="0.2">
      <c r="A6068" s="103"/>
    </row>
    <row r="6069" spans="1:1" ht="13.15" customHeight="1" x14ac:dyDescent="0.2">
      <c r="A6069" s="103"/>
    </row>
    <row r="6070" spans="1:1" ht="13.15" customHeight="1" x14ac:dyDescent="0.2">
      <c r="A6070" s="103"/>
    </row>
    <row r="6071" spans="1:1" ht="13.15" customHeight="1" x14ac:dyDescent="0.2">
      <c r="A6071" s="103"/>
    </row>
    <row r="6072" spans="1:1" ht="13.15" customHeight="1" x14ac:dyDescent="0.2">
      <c r="A6072" s="103"/>
    </row>
    <row r="6073" spans="1:1" ht="13.15" customHeight="1" x14ac:dyDescent="0.2">
      <c r="A6073" s="103"/>
    </row>
    <row r="6074" spans="1:1" ht="13.15" customHeight="1" x14ac:dyDescent="0.2">
      <c r="A6074" s="103"/>
    </row>
    <row r="6075" spans="1:1" ht="13.15" customHeight="1" x14ac:dyDescent="0.2">
      <c r="A6075" s="103"/>
    </row>
    <row r="6076" spans="1:1" ht="13.15" customHeight="1" x14ac:dyDescent="0.2">
      <c r="A6076" s="103"/>
    </row>
    <row r="6077" spans="1:1" ht="13.15" customHeight="1" x14ac:dyDescent="0.2">
      <c r="A6077" s="103"/>
    </row>
    <row r="6078" spans="1:1" ht="13.15" customHeight="1" x14ac:dyDescent="0.2">
      <c r="A6078" s="103"/>
    </row>
    <row r="6079" spans="1:1" ht="13.15" customHeight="1" x14ac:dyDescent="0.2">
      <c r="A6079" s="103"/>
    </row>
    <row r="6080" spans="1:1" ht="13.15" customHeight="1" x14ac:dyDescent="0.2">
      <c r="A6080" s="103"/>
    </row>
    <row r="6081" spans="1:1" ht="13.15" customHeight="1" x14ac:dyDescent="0.2">
      <c r="A6081" s="103"/>
    </row>
    <row r="6082" spans="1:1" ht="13.15" customHeight="1" x14ac:dyDescent="0.2">
      <c r="A6082" s="103"/>
    </row>
    <row r="6083" spans="1:1" ht="13.15" customHeight="1" x14ac:dyDescent="0.2">
      <c r="A6083" s="103"/>
    </row>
    <row r="6084" spans="1:1" ht="13.15" customHeight="1" x14ac:dyDescent="0.2">
      <c r="A6084" s="103"/>
    </row>
    <row r="6085" spans="1:1" ht="13.15" customHeight="1" x14ac:dyDescent="0.2">
      <c r="A6085" s="103"/>
    </row>
    <row r="6086" spans="1:1" ht="13.15" customHeight="1" x14ac:dyDescent="0.2">
      <c r="A6086" s="103"/>
    </row>
    <row r="6087" spans="1:1" ht="13.15" customHeight="1" x14ac:dyDescent="0.2">
      <c r="A6087" s="103"/>
    </row>
    <row r="6088" spans="1:1" ht="13.15" customHeight="1" x14ac:dyDescent="0.2">
      <c r="A6088" s="103"/>
    </row>
    <row r="6089" spans="1:1" ht="13.15" customHeight="1" x14ac:dyDescent="0.2">
      <c r="A6089" s="103"/>
    </row>
    <row r="6090" spans="1:1" ht="13.15" customHeight="1" x14ac:dyDescent="0.2">
      <c r="A6090" s="103"/>
    </row>
    <row r="6091" spans="1:1" ht="13.15" customHeight="1" x14ac:dyDescent="0.2">
      <c r="A6091" s="103"/>
    </row>
    <row r="6092" spans="1:1" ht="13.15" customHeight="1" x14ac:dyDescent="0.2">
      <c r="A6092" s="103"/>
    </row>
    <row r="6093" spans="1:1" ht="13.15" customHeight="1" x14ac:dyDescent="0.2">
      <c r="A6093" s="103"/>
    </row>
    <row r="6094" spans="1:1" ht="13.15" customHeight="1" x14ac:dyDescent="0.2">
      <c r="A6094" s="103"/>
    </row>
    <row r="6095" spans="1:1" ht="13.15" customHeight="1" x14ac:dyDescent="0.2">
      <c r="A6095" s="103"/>
    </row>
    <row r="6096" spans="1:1" ht="13.15" customHeight="1" x14ac:dyDescent="0.2">
      <c r="A6096" s="103"/>
    </row>
    <row r="6097" spans="1:1" ht="13.15" customHeight="1" x14ac:dyDescent="0.2">
      <c r="A6097" s="103"/>
    </row>
    <row r="6098" spans="1:1" ht="13.15" customHeight="1" x14ac:dyDescent="0.2">
      <c r="A6098" s="103"/>
    </row>
    <row r="6099" spans="1:1" ht="13.15" customHeight="1" x14ac:dyDescent="0.2">
      <c r="A6099" s="103"/>
    </row>
    <row r="6100" spans="1:1" ht="13.15" customHeight="1" x14ac:dyDescent="0.2">
      <c r="A6100" s="103"/>
    </row>
    <row r="6101" spans="1:1" ht="13.15" customHeight="1" x14ac:dyDescent="0.2">
      <c r="A6101" s="103"/>
    </row>
    <row r="6102" spans="1:1" ht="13.15" customHeight="1" x14ac:dyDescent="0.2">
      <c r="A6102" s="103"/>
    </row>
    <row r="6103" spans="1:1" ht="13.15" customHeight="1" x14ac:dyDescent="0.2">
      <c r="A6103" s="103"/>
    </row>
    <row r="6104" spans="1:1" ht="13.15" customHeight="1" x14ac:dyDescent="0.2">
      <c r="A6104" s="103"/>
    </row>
    <row r="6105" spans="1:1" ht="13.15" customHeight="1" x14ac:dyDescent="0.2">
      <c r="A6105" s="103"/>
    </row>
    <row r="6106" spans="1:1" ht="13.15" customHeight="1" x14ac:dyDescent="0.2">
      <c r="A6106" s="103"/>
    </row>
    <row r="6107" spans="1:1" ht="13.15" customHeight="1" x14ac:dyDescent="0.2">
      <c r="A6107" s="103"/>
    </row>
    <row r="6108" spans="1:1" ht="13.15" customHeight="1" x14ac:dyDescent="0.2">
      <c r="A6108" s="103"/>
    </row>
    <row r="6109" spans="1:1" ht="13.15" customHeight="1" x14ac:dyDescent="0.2">
      <c r="A6109" s="103"/>
    </row>
    <row r="6110" spans="1:1" ht="13.15" customHeight="1" x14ac:dyDescent="0.2">
      <c r="A6110" s="103"/>
    </row>
    <row r="6111" spans="1:1" ht="13.15" customHeight="1" x14ac:dyDescent="0.2">
      <c r="A6111" s="103"/>
    </row>
    <row r="6112" spans="1:1" ht="13.15" customHeight="1" x14ac:dyDescent="0.2">
      <c r="A6112" s="103"/>
    </row>
    <row r="6113" spans="1:1" ht="13.15" customHeight="1" x14ac:dyDescent="0.2">
      <c r="A6113" s="103"/>
    </row>
    <row r="6114" spans="1:1" ht="13.15" customHeight="1" x14ac:dyDescent="0.2">
      <c r="A6114" s="103"/>
    </row>
    <row r="6115" spans="1:1" ht="13.15" customHeight="1" x14ac:dyDescent="0.2">
      <c r="A6115" s="103"/>
    </row>
    <row r="6116" spans="1:1" ht="13.15" customHeight="1" x14ac:dyDescent="0.2">
      <c r="A6116" s="103"/>
    </row>
    <row r="6117" spans="1:1" ht="13.15" customHeight="1" x14ac:dyDescent="0.2">
      <c r="A6117" s="103"/>
    </row>
    <row r="6118" spans="1:1" ht="13.15" customHeight="1" x14ac:dyDescent="0.2">
      <c r="A6118" s="103"/>
    </row>
    <row r="6119" spans="1:1" ht="13.15" customHeight="1" x14ac:dyDescent="0.2">
      <c r="A6119" s="103"/>
    </row>
    <row r="6120" spans="1:1" ht="13.15" customHeight="1" x14ac:dyDescent="0.2">
      <c r="A6120" s="103"/>
    </row>
    <row r="6121" spans="1:1" ht="13.15" customHeight="1" x14ac:dyDescent="0.2">
      <c r="A6121" s="103"/>
    </row>
    <row r="6122" spans="1:1" ht="13.15" customHeight="1" x14ac:dyDescent="0.2">
      <c r="A6122" s="103"/>
    </row>
    <row r="6123" spans="1:1" ht="13.15" customHeight="1" x14ac:dyDescent="0.2">
      <c r="A6123" s="103"/>
    </row>
    <row r="6124" spans="1:1" ht="13.15" customHeight="1" x14ac:dyDescent="0.2">
      <c r="A6124" s="103"/>
    </row>
    <row r="6125" spans="1:1" ht="13.15" customHeight="1" x14ac:dyDescent="0.2">
      <c r="A6125" s="103"/>
    </row>
    <row r="6126" spans="1:1" ht="13.15" customHeight="1" x14ac:dyDescent="0.2">
      <c r="A6126" s="103"/>
    </row>
    <row r="6127" spans="1:1" ht="13.15" customHeight="1" x14ac:dyDescent="0.2">
      <c r="A6127" s="103"/>
    </row>
    <row r="6128" spans="1:1" ht="13.15" customHeight="1" x14ac:dyDescent="0.2">
      <c r="A6128" s="103"/>
    </row>
    <row r="6129" spans="1:1" ht="13.15" customHeight="1" x14ac:dyDescent="0.2">
      <c r="A6129" s="103"/>
    </row>
    <row r="6130" spans="1:1" ht="13.15" customHeight="1" x14ac:dyDescent="0.2">
      <c r="A6130" s="103"/>
    </row>
    <row r="6131" spans="1:1" ht="13.15" customHeight="1" x14ac:dyDescent="0.2">
      <c r="A6131" s="103"/>
    </row>
    <row r="6132" spans="1:1" ht="13.15" customHeight="1" x14ac:dyDescent="0.2">
      <c r="A6132" s="103"/>
    </row>
    <row r="6133" spans="1:1" ht="13.15" customHeight="1" x14ac:dyDescent="0.2">
      <c r="A6133" s="103"/>
    </row>
    <row r="6134" spans="1:1" ht="13.15" customHeight="1" x14ac:dyDescent="0.2">
      <c r="A6134" s="103"/>
    </row>
    <row r="6135" spans="1:1" ht="13.15" customHeight="1" x14ac:dyDescent="0.2">
      <c r="A6135" s="103"/>
    </row>
    <row r="6136" spans="1:1" ht="13.15" customHeight="1" x14ac:dyDescent="0.2">
      <c r="A6136" s="103"/>
    </row>
    <row r="6137" spans="1:1" ht="13.15" customHeight="1" x14ac:dyDescent="0.2">
      <c r="A6137" s="103"/>
    </row>
    <row r="6138" spans="1:1" ht="13.15" customHeight="1" x14ac:dyDescent="0.2">
      <c r="A6138" s="103"/>
    </row>
    <row r="6139" spans="1:1" ht="13.15" customHeight="1" x14ac:dyDescent="0.2">
      <c r="A6139" s="103"/>
    </row>
    <row r="6140" spans="1:1" ht="13.15" customHeight="1" x14ac:dyDescent="0.2">
      <c r="A6140" s="103"/>
    </row>
    <row r="6141" spans="1:1" ht="13.15" customHeight="1" x14ac:dyDescent="0.2">
      <c r="A6141" s="103"/>
    </row>
    <row r="6142" spans="1:1" ht="13.15" customHeight="1" x14ac:dyDescent="0.2">
      <c r="A6142" s="103"/>
    </row>
    <row r="6143" spans="1:1" ht="13.15" customHeight="1" x14ac:dyDescent="0.2">
      <c r="A6143" s="103"/>
    </row>
    <row r="6144" spans="1:1" ht="13.15" customHeight="1" x14ac:dyDescent="0.2">
      <c r="A6144" s="103"/>
    </row>
    <row r="6145" spans="1:1" ht="13.15" customHeight="1" x14ac:dyDescent="0.2">
      <c r="A6145" s="103"/>
    </row>
    <row r="6146" spans="1:1" ht="13.15" customHeight="1" x14ac:dyDescent="0.2">
      <c r="A6146" s="103"/>
    </row>
    <row r="6147" spans="1:1" ht="13.15" customHeight="1" x14ac:dyDescent="0.2">
      <c r="A6147" s="103"/>
    </row>
    <row r="6148" spans="1:1" ht="13.15" customHeight="1" x14ac:dyDescent="0.2">
      <c r="A6148" s="103"/>
    </row>
    <row r="6149" spans="1:1" ht="13.15" customHeight="1" x14ac:dyDescent="0.2">
      <c r="A6149" s="103"/>
    </row>
    <row r="6150" spans="1:1" ht="13.15" customHeight="1" x14ac:dyDescent="0.2">
      <c r="A6150" s="103"/>
    </row>
    <row r="6151" spans="1:1" ht="13.15" customHeight="1" x14ac:dyDescent="0.2">
      <c r="A6151" s="103"/>
    </row>
    <row r="6152" spans="1:1" ht="13.15" customHeight="1" x14ac:dyDescent="0.2">
      <c r="A6152" s="103"/>
    </row>
    <row r="6153" spans="1:1" ht="13.15" customHeight="1" x14ac:dyDescent="0.2">
      <c r="A6153" s="103"/>
    </row>
    <row r="6154" spans="1:1" ht="13.15" customHeight="1" x14ac:dyDescent="0.2">
      <c r="A6154" s="103"/>
    </row>
    <row r="6155" spans="1:1" ht="13.15" customHeight="1" x14ac:dyDescent="0.2">
      <c r="A6155" s="103"/>
    </row>
    <row r="6156" spans="1:1" ht="13.15" customHeight="1" x14ac:dyDescent="0.2">
      <c r="A6156" s="103"/>
    </row>
    <row r="6157" spans="1:1" ht="13.15" customHeight="1" x14ac:dyDescent="0.2">
      <c r="A6157" s="103"/>
    </row>
    <row r="6158" spans="1:1" ht="13.15" customHeight="1" x14ac:dyDescent="0.2">
      <c r="A6158" s="103"/>
    </row>
    <row r="6159" spans="1:1" ht="13.15" customHeight="1" x14ac:dyDescent="0.2">
      <c r="A6159" s="103"/>
    </row>
    <row r="6160" spans="1:1" ht="13.15" customHeight="1" x14ac:dyDescent="0.2">
      <c r="A6160" s="103"/>
    </row>
    <row r="6161" spans="1:1" ht="13.15" customHeight="1" x14ac:dyDescent="0.2">
      <c r="A6161" s="103"/>
    </row>
    <row r="6162" spans="1:1" ht="13.15" customHeight="1" x14ac:dyDescent="0.2">
      <c r="A6162" s="103"/>
    </row>
    <row r="6163" spans="1:1" ht="13.15" customHeight="1" x14ac:dyDescent="0.2">
      <c r="A6163" s="103"/>
    </row>
    <row r="6164" spans="1:1" ht="13.15" customHeight="1" x14ac:dyDescent="0.2">
      <c r="A6164" s="103"/>
    </row>
    <row r="6165" spans="1:1" ht="13.15" customHeight="1" x14ac:dyDescent="0.2">
      <c r="A6165" s="103"/>
    </row>
    <row r="6166" spans="1:1" ht="13.15" customHeight="1" x14ac:dyDescent="0.2">
      <c r="A6166" s="103"/>
    </row>
    <row r="6167" spans="1:1" ht="13.15" customHeight="1" x14ac:dyDescent="0.2">
      <c r="A6167" s="103"/>
    </row>
    <row r="6168" spans="1:1" ht="13.15" customHeight="1" x14ac:dyDescent="0.2">
      <c r="A6168" s="103"/>
    </row>
    <row r="6169" spans="1:1" ht="13.15" customHeight="1" x14ac:dyDescent="0.2">
      <c r="A6169" s="103"/>
    </row>
    <row r="6170" spans="1:1" ht="13.15" customHeight="1" x14ac:dyDescent="0.2">
      <c r="A6170" s="103"/>
    </row>
    <row r="6171" spans="1:1" ht="13.15" customHeight="1" x14ac:dyDescent="0.2">
      <c r="A6171" s="103"/>
    </row>
    <row r="6172" spans="1:1" ht="13.15" customHeight="1" x14ac:dyDescent="0.2">
      <c r="A6172" s="103"/>
    </row>
    <row r="6173" spans="1:1" ht="13.15" customHeight="1" x14ac:dyDescent="0.2">
      <c r="A6173" s="103"/>
    </row>
    <row r="6174" spans="1:1" ht="13.15" customHeight="1" x14ac:dyDescent="0.2">
      <c r="A6174" s="103"/>
    </row>
    <row r="6175" spans="1:1" ht="13.15" customHeight="1" x14ac:dyDescent="0.2">
      <c r="A6175" s="103"/>
    </row>
    <row r="6176" spans="1:1" ht="13.15" customHeight="1" x14ac:dyDescent="0.2">
      <c r="A6176" s="103"/>
    </row>
    <row r="6177" spans="1:1" ht="13.15" customHeight="1" x14ac:dyDescent="0.2">
      <c r="A6177" s="103"/>
    </row>
    <row r="6178" spans="1:1" ht="13.15" customHeight="1" x14ac:dyDescent="0.2">
      <c r="A6178" s="103"/>
    </row>
    <row r="6179" spans="1:1" ht="13.15" customHeight="1" x14ac:dyDescent="0.2">
      <c r="A6179" s="103"/>
    </row>
    <row r="6180" spans="1:1" ht="13.15" customHeight="1" x14ac:dyDescent="0.2">
      <c r="A6180" s="103"/>
    </row>
    <row r="6181" spans="1:1" ht="13.15" customHeight="1" x14ac:dyDescent="0.2">
      <c r="A6181" s="103"/>
    </row>
    <row r="6182" spans="1:1" ht="13.15" customHeight="1" x14ac:dyDescent="0.2">
      <c r="A6182" s="103"/>
    </row>
    <row r="6183" spans="1:1" ht="13.15" customHeight="1" x14ac:dyDescent="0.2">
      <c r="A6183" s="103"/>
    </row>
    <row r="6184" spans="1:1" ht="13.15" customHeight="1" x14ac:dyDescent="0.2">
      <c r="A6184" s="103"/>
    </row>
    <row r="6185" spans="1:1" ht="13.15" customHeight="1" x14ac:dyDescent="0.2">
      <c r="A6185" s="103"/>
    </row>
    <row r="6186" spans="1:1" ht="13.15" customHeight="1" x14ac:dyDescent="0.2">
      <c r="A6186" s="103"/>
    </row>
    <row r="6187" spans="1:1" ht="13.15" customHeight="1" x14ac:dyDescent="0.2">
      <c r="A6187" s="103"/>
    </row>
    <row r="6188" spans="1:1" ht="13.15" customHeight="1" x14ac:dyDescent="0.2">
      <c r="A6188" s="103"/>
    </row>
    <row r="6189" spans="1:1" ht="13.15" customHeight="1" x14ac:dyDescent="0.2">
      <c r="A6189" s="103"/>
    </row>
    <row r="6190" spans="1:1" ht="13.15" customHeight="1" x14ac:dyDescent="0.2">
      <c r="A6190" s="103"/>
    </row>
    <row r="6191" spans="1:1" ht="13.15" customHeight="1" x14ac:dyDescent="0.2">
      <c r="A6191" s="103"/>
    </row>
    <row r="6192" spans="1:1" ht="13.15" customHeight="1" x14ac:dyDescent="0.2">
      <c r="A6192" s="103"/>
    </row>
    <row r="6193" spans="1:1" ht="13.15" customHeight="1" x14ac:dyDescent="0.2">
      <c r="A6193" s="103"/>
    </row>
    <row r="6194" spans="1:1" ht="13.15" customHeight="1" x14ac:dyDescent="0.2">
      <c r="A6194" s="103"/>
    </row>
    <row r="6195" spans="1:1" ht="13.15" customHeight="1" x14ac:dyDescent="0.2">
      <c r="A6195" s="103"/>
    </row>
    <row r="6196" spans="1:1" ht="13.15" customHeight="1" x14ac:dyDescent="0.2">
      <c r="A6196" s="103"/>
    </row>
    <row r="6197" spans="1:1" ht="13.15" customHeight="1" x14ac:dyDescent="0.2">
      <c r="A6197" s="103"/>
    </row>
    <row r="6198" spans="1:1" ht="13.15" customHeight="1" x14ac:dyDescent="0.2">
      <c r="A6198" s="103"/>
    </row>
    <row r="6199" spans="1:1" ht="13.15" customHeight="1" x14ac:dyDescent="0.2">
      <c r="A6199" s="103"/>
    </row>
    <row r="6200" spans="1:1" ht="13.15" customHeight="1" x14ac:dyDescent="0.2">
      <c r="A6200" s="103"/>
    </row>
    <row r="6201" spans="1:1" ht="13.15" customHeight="1" x14ac:dyDescent="0.2">
      <c r="A6201" s="103"/>
    </row>
    <row r="6202" spans="1:1" ht="13.15" customHeight="1" x14ac:dyDescent="0.2">
      <c r="A6202" s="103"/>
    </row>
    <row r="6203" spans="1:1" ht="13.15" customHeight="1" x14ac:dyDescent="0.2">
      <c r="A6203" s="103"/>
    </row>
    <row r="6204" spans="1:1" ht="13.15" customHeight="1" x14ac:dyDescent="0.2">
      <c r="A6204" s="103"/>
    </row>
    <row r="6205" spans="1:1" ht="13.15" customHeight="1" x14ac:dyDescent="0.2">
      <c r="A6205" s="103"/>
    </row>
    <row r="6206" spans="1:1" ht="13.15" customHeight="1" x14ac:dyDescent="0.2">
      <c r="A6206" s="103"/>
    </row>
    <row r="6207" spans="1:1" ht="13.15" customHeight="1" x14ac:dyDescent="0.2">
      <c r="A6207" s="103"/>
    </row>
    <row r="6208" spans="1:1" ht="13.15" customHeight="1" x14ac:dyDescent="0.2">
      <c r="A6208" s="103"/>
    </row>
    <row r="6209" spans="1:1" ht="13.15" customHeight="1" x14ac:dyDescent="0.2">
      <c r="A6209" s="103"/>
    </row>
    <row r="6210" spans="1:1" ht="13.15" customHeight="1" x14ac:dyDescent="0.2">
      <c r="A6210" s="103"/>
    </row>
    <row r="6211" spans="1:1" ht="13.15" customHeight="1" x14ac:dyDescent="0.2">
      <c r="A6211" s="103"/>
    </row>
    <row r="6212" spans="1:1" ht="13.15" customHeight="1" x14ac:dyDescent="0.2">
      <c r="A6212" s="103"/>
    </row>
    <row r="6213" spans="1:1" ht="13.15" customHeight="1" x14ac:dyDescent="0.2">
      <c r="A6213" s="103"/>
    </row>
    <row r="6214" spans="1:1" ht="13.15" customHeight="1" x14ac:dyDescent="0.2">
      <c r="A6214" s="103"/>
    </row>
    <row r="6215" spans="1:1" ht="13.15" customHeight="1" x14ac:dyDescent="0.2">
      <c r="A6215" s="103"/>
    </row>
    <row r="6216" spans="1:1" ht="13.15" customHeight="1" x14ac:dyDescent="0.2">
      <c r="A6216" s="103"/>
    </row>
    <row r="6217" spans="1:1" ht="13.15" customHeight="1" x14ac:dyDescent="0.2">
      <c r="A6217" s="103"/>
    </row>
    <row r="6218" spans="1:1" ht="13.15" customHeight="1" x14ac:dyDescent="0.2">
      <c r="A6218" s="103"/>
    </row>
    <row r="6219" spans="1:1" ht="13.15" customHeight="1" x14ac:dyDescent="0.2">
      <c r="A6219" s="103"/>
    </row>
    <row r="6220" spans="1:1" ht="13.15" customHeight="1" x14ac:dyDescent="0.2">
      <c r="A6220" s="103"/>
    </row>
    <row r="6221" spans="1:1" ht="13.15" customHeight="1" x14ac:dyDescent="0.2">
      <c r="A6221" s="103"/>
    </row>
    <row r="6222" spans="1:1" ht="13.15" customHeight="1" x14ac:dyDescent="0.2">
      <c r="A6222" s="103"/>
    </row>
    <row r="6223" spans="1:1" ht="13.15" customHeight="1" x14ac:dyDescent="0.2">
      <c r="A6223" s="103"/>
    </row>
    <row r="6224" spans="1:1" ht="13.15" customHeight="1" x14ac:dyDescent="0.2">
      <c r="A6224" s="103"/>
    </row>
    <row r="6225" spans="1:1" ht="13.15" customHeight="1" x14ac:dyDescent="0.2">
      <c r="A6225" s="103"/>
    </row>
    <row r="6226" spans="1:1" ht="13.15" customHeight="1" x14ac:dyDescent="0.2">
      <c r="A6226" s="103"/>
    </row>
    <row r="6227" spans="1:1" ht="13.15" customHeight="1" x14ac:dyDescent="0.2">
      <c r="A6227" s="103"/>
    </row>
    <row r="6228" spans="1:1" ht="13.15" customHeight="1" x14ac:dyDescent="0.2">
      <c r="A6228" s="103"/>
    </row>
    <row r="6229" spans="1:1" ht="13.15" customHeight="1" x14ac:dyDescent="0.2">
      <c r="A6229" s="103"/>
    </row>
    <row r="6230" spans="1:1" ht="13.15" customHeight="1" x14ac:dyDescent="0.2">
      <c r="A6230" s="103"/>
    </row>
    <row r="6231" spans="1:1" ht="13.15" customHeight="1" x14ac:dyDescent="0.2">
      <c r="A6231" s="103"/>
    </row>
    <row r="6232" spans="1:1" ht="13.15" customHeight="1" x14ac:dyDescent="0.2">
      <c r="A6232" s="103"/>
    </row>
    <row r="6233" spans="1:1" ht="13.15" customHeight="1" x14ac:dyDescent="0.2">
      <c r="A6233" s="103"/>
    </row>
    <row r="6234" spans="1:1" ht="13.15" customHeight="1" x14ac:dyDescent="0.2">
      <c r="A6234" s="103"/>
    </row>
    <row r="6235" spans="1:1" ht="13.15" customHeight="1" x14ac:dyDescent="0.2">
      <c r="A6235" s="103"/>
    </row>
    <row r="6236" spans="1:1" ht="13.15" customHeight="1" x14ac:dyDescent="0.2">
      <c r="A6236" s="103"/>
    </row>
    <row r="6237" spans="1:1" ht="13.15" customHeight="1" x14ac:dyDescent="0.2">
      <c r="A6237" s="103"/>
    </row>
    <row r="6238" spans="1:1" ht="13.15" customHeight="1" x14ac:dyDescent="0.2">
      <c r="A6238" s="103"/>
    </row>
    <row r="6239" spans="1:1" ht="13.15" customHeight="1" x14ac:dyDescent="0.2">
      <c r="A6239" s="103"/>
    </row>
    <row r="6240" spans="1:1" ht="13.15" customHeight="1" x14ac:dyDescent="0.2">
      <c r="A6240" s="103"/>
    </row>
    <row r="6241" spans="1:1" ht="13.15" customHeight="1" x14ac:dyDescent="0.2">
      <c r="A6241" s="103"/>
    </row>
    <row r="6242" spans="1:1" ht="13.15" customHeight="1" x14ac:dyDescent="0.2">
      <c r="A6242" s="103"/>
    </row>
    <row r="6243" spans="1:1" ht="13.15" customHeight="1" x14ac:dyDescent="0.2">
      <c r="A6243" s="103"/>
    </row>
    <row r="6244" spans="1:1" ht="13.15" customHeight="1" x14ac:dyDescent="0.2">
      <c r="A6244" s="103"/>
    </row>
    <row r="6245" spans="1:1" ht="13.15" customHeight="1" x14ac:dyDescent="0.2">
      <c r="A6245" s="103"/>
    </row>
    <row r="6246" spans="1:1" ht="13.15" customHeight="1" x14ac:dyDescent="0.2">
      <c r="A6246" s="103"/>
    </row>
    <row r="6247" spans="1:1" ht="13.15" customHeight="1" x14ac:dyDescent="0.2">
      <c r="A6247" s="103"/>
    </row>
    <row r="6248" spans="1:1" ht="13.15" customHeight="1" x14ac:dyDescent="0.2">
      <c r="A6248" s="103"/>
    </row>
    <row r="6249" spans="1:1" ht="13.15" customHeight="1" x14ac:dyDescent="0.2">
      <c r="A6249" s="103"/>
    </row>
    <row r="6250" spans="1:1" ht="13.15" customHeight="1" x14ac:dyDescent="0.2">
      <c r="A6250" s="103"/>
    </row>
    <row r="6251" spans="1:1" ht="13.15" customHeight="1" x14ac:dyDescent="0.2">
      <c r="A6251" s="103"/>
    </row>
    <row r="6252" spans="1:1" ht="13.15" customHeight="1" x14ac:dyDescent="0.2">
      <c r="A6252" s="103"/>
    </row>
    <row r="6253" spans="1:1" ht="13.15" customHeight="1" x14ac:dyDescent="0.2">
      <c r="A6253" s="103"/>
    </row>
    <row r="6254" spans="1:1" ht="13.15" customHeight="1" x14ac:dyDescent="0.2">
      <c r="A6254" s="103"/>
    </row>
    <row r="6255" spans="1:1" ht="13.15" customHeight="1" x14ac:dyDescent="0.2">
      <c r="A6255" s="103"/>
    </row>
    <row r="6256" spans="1:1" ht="13.15" customHeight="1" x14ac:dyDescent="0.2">
      <c r="A6256" s="103"/>
    </row>
    <row r="6257" spans="1:1" ht="13.15" customHeight="1" x14ac:dyDescent="0.2">
      <c r="A6257" s="103"/>
    </row>
    <row r="6258" spans="1:1" ht="13.15" customHeight="1" x14ac:dyDescent="0.2">
      <c r="A6258" s="103"/>
    </row>
    <row r="6259" spans="1:1" ht="13.15" customHeight="1" x14ac:dyDescent="0.2">
      <c r="A6259" s="103"/>
    </row>
    <row r="6260" spans="1:1" ht="13.15" customHeight="1" x14ac:dyDescent="0.2">
      <c r="A6260" s="103"/>
    </row>
    <row r="6261" spans="1:1" ht="13.15" customHeight="1" x14ac:dyDescent="0.2">
      <c r="A6261" s="103"/>
    </row>
    <row r="6262" spans="1:1" ht="13.15" customHeight="1" x14ac:dyDescent="0.2">
      <c r="A6262" s="103"/>
    </row>
    <row r="6263" spans="1:1" ht="13.15" customHeight="1" x14ac:dyDescent="0.2">
      <c r="A6263" s="103"/>
    </row>
    <row r="6264" spans="1:1" ht="13.15" customHeight="1" x14ac:dyDescent="0.2">
      <c r="A6264" s="103"/>
    </row>
    <row r="6265" spans="1:1" ht="13.15" customHeight="1" x14ac:dyDescent="0.2">
      <c r="A6265" s="103"/>
    </row>
    <row r="6266" spans="1:1" ht="13.15" customHeight="1" x14ac:dyDescent="0.2">
      <c r="A6266" s="103"/>
    </row>
    <row r="6267" spans="1:1" ht="13.15" customHeight="1" x14ac:dyDescent="0.2">
      <c r="A6267" s="103"/>
    </row>
    <row r="6268" spans="1:1" ht="13.15" customHeight="1" x14ac:dyDescent="0.2">
      <c r="A6268" s="103"/>
    </row>
    <row r="6269" spans="1:1" ht="13.15" customHeight="1" x14ac:dyDescent="0.2">
      <c r="A6269" s="103"/>
    </row>
    <row r="6270" spans="1:1" ht="13.15" customHeight="1" x14ac:dyDescent="0.2">
      <c r="A6270" s="103"/>
    </row>
    <row r="6271" spans="1:1" ht="13.15" customHeight="1" x14ac:dyDescent="0.2">
      <c r="A6271" s="103"/>
    </row>
    <row r="6272" spans="1:1" ht="13.15" customHeight="1" x14ac:dyDescent="0.2">
      <c r="A6272" s="103"/>
    </row>
    <row r="6273" spans="1:1" ht="13.15" customHeight="1" x14ac:dyDescent="0.2">
      <c r="A6273" s="103"/>
    </row>
    <row r="6274" spans="1:1" ht="13.15" customHeight="1" x14ac:dyDescent="0.2">
      <c r="A6274" s="103"/>
    </row>
    <row r="6275" spans="1:1" ht="13.15" customHeight="1" x14ac:dyDescent="0.2">
      <c r="A6275" s="103"/>
    </row>
    <row r="6276" spans="1:1" ht="13.15" customHeight="1" x14ac:dyDescent="0.2">
      <c r="A6276" s="103"/>
    </row>
    <row r="6277" spans="1:1" ht="13.15" customHeight="1" x14ac:dyDescent="0.2">
      <c r="A6277" s="103"/>
    </row>
    <row r="6278" spans="1:1" ht="13.15" customHeight="1" x14ac:dyDescent="0.2">
      <c r="A6278" s="103"/>
    </row>
    <row r="6279" spans="1:1" ht="13.15" customHeight="1" x14ac:dyDescent="0.2">
      <c r="A6279" s="103"/>
    </row>
    <row r="6280" spans="1:1" ht="13.15" customHeight="1" x14ac:dyDescent="0.2">
      <c r="A6280" s="103"/>
    </row>
    <row r="6281" spans="1:1" ht="13.15" customHeight="1" x14ac:dyDescent="0.2">
      <c r="A6281" s="103"/>
    </row>
    <row r="6282" spans="1:1" ht="13.15" customHeight="1" x14ac:dyDescent="0.2">
      <c r="A6282" s="103"/>
    </row>
    <row r="6283" spans="1:1" ht="13.15" customHeight="1" x14ac:dyDescent="0.2">
      <c r="A6283" s="103"/>
    </row>
    <row r="6284" spans="1:1" ht="13.15" customHeight="1" x14ac:dyDescent="0.2">
      <c r="A6284" s="103"/>
    </row>
    <row r="6285" spans="1:1" ht="13.15" customHeight="1" x14ac:dyDescent="0.2">
      <c r="A6285" s="103"/>
    </row>
    <row r="6286" spans="1:1" ht="13.15" customHeight="1" x14ac:dyDescent="0.2">
      <c r="A6286" s="103"/>
    </row>
    <row r="6287" spans="1:1" ht="13.15" customHeight="1" x14ac:dyDescent="0.2">
      <c r="A6287" s="103"/>
    </row>
    <row r="6288" spans="1:1" ht="13.15" customHeight="1" x14ac:dyDescent="0.2">
      <c r="A6288" s="103"/>
    </row>
    <row r="6289" spans="1:1" ht="13.15" customHeight="1" x14ac:dyDescent="0.2">
      <c r="A6289" s="103"/>
    </row>
    <row r="6290" spans="1:1" ht="13.15" customHeight="1" x14ac:dyDescent="0.2">
      <c r="A6290" s="103"/>
    </row>
    <row r="6291" spans="1:1" ht="13.15" customHeight="1" x14ac:dyDescent="0.2">
      <c r="A6291" s="103"/>
    </row>
    <row r="6292" spans="1:1" ht="13.15" customHeight="1" x14ac:dyDescent="0.2">
      <c r="A6292" s="103"/>
    </row>
    <row r="6293" spans="1:1" ht="13.15" customHeight="1" x14ac:dyDescent="0.2">
      <c r="A6293" s="103"/>
    </row>
    <row r="6294" spans="1:1" ht="13.15" customHeight="1" x14ac:dyDescent="0.2">
      <c r="A6294" s="103"/>
    </row>
    <row r="6295" spans="1:1" ht="13.15" customHeight="1" x14ac:dyDescent="0.2">
      <c r="A6295" s="103"/>
    </row>
    <row r="6296" spans="1:1" ht="13.15" customHeight="1" x14ac:dyDescent="0.2">
      <c r="A6296" s="103"/>
    </row>
    <row r="6297" spans="1:1" ht="13.15" customHeight="1" x14ac:dyDescent="0.2">
      <c r="A6297" s="103"/>
    </row>
    <row r="6298" spans="1:1" ht="13.15" customHeight="1" x14ac:dyDescent="0.2">
      <c r="A6298" s="103"/>
    </row>
    <row r="6299" spans="1:1" ht="13.15" customHeight="1" x14ac:dyDescent="0.2">
      <c r="A6299" s="103"/>
    </row>
    <row r="6300" spans="1:1" ht="13.15" customHeight="1" x14ac:dyDescent="0.2">
      <c r="A6300" s="103"/>
    </row>
    <row r="6301" spans="1:1" ht="13.15" customHeight="1" x14ac:dyDescent="0.2">
      <c r="A6301" s="103"/>
    </row>
    <row r="6302" spans="1:1" ht="13.15" customHeight="1" x14ac:dyDescent="0.2">
      <c r="A6302" s="103"/>
    </row>
    <row r="6303" spans="1:1" ht="13.15" customHeight="1" x14ac:dyDescent="0.2">
      <c r="A6303" s="103"/>
    </row>
    <row r="6304" spans="1:1" ht="13.15" customHeight="1" x14ac:dyDescent="0.2">
      <c r="A6304" s="103"/>
    </row>
    <row r="6305" spans="1:1" ht="13.15" customHeight="1" x14ac:dyDescent="0.2">
      <c r="A6305" s="103"/>
    </row>
    <row r="6306" spans="1:1" ht="13.15" customHeight="1" x14ac:dyDescent="0.2">
      <c r="A6306" s="103"/>
    </row>
    <row r="6307" spans="1:1" ht="13.15" customHeight="1" x14ac:dyDescent="0.2">
      <c r="A6307" s="103"/>
    </row>
    <row r="6308" spans="1:1" ht="13.15" customHeight="1" x14ac:dyDescent="0.2">
      <c r="A6308" s="103"/>
    </row>
    <row r="6309" spans="1:1" ht="13.15" customHeight="1" x14ac:dyDescent="0.2">
      <c r="A6309" s="103"/>
    </row>
    <row r="6310" spans="1:1" ht="13.15" customHeight="1" x14ac:dyDescent="0.2">
      <c r="A6310" s="103"/>
    </row>
    <row r="6311" spans="1:1" ht="13.15" customHeight="1" x14ac:dyDescent="0.2">
      <c r="A6311" s="103"/>
    </row>
    <row r="6312" spans="1:1" ht="13.15" customHeight="1" x14ac:dyDescent="0.2">
      <c r="A6312" s="103"/>
    </row>
    <row r="6313" spans="1:1" ht="13.15" customHeight="1" x14ac:dyDescent="0.2">
      <c r="A6313" s="103"/>
    </row>
    <row r="6314" spans="1:1" ht="13.15" customHeight="1" x14ac:dyDescent="0.2">
      <c r="A6314" s="103"/>
    </row>
    <row r="6315" spans="1:1" ht="13.15" customHeight="1" x14ac:dyDescent="0.2">
      <c r="A6315" s="103"/>
    </row>
    <row r="6316" spans="1:1" ht="13.15" customHeight="1" x14ac:dyDescent="0.2">
      <c r="A6316" s="103"/>
    </row>
    <row r="6317" spans="1:1" ht="13.15" customHeight="1" x14ac:dyDescent="0.2">
      <c r="A6317" s="103"/>
    </row>
    <row r="6318" spans="1:1" ht="13.15" customHeight="1" x14ac:dyDescent="0.2">
      <c r="A6318" s="103"/>
    </row>
    <row r="6319" spans="1:1" ht="13.15" customHeight="1" x14ac:dyDescent="0.2">
      <c r="A6319" s="103"/>
    </row>
    <row r="6320" spans="1:1" ht="13.15" customHeight="1" x14ac:dyDescent="0.2">
      <c r="A6320" s="103"/>
    </row>
    <row r="6321" spans="1:1" ht="13.15" customHeight="1" x14ac:dyDescent="0.2">
      <c r="A6321" s="103"/>
    </row>
    <row r="6322" spans="1:1" ht="13.15" customHeight="1" x14ac:dyDescent="0.2">
      <c r="A6322" s="103"/>
    </row>
    <row r="6323" spans="1:1" ht="13.15" customHeight="1" x14ac:dyDescent="0.2">
      <c r="A6323" s="103"/>
    </row>
    <row r="6324" spans="1:1" ht="13.15" customHeight="1" x14ac:dyDescent="0.2">
      <c r="A6324" s="103"/>
    </row>
    <row r="6325" spans="1:1" ht="13.15" customHeight="1" x14ac:dyDescent="0.2">
      <c r="A6325" s="103"/>
    </row>
    <row r="6326" spans="1:1" ht="13.15" customHeight="1" x14ac:dyDescent="0.2">
      <c r="A6326" s="103"/>
    </row>
    <row r="6327" spans="1:1" ht="13.15" customHeight="1" x14ac:dyDescent="0.2">
      <c r="A6327" s="103"/>
    </row>
    <row r="6328" spans="1:1" ht="13.15" customHeight="1" x14ac:dyDescent="0.2">
      <c r="A6328" s="103"/>
    </row>
    <row r="6329" spans="1:1" ht="13.15" customHeight="1" x14ac:dyDescent="0.2">
      <c r="A6329" s="103"/>
    </row>
    <row r="6330" spans="1:1" ht="13.15" customHeight="1" x14ac:dyDescent="0.2">
      <c r="A6330" s="103"/>
    </row>
    <row r="6331" spans="1:1" ht="13.15" customHeight="1" x14ac:dyDescent="0.2">
      <c r="A6331" s="103"/>
    </row>
    <row r="6332" spans="1:1" ht="13.15" customHeight="1" x14ac:dyDescent="0.2">
      <c r="A6332" s="103"/>
    </row>
    <row r="6333" spans="1:1" ht="13.15" customHeight="1" x14ac:dyDescent="0.2">
      <c r="A6333" s="103"/>
    </row>
    <row r="6334" spans="1:1" ht="13.15" customHeight="1" x14ac:dyDescent="0.2">
      <c r="A6334" s="103"/>
    </row>
    <row r="6335" spans="1:1" ht="13.15" customHeight="1" x14ac:dyDescent="0.2">
      <c r="A6335" s="103"/>
    </row>
    <row r="6336" spans="1:1" ht="13.15" customHeight="1" x14ac:dyDescent="0.2">
      <c r="A6336" s="103"/>
    </row>
    <row r="6337" spans="1:1" ht="13.15" customHeight="1" x14ac:dyDescent="0.2">
      <c r="A6337" s="103"/>
    </row>
    <row r="6338" spans="1:1" ht="13.15" customHeight="1" x14ac:dyDescent="0.2">
      <c r="A6338" s="103"/>
    </row>
    <row r="6339" spans="1:1" ht="13.15" customHeight="1" x14ac:dyDescent="0.2">
      <c r="A6339" s="103"/>
    </row>
    <row r="6340" spans="1:1" ht="13.15" customHeight="1" x14ac:dyDescent="0.2">
      <c r="A6340" s="103"/>
    </row>
    <row r="6341" spans="1:1" ht="13.15" customHeight="1" x14ac:dyDescent="0.2">
      <c r="A6341" s="103"/>
    </row>
    <row r="6342" spans="1:1" ht="13.15" customHeight="1" x14ac:dyDescent="0.2">
      <c r="A6342" s="103"/>
    </row>
    <row r="6343" spans="1:1" ht="13.15" customHeight="1" x14ac:dyDescent="0.2">
      <c r="A6343" s="103"/>
    </row>
    <row r="6344" spans="1:1" ht="13.15" customHeight="1" x14ac:dyDescent="0.2">
      <c r="A6344" s="103"/>
    </row>
    <row r="6345" spans="1:1" ht="13.15" customHeight="1" x14ac:dyDescent="0.2">
      <c r="A6345" s="103"/>
    </row>
    <row r="6346" spans="1:1" ht="13.15" customHeight="1" x14ac:dyDescent="0.2">
      <c r="A6346" s="103"/>
    </row>
    <row r="6347" spans="1:1" ht="13.15" customHeight="1" x14ac:dyDescent="0.2">
      <c r="A6347" s="103"/>
    </row>
    <row r="6348" spans="1:1" ht="13.15" customHeight="1" x14ac:dyDescent="0.2">
      <c r="A6348" s="103"/>
    </row>
    <row r="6349" spans="1:1" ht="13.15" customHeight="1" x14ac:dyDescent="0.2">
      <c r="A6349" s="103"/>
    </row>
    <row r="6350" spans="1:1" ht="13.15" customHeight="1" x14ac:dyDescent="0.2">
      <c r="A6350" s="103"/>
    </row>
    <row r="6351" spans="1:1" ht="13.15" customHeight="1" x14ac:dyDescent="0.2">
      <c r="A6351" s="103"/>
    </row>
    <row r="6352" spans="1:1" ht="13.15" customHeight="1" x14ac:dyDescent="0.2">
      <c r="A6352" s="103"/>
    </row>
    <row r="6353" spans="1:1" ht="13.15" customHeight="1" x14ac:dyDescent="0.2">
      <c r="A6353" s="103"/>
    </row>
    <row r="6354" spans="1:1" ht="13.15" customHeight="1" x14ac:dyDescent="0.2">
      <c r="A6354" s="103"/>
    </row>
    <row r="6355" spans="1:1" ht="13.15" customHeight="1" x14ac:dyDescent="0.2">
      <c r="A6355" s="103"/>
    </row>
    <row r="6356" spans="1:1" ht="13.15" customHeight="1" x14ac:dyDescent="0.2">
      <c r="A6356" s="103"/>
    </row>
    <row r="6357" spans="1:1" ht="13.15" customHeight="1" x14ac:dyDescent="0.2">
      <c r="A6357" s="103"/>
    </row>
    <row r="6358" spans="1:1" ht="13.15" customHeight="1" x14ac:dyDescent="0.2">
      <c r="A6358" s="103"/>
    </row>
    <row r="6359" spans="1:1" ht="13.15" customHeight="1" x14ac:dyDescent="0.2">
      <c r="A6359" s="103"/>
    </row>
    <row r="6360" spans="1:1" ht="13.15" customHeight="1" x14ac:dyDescent="0.2">
      <c r="A6360" s="103"/>
    </row>
    <row r="6361" spans="1:1" ht="13.15" customHeight="1" x14ac:dyDescent="0.2">
      <c r="A6361" s="103"/>
    </row>
    <row r="6362" spans="1:1" ht="13.15" customHeight="1" x14ac:dyDescent="0.2">
      <c r="A6362" s="103"/>
    </row>
    <row r="6363" spans="1:1" ht="13.15" customHeight="1" x14ac:dyDescent="0.2">
      <c r="A6363" s="103"/>
    </row>
    <row r="6364" spans="1:1" ht="13.15" customHeight="1" x14ac:dyDescent="0.2">
      <c r="A6364" s="103"/>
    </row>
    <row r="6365" spans="1:1" ht="13.15" customHeight="1" x14ac:dyDescent="0.2">
      <c r="A6365" s="103"/>
    </row>
    <row r="6366" spans="1:1" ht="13.15" customHeight="1" x14ac:dyDescent="0.2">
      <c r="A6366" s="103"/>
    </row>
    <row r="6367" spans="1:1" ht="13.15" customHeight="1" x14ac:dyDescent="0.2">
      <c r="A6367" s="103"/>
    </row>
    <row r="6368" spans="1:1" ht="13.15" customHeight="1" x14ac:dyDescent="0.2">
      <c r="A6368" s="103"/>
    </row>
    <row r="6369" spans="1:1" ht="13.15" customHeight="1" x14ac:dyDescent="0.2">
      <c r="A6369" s="103"/>
    </row>
    <row r="6370" spans="1:1" ht="13.15" customHeight="1" x14ac:dyDescent="0.2">
      <c r="A6370" s="103"/>
    </row>
    <row r="6371" spans="1:1" ht="13.15" customHeight="1" x14ac:dyDescent="0.2">
      <c r="A6371" s="103"/>
    </row>
    <row r="6372" spans="1:1" ht="13.15" customHeight="1" x14ac:dyDescent="0.2">
      <c r="A6372" s="103"/>
    </row>
    <row r="6373" spans="1:1" ht="13.15" customHeight="1" x14ac:dyDescent="0.2">
      <c r="A6373" s="103"/>
    </row>
    <row r="6374" spans="1:1" ht="13.15" customHeight="1" x14ac:dyDescent="0.2">
      <c r="A6374" s="103"/>
    </row>
    <row r="6375" spans="1:1" ht="13.15" customHeight="1" x14ac:dyDescent="0.2">
      <c r="A6375" s="103"/>
    </row>
    <row r="6376" spans="1:1" ht="13.15" customHeight="1" x14ac:dyDescent="0.2">
      <c r="A6376" s="103"/>
    </row>
    <row r="6377" spans="1:1" ht="13.15" customHeight="1" x14ac:dyDescent="0.2">
      <c r="A6377" s="103"/>
    </row>
    <row r="6378" spans="1:1" ht="13.15" customHeight="1" x14ac:dyDescent="0.2">
      <c r="A6378" s="103"/>
    </row>
    <row r="6379" spans="1:1" ht="13.15" customHeight="1" x14ac:dyDescent="0.2">
      <c r="A6379" s="103"/>
    </row>
    <row r="6380" spans="1:1" ht="13.15" customHeight="1" x14ac:dyDescent="0.2">
      <c r="A6380" s="103"/>
    </row>
    <row r="6381" spans="1:1" ht="13.15" customHeight="1" x14ac:dyDescent="0.2">
      <c r="A6381" s="103"/>
    </row>
    <row r="6382" spans="1:1" ht="13.15" customHeight="1" x14ac:dyDescent="0.2">
      <c r="A6382" s="103"/>
    </row>
    <row r="6383" spans="1:1" ht="13.15" customHeight="1" x14ac:dyDescent="0.2">
      <c r="A6383" s="103"/>
    </row>
    <row r="6384" spans="1:1" ht="13.15" customHeight="1" x14ac:dyDescent="0.2">
      <c r="A6384" s="103"/>
    </row>
    <row r="6385" spans="1:1" ht="13.15" customHeight="1" x14ac:dyDescent="0.2">
      <c r="A6385" s="103"/>
    </row>
    <row r="6386" spans="1:1" ht="13.15" customHeight="1" x14ac:dyDescent="0.2">
      <c r="A6386" s="103"/>
    </row>
    <row r="6387" spans="1:1" ht="13.15" customHeight="1" x14ac:dyDescent="0.2">
      <c r="A6387" s="103"/>
    </row>
    <row r="6388" spans="1:1" ht="13.15" customHeight="1" x14ac:dyDescent="0.2">
      <c r="A6388" s="103"/>
    </row>
    <row r="6389" spans="1:1" ht="13.15" customHeight="1" x14ac:dyDescent="0.2">
      <c r="A6389" s="103"/>
    </row>
    <row r="6390" spans="1:1" ht="13.15" customHeight="1" x14ac:dyDescent="0.2">
      <c r="A6390" s="103"/>
    </row>
    <row r="6391" spans="1:1" ht="13.15" customHeight="1" x14ac:dyDescent="0.2">
      <c r="A6391" s="103"/>
    </row>
    <row r="6392" spans="1:1" ht="13.15" customHeight="1" x14ac:dyDescent="0.2">
      <c r="A6392" s="103"/>
    </row>
    <row r="6393" spans="1:1" ht="13.15" customHeight="1" x14ac:dyDescent="0.2">
      <c r="A6393" s="103"/>
    </row>
    <row r="6394" spans="1:1" ht="13.15" customHeight="1" x14ac:dyDescent="0.2">
      <c r="A6394" s="103"/>
    </row>
    <row r="6395" spans="1:1" ht="13.15" customHeight="1" x14ac:dyDescent="0.2">
      <c r="A6395" s="103"/>
    </row>
    <row r="6396" spans="1:1" ht="13.15" customHeight="1" x14ac:dyDescent="0.2">
      <c r="A6396" s="103"/>
    </row>
    <row r="6397" spans="1:1" ht="13.15" customHeight="1" x14ac:dyDescent="0.2">
      <c r="A6397" s="103"/>
    </row>
    <row r="6398" spans="1:1" ht="13.15" customHeight="1" x14ac:dyDescent="0.2">
      <c r="A6398" s="103"/>
    </row>
    <row r="6399" spans="1:1" ht="13.15" customHeight="1" x14ac:dyDescent="0.2">
      <c r="A6399" s="103"/>
    </row>
    <row r="6400" spans="1:1" ht="13.15" customHeight="1" x14ac:dyDescent="0.2">
      <c r="A6400" s="103"/>
    </row>
    <row r="6401" spans="1:1" ht="13.15" customHeight="1" x14ac:dyDescent="0.2">
      <c r="A6401" s="103"/>
    </row>
    <row r="6402" spans="1:1" ht="13.15" customHeight="1" x14ac:dyDescent="0.2">
      <c r="A6402" s="103"/>
    </row>
    <row r="6403" spans="1:1" ht="13.15" customHeight="1" x14ac:dyDescent="0.2">
      <c r="A6403" s="23"/>
    </row>
    <row r="6404" spans="1:1" ht="13.15" customHeight="1" x14ac:dyDescent="0.2">
      <c r="A6404" s="35"/>
    </row>
    <row r="6405" spans="1:1" ht="13.15" customHeight="1" x14ac:dyDescent="0.2">
      <c r="A6405" s="431"/>
    </row>
    <row r="6406" spans="1:1" ht="13.15" customHeight="1" x14ac:dyDescent="0.2">
      <c r="A6406" s="432"/>
    </row>
    <row r="6407" spans="1:1" ht="13.15" customHeight="1" x14ac:dyDescent="0.2">
      <c r="A6407" s="140"/>
    </row>
    <row r="6408" spans="1:1" ht="13.15" customHeight="1" x14ac:dyDescent="0.2">
      <c r="A6408" s="51"/>
    </row>
    <row r="6409" spans="1:1" ht="13.15" customHeight="1" x14ac:dyDescent="0.2">
      <c r="A6409" s="51"/>
    </row>
    <row r="6410" spans="1:1" ht="13.15" customHeight="1" x14ac:dyDescent="0.2">
      <c r="A6410" s="51"/>
    </row>
    <row r="6411" spans="1:1" ht="13.15" customHeight="1" x14ac:dyDescent="0.2">
      <c r="A6411" s="51"/>
    </row>
    <row r="6412" spans="1:1" ht="13.15" customHeight="1" x14ac:dyDescent="0.2">
      <c r="A6412" s="51"/>
    </row>
    <row r="6413" spans="1:1" ht="13.15" customHeight="1" x14ac:dyDescent="0.2">
      <c r="A6413" s="51"/>
    </row>
    <row r="6414" spans="1:1" ht="13.15" customHeight="1" x14ac:dyDescent="0.2">
      <c r="A6414" s="51"/>
    </row>
    <row r="6415" spans="1:1" ht="13.15" customHeight="1" x14ac:dyDescent="0.2">
      <c r="A6415" s="51"/>
    </row>
    <row r="6416" spans="1:1" ht="13.15" customHeight="1" x14ac:dyDescent="0.2">
      <c r="A6416" s="51"/>
    </row>
    <row r="6417" spans="1:1" ht="13.15" customHeight="1" x14ac:dyDescent="0.2">
      <c r="A6417" s="51"/>
    </row>
    <row r="6418" spans="1:1" ht="13.15" customHeight="1" x14ac:dyDescent="0.2">
      <c r="A6418" s="51"/>
    </row>
    <row r="6419" spans="1:1" ht="13.15" customHeight="1" x14ac:dyDescent="0.2">
      <c r="A6419" s="51"/>
    </row>
    <row r="6420" spans="1:1" ht="13.15" customHeight="1" x14ac:dyDescent="0.2">
      <c r="A6420" s="51"/>
    </row>
    <row r="6421" spans="1:1" ht="13.15" customHeight="1" x14ac:dyDescent="0.2">
      <c r="A6421" s="51"/>
    </row>
    <row r="6422" spans="1:1" ht="13.15" customHeight="1" x14ac:dyDescent="0.2">
      <c r="A6422" s="51"/>
    </row>
    <row r="6423" spans="1:1" ht="13.15" customHeight="1" x14ac:dyDescent="0.2">
      <c r="A6423" s="51"/>
    </row>
    <row r="6424" spans="1:1" ht="13.15" customHeight="1" x14ac:dyDescent="0.2">
      <c r="A6424" s="51"/>
    </row>
    <row r="6425" spans="1:1" ht="13.15" customHeight="1" x14ac:dyDescent="0.2">
      <c r="A6425" s="51"/>
    </row>
    <row r="6426" spans="1:1" ht="13.15" customHeight="1" x14ac:dyDescent="0.2">
      <c r="A6426" s="51"/>
    </row>
    <row r="6427" spans="1:1" ht="13.15" customHeight="1" x14ac:dyDescent="0.2">
      <c r="A6427" s="51"/>
    </row>
    <row r="6428" spans="1:1" ht="13.15" customHeight="1" x14ac:dyDescent="0.2">
      <c r="A6428" s="51"/>
    </row>
    <row r="6429" spans="1:1" ht="13.15" customHeight="1" x14ac:dyDescent="0.2">
      <c r="A6429" s="51"/>
    </row>
    <row r="6430" spans="1:1" ht="13.15" customHeight="1" x14ac:dyDescent="0.2">
      <c r="A6430" s="51"/>
    </row>
    <row r="6431" spans="1:1" ht="13.15" customHeight="1" x14ac:dyDescent="0.2">
      <c r="A6431" s="51"/>
    </row>
    <row r="6432" spans="1:1" ht="13.15" customHeight="1" x14ac:dyDescent="0.2">
      <c r="A6432" s="51"/>
    </row>
    <row r="6433" spans="1:1" ht="13.15" customHeight="1" x14ac:dyDescent="0.2">
      <c r="A6433" s="51"/>
    </row>
    <row r="6434" spans="1:1" ht="13.15" customHeight="1" x14ac:dyDescent="0.2">
      <c r="A6434" s="51"/>
    </row>
    <row r="6435" spans="1:1" ht="13.15" customHeight="1" x14ac:dyDescent="0.2">
      <c r="A6435" s="51"/>
    </row>
    <row r="6436" spans="1:1" ht="13.15" customHeight="1" x14ac:dyDescent="0.2">
      <c r="A6436" s="51"/>
    </row>
    <row r="6437" spans="1:1" ht="13.15" customHeight="1" x14ac:dyDescent="0.2">
      <c r="A6437" s="51"/>
    </row>
    <row r="6438" spans="1:1" ht="13.15" customHeight="1" x14ac:dyDescent="0.2">
      <c r="A6438" s="51"/>
    </row>
    <row r="6439" spans="1:1" ht="13.15" customHeight="1" x14ac:dyDescent="0.2">
      <c r="A6439" s="51"/>
    </row>
    <row r="6440" spans="1:1" ht="13.15" customHeight="1" x14ac:dyDescent="0.2">
      <c r="A6440" s="51"/>
    </row>
    <row r="6441" spans="1:1" ht="13.15" customHeight="1" x14ac:dyDescent="0.2">
      <c r="A6441" s="51"/>
    </row>
    <row r="6442" spans="1:1" ht="13.15" customHeight="1" x14ac:dyDescent="0.2">
      <c r="A6442" s="51"/>
    </row>
    <row r="6443" spans="1:1" ht="13.15" customHeight="1" x14ac:dyDescent="0.2">
      <c r="A6443" s="51"/>
    </row>
    <row r="6444" spans="1:1" ht="13.15" customHeight="1" x14ac:dyDescent="0.2">
      <c r="A6444" s="51"/>
    </row>
    <row r="6445" spans="1:1" ht="13.15" customHeight="1" x14ac:dyDescent="0.2">
      <c r="A6445" s="51"/>
    </row>
    <row r="6446" spans="1:1" ht="13.15" customHeight="1" x14ac:dyDescent="0.2">
      <c r="A6446" s="51"/>
    </row>
    <row r="6447" spans="1:1" ht="13.15" customHeight="1" x14ac:dyDescent="0.2">
      <c r="A6447" s="51"/>
    </row>
    <row r="6448" spans="1:1" ht="13.15" customHeight="1" x14ac:dyDescent="0.2">
      <c r="A6448" s="51"/>
    </row>
    <row r="6449" spans="1:1" ht="13.15" customHeight="1" x14ac:dyDescent="0.2">
      <c r="A6449" s="51"/>
    </row>
    <row r="6450" spans="1:1" ht="13.15" customHeight="1" x14ac:dyDescent="0.2">
      <c r="A6450" s="51"/>
    </row>
    <row r="6451" spans="1:1" ht="13.15" customHeight="1" x14ac:dyDescent="0.2">
      <c r="A6451" s="51"/>
    </row>
    <row r="6452" spans="1:1" ht="13.15" customHeight="1" x14ac:dyDescent="0.2">
      <c r="A6452" s="51"/>
    </row>
    <row r="6453" spans="1:1" ht="13.15" customHeight="1" x14ac:dyDescent="0.2">
      <c r="A6453" s="51"/>
    </row>
    <row r="6454" spans="1:1" ht="13.15" customHeight="1" x14ac:dyDescent="0.2">
      <c r="A6454" s="51"/>
    </row>
    <row r="6455" spans="1:1" ht="13.15" customHeight="1" x14ac:dyDescent="0.2">
      <c r="A6455" s="51"/>
    </row>
    <row r="6456" spans="1:1" ht="13.15" customHeight="1" x14ac:dyDescent="0.2">
      <c r="A6456" s="51"/>
    </row>
    <row r="6457" spans="1:1" ht="13.15" customHeight="1" x14ac:dyDescent="0.2">
      <c r="A6457" s="51"/>
    </row>
    <row r="6458" spans="1:1" ht="13.15" customHeight="1" x14ac:dyDescent="0.2">
      <c r="A6458" s="51"/>
    </row>
    <row r="6459" spans="1:1" ht="13.15" customHeight="1" x14ac:dyDescent="0.2">
      <c r="A6459" s="51"/>
    </row>
    <row r="6460" spans="1:1" ht="13.15" customHeight="1" x14ac:dyDescent="0.2">
      <c r="A6460" s="51"/>
    </row>
    <row r="6461" spans="1:1" ht="13.15" customHeight="1" x14ac:dyDescent="0.2">
      <c r="A6461" s="51"/>
    </row>
    <row r="6462" spans="1:1" ht="13.15" customHeight="1" x14ac:dyDescent="0.2">
      <c r="A6462" s="51"/>
    </row>
    <row r="6463" spans="1:1" ht="13.15" customHeight="1" x14ac:dyDescent="0.2">
      <c r="A6463" s="51"/>
    </row>
    <row r="6464" spans="1:1" ht="13.15" customHeight="1" x14ac:dyDescent="0.2">
      <c r="A6464" s="51"/>
    </row>
    <row r="6465" spans="1:1" ht="13.15" customHeight="1" x14ac:dyDescent="0.2">
      <c r="A6465" s="51"/>
    </row>
    <row r="6466" spans="1:1" ht="13.15" customHeight="1" x14ac:dyDescent="0.2">
      <c r="A6466" s="104"/>
    </row>
  </sheetData>
  <autoFilter ref="A5:NG389">
    <filterColumn colId="3">
      <filters>
        <filter val="Гагарина, 10"/>
        <filter val="Гагарина, 14"/>
        <filter val="Гагарина, 18"/>
        <filter val="Гагарина, 18/1"/>
        <filter val="Гагарина, 20"/>
        <filter val="Гагарина, 24"/>
        <filter val="Гагарина, 28"/>
        <filter val="Гагарина, 42"/>
        <filter val="Гагарина, 44"/>
        <filter val="Горького, 1 площадь"/>
        <filter val="Горького, 11"/>
        <filter val="Горького, 12"/>
        <filter val="Горького, 17"/>
        <filter val="Горького, 18"/>
        <filter val="Горького, 19"/>
        <filter val="Горького, 21"/>
        <filter val="Горького, 23"/>
        <filter val="Горького, 24"/>
        <filter val="Горького, 25"/>
        <filter val="Горького, 26"/>
        <filter val="Горького, 27"/>
        <filter val="Горького, 28"/>
        <filter val="Горького, 3"/>
        <filter val="Горького, 4"/>
        <filter val="Горького, 9"/>
        <filter val="Горького, 9 площадь"/>
        <filter val="Калинина, 1"/>
        <filter val="Калинина, 10"/>
        <filter val="Калинина, 11"/>
        <filter val="Калинина, 12"/>
        <filter val="Калинина, 14"/>
        <filter val="Калинина, 17"/>
        <filter val="Калинина, 17/1"/>
        <filter val="Калинина, 20"/>
        <filter val="Калинина, 21"/>
        <filter val="Калинина, 22"/>
        <filter val="Калинина, 23"/>
        <filter val="Калинина, 25"/>
        <filter val="Калинина, 3"/>
        <filter val="Калинина, 3/1"/>
        <filter val="Калинина, 3/2"/>
        <filter val="Калинина, 4"/>
        <filter val="Калинина, 4/1"/>
        <filter val="Калинина, 9"/>
        <filter val="Карла Маркса, 43"/>
        <filter val="Карла Маркса, 44"/>
        <filter val="Карла Маркса, 45/4"/>
        <filter val="Карла Маркса, 46"/>
        <filter val="Карла Маркса, 48"/>
        <filter val="Карла Маркса, 49"/>
        <filter val="Карла Маркса, 51"/>
        <filter val="Карла Маркса, 54"/>
        <filter val="Карла Маркса, 55/1"/>
        <filter val="Карла Маркса, 56"/>
        <filter val="Карла Маркса, 57/1"/>
        <filter val="Карла Маркса, 58"/>
        <filter val="Карла Маркса, 59"/>
        <filter val="Карла Маркса, 60"/>
        <filter val="Карла Маркса, 61"/>
        <filter val="Карла Маркса, 61/1"/>
        <filter val="Карла Маркса, 62"/>
        <filter val="Карла Маркса, 63"/>
        <filter val="Карла Маркса, 63/1"/>
        <filter val="Карла Маркса, 64/1"/>
        <filter val="Карла Маркса, 65"/>
        <filter val="Карла Маркса, 67"/>
        <filter val="Карла Маркса, 67/1"/>
        <filter val="Карла Маркса, 67/2"/>
        <filter val="Карла Маркса, 70"/>
        <filter val="Карла Маркса, 71"/>
        <filter val="Карла Маркса, 71/1"/>
        <filter val="Карла Маркса, 71/2"/>
        <filter val="Карла Маркса, 72"/>
        <filter val="Карла Маркса, 73"/>
        <filter val="Карла Маркса, 73/1"/>
        <filter val="Карла Маркса, 75"/>
        <filter val="Карла Маркса, 76"/>
        <filter val="Карла Маркса, 78"/>
        <filter val="Карла Маркса, 78/1"/>
        <filter val="Карла Маркса, 80"/>
        <filter val="Карла Маркса, 82"/>
        <filter val="Карла Маркса, 82/1"/>
        <filter val="Карла Маркса, 82/2"/>
        <filter val="Комсомольская, 1"/>
        <filter val="Комсомольская, 11"/>
        <filter val="Комсомольская, 13"/>
        <filter val="Комсомольская, 15"/>
        <filter val="Комсомольская, 17"/>
        <filter val="Комсомольская, 19"/>
        <filter val="Комсомольская, 21"/>
        <filter val="Комсомольская, 23"/>
        <filter val="Комсомольская, 25"/>
        <filter val="Комсомольская, 29"/>
        <filter val="Комсомольская, 3"/>
        <filter val="Комсомольская, 3/1"/>
        <filter val="Комсомольская, 37"/>
        <filter val="Комсомольская, 5"/>
        <filter val="Комсомольская, 7"/>
        <filter val="Комсомольская, 9"/>
        <filter val="Куйбышева, 10"/>
        <filter val="Куйбышева, 11"/>
        <filter val="Куйбышева, 11/1"/>
        <filter val="Куйбышева, 12"/>
        <filter val="Куйбышева, 17"/>
        <filter val="Куйбышева, 18"/>
        <filter val="Куйбышева, 20"/>
        <filter val="Куйбышева, 21"/>
        <filter val="Куйбышева, 22"/>
        <filter val="Куйбышева, 23"/>
        <filter val="Куйбышева, 24"/>
        <filter val="Куйбышева, 25"/>
        <filter val="Куйбышева, 26"/>
        <filter val="Куйбышева, 28"/>
        <filter val="Куйбышева, 4"/>
        <filter val="Ленина, 30"/>
        <filter val="Ленина, 31"/>
        <filter val="Ленина, 33"/>
        <filter val="Ленина, 34"/>
        <filter val="Ленина, 35"/>
        <filter val="Ленина, 37"/>
        <filter val="Ленина, 39"/>
        <filter val="Ленина, 43"/>
        <filter val="Ленина, 43/1"/>
        <filter val="Ленина, 45"/>
        <filter val="Ленина, 45/1"/>
        <filter val="Ленина, 46"/>
        <filter val="Ленина, 47"/>
        <filter val="Ленина, 47/1"/>
        <filter val="Ленина, 48"/>
        <filter val="Ленина, 49"/>
        <filter val="Ленина, 50"/>
        <filter val="Ленина, 50/1"/>
        <filter val="Ленина, 51"/>
        <filter val="Ленина, 51/1"/>
        <filter val="Ленина, 52"/>
        <filter val="Ленина, 52/1"/>
        <filter val="Ленина, 52/3"/>
        <filter val="Ленина, 53"/>
        <filter val="Ленина, 53/1"/>
        <filter val="Ленина, 54"/>
        <filter val="Ленина, 54/1"/>
        <filter val="Ленина, 55"/>
        <filter val="Ленина, 55/1"/>
        <filter val="Ленина, 56"/>
        <filter val="Ленина, 57"/>
        <filter val="Ленина, 57/1"/>
        <filter val="Ленина, 58"/>
        <filter val="Ленина, 58/1"/>
        <filter val="Ленина, 60"/>
        <filter val="Ленина, 60/1"/>
        <filter val="Ленина, 61"/>
        <filter val="Ленина, 61/1"/>
        <filter val="Ленина, 62"/>
        <filter val="Ленина, 63"/>
        <filter val="Ленина, 63/1"/>
        <filter val="Ленина, 64"/>
        <filter val="Ленина, 65/1"/>
        <filter val="Ленина, 67"/>
        <filter val="Ленина, 69"/>
        <filter val="Ленина, 69/1"/>
        <filter val="Ленинградская, 10"/>
        <filter val="Ленинградская, 11"/>
        <filter val="Ленинградская, 12"/>
        <filter val="Ленинградская, 13"/>
        <filter val="Ленинградская, 13/1"/>
        <filter val="Ленинградская, 15"/>
        <filter val="Ленинградская, 15/1"/>
        <filter val="Ленинградская, 16"/>
        <filter val="Ленинградская, 16/1"/>
        <filter val="Ленинградская, 17/1"/>
        <filter val="Ленинградская, 18"/>
        <filter val="Ленинградская, 19"/>
        <filter val="Ленинградская, 19/1"/>
        <filter val="Ленинградская, 2"/>
        <filter val="Ленинградская, 21"/>
        <filter val="Ленинградская, 22"/>
        <filter val="Ленинградская, 22/1"/>
        <filter val="Ленинградская, 23"/>
        <filter val="Ленинградская, 25/1"/>
        <filter val="Ленинградская, 26"/>
        <filter val="Ленинградская, 26/1"/>
        <filter val="Ленинградская, 27"/>
        <filter val="Ленинградская, 3/1"/>
        <filter val="Ленинградская, 31"/>
        <filter val="Ленинградская, 31/1"/>
        <filter val="Ленинградская, 32"/>
        <filter val="Ленинградская, 33"/>
        <filter val="Ленинградская, 33/1"/>
        <filter val="Ленинградская, 34"/>
        <filter val="Ленинградская, 35"/>
        <filter val="Ленинградская, 37"/>
        <filter val="Ленинградская, 37а"/>
        <filter val="Ленинградская, 39"/>
        <filter val="Ленинградская, 4"/>
        <filter val="Ленинградская, 4/1"/>
        <filter val="Ленинградская, 5"/>
        <filter val="Ленинградская, 5/1"/>
        <filter val="Ленинградская, 5/2"/>
        <filter val="Лобачевского, 23"/>
        <filter val="Ломоносова, 10"/>
        <filter val="Ломоносова, 11"/>
        <filter val="Ломоносова, 12"/>
        <filter val="Ломоносова, 13"/>
        <filter val="Ломоносова, 13/1"/>
        <filter val="Ломоносова, 14"/>
        <filter val="Ломоносова, 15"/>
        <filter val="Ломоносова, 16"/>
        <filter val="Ломоносова, 17"/>
        <filter val="Ломоносова, 18"/>
        <filter val="Ломоносова, 19"/>
        <filter val="Ломоносова, 19/1"/>
        <filter val="Ломоносова, 2"/>
        <filter val="Ломоносова, 22"/>
        <filter val="Ломоносова, 22/2"/>
        <filter val="Ломоносова, 23"/>
        <filter val="Ломоносова, 23/1"/>
        <filter val="Ломоносова, 26"/>
        <filter val="Ломоносова, 26/1"/>
        <filter val="Ломоносова, 26/2"/>
        <filter val="Ломоносова, 28"/>
        <filter val="Ломоносова, 3"/>
        <filter val="Ломоносова, 3/1"/>
        <filter val="Ломоносова, 3/2"/>
        <filter val="Ломоносова, 34"/>
        <filter val="Ломоносова, 4"/>
        <filter val="Ломоносова, 5"/>
        <filter val="Ломоносова, 6"/>
        <filter val="Ломоносова, 7"/>
        <filter val="Ломоносова, 8"/>
        <filter val="Ломоносова, 9"/>
        <filter val="Ломоносова, 9/1"/>
        <filter val="Менделеева, 16"/>
        <filter val="Менделеева, 18"/>
        <filter val="Менделеева, 18/1"/>
        <filter val="Менделеева, 20/1"/>
        <filter val="Менделеева, 22"/>
        <filter val="Менделеева, 24"/>
        <filter val="Металлургов, 1"/>
        <filter val="Металлургов, 10"/>
        <filter val="Металлургов, 10/1"/>
        <filter val="Металлургов, 11"/>
        <filter val="Металлургов, 12"/>
        <filter val="Металлургов, 12/1"/>
        <filter val="Металлургов, 12/2"/>
        <filter val="Металлургов, 12/3"/>
        <filter val="Металлургов, 12/4"/>
        <filter val="Металлургов, 13"/>
        <filter val="Металлургов, 13/1"/>
        <filter val="Металлургов, 14"/>
        <filter val="Металлургов, 15"/>
        <filter val="Металлургов, 15/1"/>
        <filter val="Металлургов, 16"/>
        <filter val="Металлургов, 16/1"/>
        <filter val="Металлургов, 17"/>
        <filter val="Металлургов, 17/1"/>
        <filter val="Металлургов, 18"/>
        <filter val="Металлургов, 18/1"/>
        <filter val="Металлургов, 18/2"/>
        <filter val="Металлургов, 19"/>
        <filter val="Металлургов, 1а"/>
        <filter val="Металлургов, 2"/>
        <filter val="Металлургов, 20"/>
        <filter val="Металлургов, 2а"/>
        <filter val="Металлургов, 2б"/>
        <filter val="Металлургов, 3"/>
        <filter val="Металлургов, 3/1"/>
        <filter val="Металлургов, 3/2"/>
        <filter val="Металлургов, 4"/>
        <filter val="Металлургов, 4а"/>
        <filter val="Металлургов, 5"/>
        <filter val="Металлургов, 5/1"/>
        <filter val="Металлургов, 6"/>
        <filter val="Металлургов, 6/1"/>
        <filter val="Металлургов, 7"/>
        <filter val="Металлургов, 8"/>
        <filter val="Металлургов, 9"/>
        <filter val="Металлургов, 9/1"/>
        <filter val="Мичурина, 124"/>
        <filter val="Набережная, 10"/>
        <filter val="Набережная, 12"/>
        <filter val="Набережная, 14"/>
        <filter val="Набережная, 16"/>
        <filter val="Набережная, 2"/>
        <filter val="Набережная, 20"/>
        <filter val="Набережная, 22"/>
        <filter val="Набережная, 22/1"/>
        <filter val="Набережная, 24"/>
        <filter val="Набережная, 4"/>
        <filter val="Набережная, 6"/>
        <filter val="Набережная, 8"/>
        <filter val="Октябрьская, 10"/>
        <filter val="Октябрьская, 11"/>
        <filter val="Октябрьская, 12"/>
        <filter val="Октябрьская, 13"/>
        <filter val="Октябрьская, 14"/>
        <filter val="Октябрьская, 15"/>
        <filter val="Октябрьская, 16"/>
        <filter val="Октябрьская, 17"/>
        <filter val="Октябрьская, 19"/>
        <filter val="Октябрьская, 19/1"/>
        <filter val="Октябрьская, 2"/>
        <filter val="Октябрьская, 2/1"/>
        <filter val="Октябрьская, 20"/>
        <filter val="Октябрьская, 21"/>
        <filter val="Октябрьская, 21/1"/>
        <filter val="Октябрьская, 22"/>
        <filter val="Октябрьская, 22/1"/>
        <filter val="Октябрьская, 23"/>
        <filter val="Октябрьская, 23/1"/>
        <filter val="Октябрьская, 24"/>
        <filter val="Октябрьская, 26"/>
        <filter val="Октябрьская, 28"/>
        <filter val="Октябрьская, 28/1"/>
        <filter val="Октябрьская, 3"/>
        <filter val="Октябрьская, 30"/>
        <filter val="Октябрьская, 32/1"/>
        <filter val="Октябрьская, 34"/>
        <filter val="Октябрьская, 36"/>
        <filter val="Октябрьская, 38"/>
        <filter val="Октябрьская, 4"/>
        <filter val="Октябрьская, 5"/>
        <filter val="Октябрьская, 5/1"/>
        <filter val="Октябрьская, 6"/>
        <filter val="Октябрьская, 6/1"/>
        <filter val="Октябрьская, 8"/>
        <filter val="Октябрьская, 9"/>
        <filter val="Помяловского, 13"/>
        <filter val="Помяловского, 15"/>
        <filter val="Помяловского, 15/1"/>
        <filter val="Помяловского, 17"/>
        <filter val="Помяловского, 17/1"/>
        <filter val="Помяловского, 7"/>
        <filter val="Помяловского, 9"/>
        <filter val="Строителей, 26"/>
        <filter val="Строителей, 43"/>
        <filter val="Строителей, 43/1"/>
        <filter val="Строителей, 45"/>
        <filter val="Строителей, 47"/>
        <filter val="Строителей, 48"/>
        <filter val="Строителей, 49"/>
        <filter val="Строителей, 50"/>
        <filter val="Строителей, 52"/>
        <filter val="Строителей, 54"/>
        <filter val="Строителей, 54/1"/>
        <filter val="Строителей, 54/2"/>
        <filter val="Строителей, 55"/>
        <filter val="Строителей, 57"/>
        <filter val="Строителей, 58"/>
        <filter val="Строителей, 58/1"/>
        <filter val="Строителей, 58/2"/>
        <filter val="Строителей, 59"/>
        <filter val="Суворова, 85"/>
        <filter val="Уральская, 39"/>
        <filter val="Урицкого, 16"/>
        <filter val="Урицкого, 18"/>
        <filter val="Урицкого, 19"/>
        <filter val="Урицкого, 20"/>
        <filter val="Урицкого, 21"/>
        <filter val="Урицкого, 22"/>
        <filter val="Урицкого, 7"/>
        <filter val="Урицкого, 9"/>
        <filter val="Чапаева, 10"/>
        <filter val="Чапаева, 11"/>
        <filter val="Чапаева, 12"/>
        <filter val="Чапаева, 13"/>
        <filter val="Чапаева, 15"/>
        <filter val="Чапаева, 18"/>
        <filter val="Чапаева, 19"/>
        <filter val="Чапаева, 19/1"/>
        <filter val="Чапаева, 20"/>
        <filter val="Чапаева, 21"/>
        <filter val="Чапаева, 22"/>
        <filter val="Чапаева, 23"/>
        <filter val="Чапаева, 3"/>
        <filter val="Чапаева, 30"/>
        <filter val="Чапаева, 4"/>
        <filter val="Чапаева, 5"/>
        <filter val="Чапаева, 5/1"/>
        <filter val="Чапаева, 7"/>
        <filter val="Чапаева, 7/1"/>
        <filter val="Чапаева, 7/2"/>
        <filter val="Чапаева, 8"/>
        <filter val="Чапаева, 9"/>
      </filters>
    </filterColumn>
    <filterColumn colId="4">
      <filters>
        <filter val="12"/>
      </filters>
    </filterColumn>
  </autoFilter>
  <mergeCells count="49">
    <mergeCell ref="F3:F4"/>
    <mergeCell ref="G3:G4"/>
    <mergeCell ref="I3:I4"/>
    <mergeCell ref="J3:J4"/>
    <mergeCell ref="M3:M4"/>
    <mergeCell ref="H3:H4"/>
    <mergeCell ref="K3:K4"/>
    <mergeCell ref="L3:L4"/>
    <mergeCell ref="A6405:A6406"/>
    <mergeCell ref="E3:E4"/>
    <mergeCell ref="A3:A4"/>
    <mergeCell ref="B3:B4"/>
    <mergeCell ref="C3:C4"/>
    <mergeCell ref="D3:D4"/>
    <mergeCell ref="AG3:AG4"/>
    <mergeCell ref="AH3:AH4"/>
    <mergeCell ref="AI3:AL3"/>
    <mergeCell ref="N3:N4"/>
    <mergeCell ref="P3:P4"/>
    <mergeCell ref="O3:O4"/>
    <mergeCell ref="Q3:Q4"/>
    <mergeCell ref="X3:X4"/>
    <mergeCell ref="Y3:Y4"/>
    <mergeCell ref="Z3:Z4"/>
    <mergeCell ref="AB3:AD3"/>
    <mergeCell ref="AE3:AF3"/>
    <mergeCell ref="AA3:AA4"/>
    <mergeCell ref="R3:W3"/>
    <mergeCell ref="BQ3:BQ4"/>
    <mergeCell ref="BO3:BP3"/>
    <mergeCell ref="AM3:AP3"/>
    <mergeCell ref="AQ3:AT3"/>
    <mergeCell ref="AU3:AX3"/>
    <mergeCell ref="AZ3:AZ4"/>
    <mergeCell ref="BF3:BG3"/>
    <mergeCell ref="BH3:BJ3"/>
    <mergeCell ref="AY3:AY4"/>
    <mergeCell ref="BN3:BN4"/>
    <mergeCell ref="BK3:BM3"/>
    <mergeCell ref="BE3:BE4"/>
    <mergeCell ref="BA3:BD3"/>
    <mergeCell ref="BR3:BR4"/>
    <mergeCell ref="BX3:BX4"/>
    <mergeCell ref="BS2:BW2"/>
    <mergeCell ref="BS3:BT3"/>
    <mergeCell ref="BU3:BV3"/>
    <mergeCell ref="BW3:BW4"/>
    <mergeCell ref="BX2:BY2"/>
    <mergeCell ref="BY3:BY4"/>
  </mergeCells>
  <printOptions horizontalCentered="1"/>
  <pageMargins left="0.19685039370078741" right="0.19685039370078741" top="0" bottom="0" header="0" footer="0"/>
  <pageSetup paperSize="8" scale="39" fitToHeight="4" orientation="landscape" r:id="rId1"/>
  <ignoredErrors>
    <ignoredError sqref="Y20 Y34 Y38 Y112 Y183 Y217 Y285 Y346 AG315 AG358 AG347:AG356 AG328 AG20:AG30 AG329:AG340 AG316:AG327 BC20 BC34 BC38 BC46:BC47 BC112 BC183 BC189 BC217 BC222 BC285 BC292 BC305 BC308:BC309 BC315 BC328 BC330:BC331 BB357 AG70:AG161 AG69 AG300:AG314 AG270:AG276 AG32:AG59 AG31 AG61:AG68 AG60 AG163:AG170 AG162 AG172:AG237 AG171 AG241:AG265 AG238 AG239 AG240 AG267 AG269 AG360:AH376 AG359 AH267 AH241:AH265 AH172:AH237 AH163:AH170 AH61:AH68 AH32:AH37 AH270:AH298 AH300:AH314 AH70:AH161 AH316:AH327 AH329:AH340 AH20:AH30 AH328 AH358 AH346:AH356 AH315 AH15:AH19 AH357 AH359 AH31 AH162 AH299 AH60 AH69 AH171 AH238:AH240 AH266 AH268:AH269 Y78 Y81 Y88 Y328 Y315 Y313:Y314 Y316:Y317 Y337 Y357 Y381 Y305 Y292 Y165 Y222 Y188 AG378:AH381 AH377 AH39:AH46 AH48:AH59 AG341:AG345 AH341:AH345 AG278:AG29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C2133"/>
  <sheetViews>
    <sheetView zoomScaleNormal="100" workbookViewId="0">
      <pane xSplit="8" ySplit="6" topLeftCell="I868" activePane="bottomRight" state="frozen"/>
      <selection pane="topRight" activeCell="I1" sqref="I1"/>
      <selection pane="bottomLeft" activeCell="A7" sqref="A7"/>
      <selection pane="bottomRight" activeCell="M973" sqref="M973"/>
    </sheetView>
  </sheetViews>
  <sheetFormatPr defaultColWidth="9.140625" defaultRowHeight="12.75" outlineLevelRow="2" outlineLevelCol="2" x14ac:dyDescent="0.25"/>
  <cols>
    <col min="1" max="1" width="4.140625" style="11" customWidth="1"/>
    <col min="2" max="2" width="9" style="21" customWidth="1"/>
    <col min="3" max="3" width="18.42578125" style="11" customWidth="1"/>
    <col min="4" max="4" width="56.42578125" style="11" customWidth="1" outlineLevel="2"/>
    <col min="5" max="5" width="21.42578125" style="11" customWidth="1" outlineLevel="2"/>
    <col min="6" max="6" width="5.140625" style="11" hidden="1" customWidth="1" outlineLevel="2" collapsed="1"/>
    <col min="7" max="7" width="10.42578125" style="16" customWidth="1" outlineLevel="1" collapsed="1"/>
    <col min="8" max="8" width="10.42578125" style="21" customWidth="1"/>
    <col min="9" max="9" width="10.7109375" style="15" customWidth="1"/>
    <col min="10" max="11" width="10.42578125" style="15" customWidth="1"/>
    <col min="12" max="20" width="11.28515625" style="15" customWidth="1"/>
    <col min="21" max="21" width="11.28515625" style="159" customWidth="1" collapsed="1"/>
    <col min="22" max="22" width="11.28515625" style="11" customWidth="1"/>
    <col min="23" max="16384" width="9.140625" style="11"/>
  </cols>
  <sheetData>
    <row r="1" spans="1:22" x14ac:dyDescent="0.25">
      <c r="A1" s="17"/>
      <c r="C1" s="17"/>
      <c r="D1" s="19"/>
      <c r="E1" s="19"/>
      <c r="F1" s="19"/>
      <c r="G1" s="21"/>
      <c r="U1" s="19"/>
    </row>
    <row r="2" spans="1:22" x14ac:dyDescent="0.25">
      <c r="A2" s="149"/>
      <c r="C2" s="149"/>
      <c r="D2" s="149"/>
      <c r="E2" s="149"/>
      <c r="F2" s="149"/>
      <c r="G2" s="143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49"/>
    </row>
    <row r="3" spans="1:22" s="151" customFormat="1" ht="28.9" customHeight="1" x14ac:dyDescent="0.25">
      <c r="A3" s="440" t="s">
        <v>349</v>
      </c>
      <c r="B3" s="447" t="s">
        <v>1336</v>
      </c>
      <c r="C3" s="447" t="s">
        <v>721</v>
      </c>
      <c r="D3" s="448" t="s">
        <v>1409</v>
      </c>
      <c r="E3" s="448" t="s">
        <v>1410</v>
      </c>
      <c r="F3" s="454" t="s">
        <v>722</v>
      </c>
      <c r="G3" s="447" t="s">
        <v>1338</v>
      </c>
      <c r="H3" s="447" t="s">
        <v>1339</v>
      </c>
      <c r="I3" s="446" t="s">
        <v>1026</v>
      </c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9" t="s">
        <v>915</v>
      </c>
      <c r="V3" s="449" t="s">
        <v>1631</v>
      </c>
    </row>
    <row r="4" spans="1:22" s="13" customFormat="1" ht="14.45" customHeight="1" x14ac:dyDescent="0.25">
      <c r="A4" s="441"/>
      <c r="B4" s="447"/>
      <c r="C4" s="447"/>
      <c r="D4" s="448"/>
      <c r="E4" s="448"/>
      <c r="F4" s="454"/>
      <c r="G4" s="447"/>
      <c r="H4" s="447"/>
      <c r="I4" s="445" t="s">
        <v>885</v>
      </c>
      <c r="J4" s="445"/>
      <c r="K4" s="445" t="s">
        <v>1682</v>
      </c>
      <c r="L4" s="445"/>
      <c r="M4" s="445" t="s">
        <v>128</v>
      </c>
      <c r="N4" s="445"/>
      <c r="O4" s="445" t="s">
        <v>95</v>
      </c>
      <c r="P4" s="445"/>
      <c r="Q4" s="445" t="s">
        <v>317</v>
      </c>
      <c r="R4" s="445"/>
      <c r="S4" s="445" t="s">
        <v>1456</v>
      </c>
      <c r="T4" s="445"/>
      <c r="U4" s="450"/>
      <c r="V4" s="450"/>
    </row>
    <row r="5" spans="1:22" s="13" customFormat="1" ht="14.45" customHeight="1" x14ac:dyDescent="0.25">
      <c r="A5" s="441"/>
      <c r="B5" s="447"/>
      <c r="C5" s="447"/>
      <c r="D5" s="448"/>
      <c r="E5" s="448"/>
      <c r="F5" s="454"/>
      <c r="G5" s="447"/>
      <c r="H5" s="447"/>
      <c r="I5" s="160" t="s">
        <v>1032</v>
      </c>
      <c r="J5" s="160" t="s">
        <v>1031</v>
      </c>
      <c r="K5" s="160" t="s">
        <v>1032</v>
      </c>
      <c r="L5" s="160" t="s">
        <v>1031</v>
      </c>
      <c r="M5" s="160" t="s">
        <v>1032</v>
      </c>
      <c r="N5" s="160" t="s">
        <v>1031</v>
      </c>
      <c r="O5" s="160" t="s">
        <v>1032</v>
      </c>
      <c r="P5" s="160" t="s">
        <v>1031</v>
      </c>
      <c r="Q5" s="160" t="s">
        <v>1032</v>
      </c>
      <c r="R5" s="160" t="s">
        <v>1031</v>
      </c>
      <c r="S5" s="160" t="s">
        <v>1032</v>
      </c>
      <c r="T5" s="160" t="s">
        <v>1031</v>
      </c>
      <c r="U5" s="450"/>
      <c r="V5" s="450"/>
    </row>
    <row r="6" spans="1:22" s="13" customFormat="1" ht="14.45" customHeight="1" x14ac:dyDescent="0.25">
      <c r="A6" s="441"/>
      <c r="B6" s="152" t="s">
        <v>1085</v>
      </c>
      <c r="C6" s="152" t="s">
        <v>1092</v>
      </c>
      <c r="D6" s="152" t="s">
        <v>1094</v>
      </c>
      <c r="E6" s="152" t="s">
        <v>1055</v>
      </c>
      <c r="F6" s="152" t="s">
        <v>1119</v>
      </c>
      <c r="G6" s="152" t="s">
        <v>1120</v>
      </c>
      <c r="H6" s="152" t="s">
        <v>1121</v>
      </c>
      <c r="I6" s="152" t="s">
        <v>1122</v>
      </c>
      <c r="J6" s="152" t="s">
        <v>1088</v>
      </c>
      <c r="K6" s="152" t="s">
        <v>1089</v>
      </c>
      <c r="L6" s="152" t="s">
        <v>1090</v>
      </c>
      <c r="M6" s="152" t="s">
        <v>1084</v>
      </c>
      <c r="N6" s="152" t="s">
        <v>1086</v>
      </c>
      <c r="O6" s="152" t="s">
        <v>1098</v>
      </c>
      <c r="P6" s="152" t="s">
        <v>1330</v>
      </c>
      <c r="Q6" s="152" t="s">
        <v>1082</v>
      </c>
      <c r="R6" s="152" t="s">
        <v>1331</v>
      </c>
      <c r="S6" s="152" t="s">
        <v>1332</v>
      </c>
      <c r="T6" s="152" t="s">
        <v>1333</v>
      </c>
      <c r="U6" s="203" t="s">
        <v>1334</v>
      </c>
      <c r="V6" s="203" t="s">
        <v>1335</v>
      </c>
    </row>
    <row r="7" spans="1:22" outlineLevel="1" x14ac:dyDescent="0.25">
      <c r="A7" s="187">
        <f>SUMIFS(МКД!$A$6:$A$389,МКД!$D$6:$D$389,Таблица1[[#This Row],[2]])</f>
        <v>1</v>
      </c>
      <c r="B7" s="188">
        <f>SUMIFS(Таблица1[6],Таблица1[2],Таблица1[[#This Row],[2]])+SUMIFS(Таблица1[7],Таблица1[2],Таблица1[[#This Row],[2]])</f>
        <v>1090.6999999999998</v>
      </c>
      <c r="C7" s="179" t="s">
        <v>661</v>
      </c>
      <c r="D7" s="189"/>
      <c r="E7" s="189"/>
      <c r="F7" s="190"/>
      <c r="G7" s="191"/>
      <c r="H7" s="191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/>
      <c r="V7" s="192"/>
    </row>
    <row r="8" spans="1:22" hidden="1" outlineLevel="2" x14ac:dyDescent="0.2">
      <c r="A8" s="186">
        <f>SUMIFS(МКД!$A$6:$A$389,МКД!$D$6:$D$389,Таблица1[[#This Row],[2]])</f>
        <v>1</v>
      </c>
      <c r="B8" s="167"/>
      <c r="C8" s="182" t="s">
        <v>661</v>
      </c>
      <c r="D8" s="167" t="s">
        <v>2504</v>
      </c>
      <c r="E8" s="183" t="s">
        <v>1002</v>
      </c>
      <c r="F8" s="167">
        <v>2</v>
      </c>
      <c r="G8" s="168">
        <f>SUMIFS(Таблица1[[#This Row],[8]:[19]],$I$5:$T$5,"Выкуп")</f>
        <v>71.8</v>
      </c>
      <c r="H8" s="168">
        <f>SUMIFS(Таблица1[[#This Row],[8]:[19]],$I$5:$T$5,"Аренда")</f>
        <v>0</v>
      </c>
      <c r="I8" s="169">
        <v>71.8</v>
      </c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70"/>
      <c r="V8" s="171"/>
    </row>
    <row r="9" spans="1:22" hidden="1" outlineLevel="2" x14ac:dyDescent="0.25">
      <c r="A9" s="186">
        <f>SUMIFS(МКД!$A$6:$A$389,МКД!$D$6:$D$389,Таблица1[[#This Row],[2]])</f>
        <v>1</v>
      </c>
      <c r="B9" s="168"/>
      <c r="C9" s="182" t="s">
        <v>661</v>
      </c>
      <c r="D9" s="167" t="s">
        <v>723</v>
      </c>
      <c r="E9" s="167" t="s">
        <v>998</v>
      </c>
      <c r="F9" s="167">
        <v>1</v>
      </c>
      <c r="G9" s="168">
        <f>SUMIFS(Таблица1[[#This Row],[8]:[19]],$I$5:$T$5,"Выкуп")</f>
        <v>110.9</v>
      </c>
      <c r="H9" s="168">
        <f>SUMIFS(Таблица1[[#This Row],[8]:[19]],$I$5:$T$5,"Аренда")</f>
        <v>0</v>
      </c>
      <c r="I9" s="169">
        <v>110.9</v>
      </c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70"/>
      <c r="V9" s="171"/>
    </row>
    <row r="10" spans="1:22" hidden="1" outlineLevel="2" x14ac:dyDescent="0.25">
      <c r="A10" s="186">
        <f>SUMIFS(МКД!$A$6:$A$389,МКД!$D$6:$D$389,Таблица1[[#This Row],[2]])</f>
        <v>1</v>
      </c>
      <c r="B10" s="168"/>
      <c r="C10" s="182" t="s">
        <v>661</v>
      </c>
      <c r="D10" s="167" t="s">
        <v>1879</v>
      </c>
      <c r="E10" s="167" t="s">
        <v>999</v>
      </c>
      <c r="F10" s="167">
        <v>2</v>
      </c>
      <c r="G10" s="168">
        <f>SUMIFS(Таблица1[[#This Row],[8]:[19]],$I$5:$T$5,"Выкуп")</f>
        <v>70.7</v>
      </c>
      <c r="H10" s="168">
        <f>SUMIFS(Таблица1[[#This Row],[8]:[19]],$I$5:$T$5,"Аренда")</f>
        <v>0</v>
      </c>
      <c r="I10" s="169">
        <v>70.7</v>
      </c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70"/>
      <c r="V10" s="171"/>
    </row>
    <row r="11" spans="1:22" hidden="1" outlineLevel="2" x14ac:dyDescent="0.2">
      <c r="A11" s="186">
        <f>SUMIFS(МКД!$A$6:$A$389,МКД!$D$6:$D$389,Таблица1[[#This Row],[2]])</f>
        <v>1</v>
      </c>
      <c r="B11" s="168"/>
      <c r="C11" s="182" t="s">
        <v>661</v>
      </c>
      <c r="D11" s="167" t="s">
        <v>724</v>
      </c>
      <c r="E11" s="184" t="s">
        <v>1003</v>
      </c>
      <c r="F11" s="167">
        <v>2</v>
      </c>
      <c r="G11" s="168">
        <f>SUMIFS(Таблица1[[#This Row],[8]:[19]],$I$5:$T$5,"Выкуп")</f>
        <v>55.1</v>
      </c>
      <c r="H11" s="168">
        <f>SUMIFS(Таблица1[[#This Row],[8]:[19]],$I$5:$T$5,"Аренда")</f>
        <v>0</v>
      </c>
      <c r="I11" s="169">
        <v>55.1</v>
      </c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70"/>
      <c r="V11" s="171"/>
    </row>
    <row r="12" spans="1:22" hidden="1" outlineLevel="2" x14ac:dyDescent="0.2">
      <c r="A12" s="186">
        <f>SUMIFS(МКД!$A$6:$A$389,МКД!$D$6:$D$389,Таблица1[[#This Row],[2]])</f>
        <v>1</v>
      </c>
      <c r="B12" s="168"/>
      <c r="C12" s="182" t="s">
        <v>661</v>
      </c>
      <c r="D12" s="167" t="s">
        <v>2541</v>
      </c>
      <c r="E12" s="183" t="s">
        <v>1001</v>
      </c>
      <c r="F12" s="167">
        <v>1</v>
      </c>
      <c r="G12" s="168">
        <f>SUMIFS(Таблица1[[#This Row],[8]:[19]],$I$5:$T$5,"Выкуп")</f>
        <v>93.2</v>
      </c>
      <c r="H12" s="168">
        <f>SUMIFS(Таблица1[[#This Row],[8]:[19]],$I$5:$T$5,"Аренда")</f>
        <v>0</v>
      </c>
      <c r="I12" s="169">
        <v>93.2</v>
      </c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70"/>
      <c r="V12" s="171"/>
    </row>
    <row r="13" spans="1:22" hidden="1" outlineLevel="2" x14ac:dyDescent="0.25">
      <c r="A13" s="186">
        <f>SUMIFS(МКД!$A$6:$A$389,МКД!$D$6:$D$389,Таблица1[[#This Row],[2]])</f>
        <v>1</v>
      </c>
      <c r="B13" s="168"/>
      <c r="C13" s="182" t="s">
        <v>661</v>
      </c>
      <c r="D13" s="167" t="s">
        <v>992</v>
      </c>
      <c r="E13" s="167" t="s">
        <v>832</v>
      </c>
      <c r="F13" s="167">
        <v>2</v>
      </c>
      <c r="G13" s="168">
        <f>SUMIFS(Таблица1[[#This Row],[8]:[19]],$I$5:$T$5,"Выкуп")</f>
        <v>0</v>
      </c>
      <c r="H13" s="168">
        <f>SUMIFS(Таблица1[[#This Row],[8]:[19]],$I$5:$T$5,"Аренда")</f>
        <v>16.5</v>
      </c>
      <c r="I13" s="169"/>
      <c r="J13" s="169"/>
      <c r="K13" s="169"/>
      <c r="L13" s="169"/>
      <c r="M13" s="169"/>
      <c r="N13" s="169"/>
      <c r="O13" s="169"/>
      <c r="P13" s="169">
        <v>16.5</v>
      </c>
      <c r="Q13" s="169"/>
      <c r="R13" s="169"/>
      <c r="S13" s="169"/>
      <c r="T13" s="169"/>
      <c r="U13" s="170"/>
      <c r="V13" s="171"/>
    </row>
    <row r="14" spans="1:22" hidden="1" outlineLevel="2" x14ac:dyDescent="0.2">
      <c r="A14" s="186">
        <f>SUMIFS(МКД!$A$6:$A$389,МКД!$D$6:$D$389,Таблица1[[#This Row],[2]])</f>
        <v>1</v>
      </c>
      <c r="B14" s="168"/>
      <c r="C14" s="182" t="s">
        <v>661</v>
      </c>
      <c r="D14" s="167" t="s">
        <v>131</v>
      </c>
      <c r="E14" s="183" t="s">
        <v>1004</v>
      </c>
      <c r="F14" s="167">
        <v>1</v>
      </c>
      <c r="G14" s="168">
        <f>SUMIFS(Таблица1[[#This Row],[8]:[19]],$I$5:$T$5,"Выкуп")</f>
        <v>113.7</v>
      </c>
      <c r="H14" s="168">
        <f>SUMIFS(Таблица1[[#This Row],[8]:[19]],$I$5:$T$5,"Аренда")</f>
        <v>0</v>
      </c>
      <c r="I14" s="169">
        <v>113.7</v>
      </c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1"/>
    </row>
    <row r="15" spans="1:22" hidden="1" outlineLevel="2" x14ac:dyDescent="0.25">
      <c r="A15" s="186">
        <f>SUMIFS(МКД!$A$6:$A$389,МКД!$D$6:$D$389,Таблица1[[#This Row],[2]])</f>
        <v>1</v>
      </c>
      <c r="B15" s="168"/>
      <c r="C15" s="182" t="s">
        <v>661</v>
      </c>
      <c r="D15" s="167" t="s">
        <v>3</v>
      </c>
      <c r="E15" s="167" t="s">
        <v>828</v>
      </c>
      <c r="F15" s="167">
        <v>1</v>
      </c>
      <c r="G15" s="168">
        <f>SUMIFS(Таблица1[[#This Row],[8]:[19]],$I$5:$T$5,"Выкуп")</f>
        <v>116.69999999999999</v>
      </c>
      <c r="H15" s="168">
        <f>SUMIFS(Таблица1[[#This Row],[8]:[19]],$I$5:$T$5,"Аренда")</f>
        <v>141.5</v>
      </c>
      <c r="I15" s="193"/>
      <c r="J15" s="193"/>
      <c r="K15" s="193">
        <v>97.1</v>
      </c>
      <c r="L15" s="193">
        <v>130</v>
      </c>
      <c r="M15" s="193"/>
      <c r="N15" s="193"/>
      <c r="O15" s="193"/>
      <c r="P15" s="193"/>
      <c r="Q15" s="193"/>
      <c r="R15" s="193"/>
      <c r="S15" s="193">
        <v>19.600000000000001</v>
      </c>
      <c r="T15" s="193">
        <v>11.5</v>
      </c>
      <c r="U15" s="170"/>
      <c r="V15" s="171"/>
    </row>
    <row r="16" spans="1:22" hidden="1" outlineLevel="2" x14ac:dyDescent="0.25">
      <c r="A16" s="186">
        <f>SUMIFS(МКД!$A$6:$A$389,МКД!$D$6:$D$389,Таблица1[[#This Row],[2]])</f>
        <v>1</v>
      </c>
      <c r="B16" s="168"/>
      <c r="C16" s="182" t="s">
        <v>661</v>
      </c>
      <c r="D16" s="167" t="s">
        <v>993</v>
      </c>
      <c r="E16" s="167" t="s">
        <v>1000</v>
      </c>
      <c r="F16" s="167">
        <v>1</v>
      </c>
      <c r="G16" s="168">
        <f>SUMIFS(Таблица1[[#This Row],[8]:[19]],$I$5:$T$5,"Выкуп")</f>
        <v>103.8</v>
      </c>
      <c r="H16" s="168">
        <f>SUMIFS(Таблица1[[#This Row],[8]:[19]],$I$5:$T$5,"Аренда")</f>
        <v>0</v>
      </c>
      <c r="I16" s="169">
        <v>103.8</v>
      </c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70"/>
      <c r="V16" s="171"/>
    </row>
    <row r="17" spans="1:22" hidden="1" outlineLevel="2" x14ac:dyDescent="0.2">
      <c r="A17" s="186">
        <f>SUMIFS(МКД!$A$6:$A$389,МКД!$D$6:$D$389,Таблица1[[#This Row],[2]])</f>
        <v>1</v>
      </c>
      <c r="B17" s="168"/>
      <c r="C17" s="182" t="s">
        <v>661</v>
      </c>
      <c r="D17" s="167" t="s">
        <v>994</v>
      </c>
      <c r="E17" s="184" t="s">
        <v>2505</v>
      </c>
      <c r="F17" s="167">
        <v>2</v>
      </c>
      <c r="G17" s="168">
        <f>SUMIFS(Таблица1[[#This Row],[8]:[19]],$I$5:$T$5,"Выкуп")</f>
        <v>143.19999999999999</v>
      </c>
      <c r="H17" s="168">
        <f>SUMIFS(Таблица1[[#This Row],[8]:[19]],$I$5:$T$5,"Аренда")</f>
        <v>0</v>
      </c>
      <c r="I17" s="169">
        <v>143.19999999999999</v>
      </c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70"/>
      <c r="V17" s="171"/>
    </row>
    <row r="18" spans="1:22" hidden="1" outlineLevel="2" x14ac:dyDescent="0.2">
      <c r="A18" s="186">
        <f>SUMIFS(МКД!$A$6:$A$389,МКД!$D$6:$D$389,Таблица1[[#This Row],[2]])</f>
        <v>1</v>
      </c>
      <c r="B18" s="168"/>
      <c r="C18" s="182" t="s">
        <v>661</v>
      </c>
      <c r="D18" s="167"/>
      <c r="E18" s="184"/>
      <c r="F18" s="167">
        <v>2</v>
      </c>
      <c r="G18" s="168">
        <f>SUMIFS(Таблица1[[#This Row],[8]:[19]],$I$5:$T$5,"Выкуп")</f>
        <v>0</v>
      </c>
      <c r="H18" s="168">
        <f>SUMIFS(Таблица1[[#This Row],[8]:[19]],$I$5:$T$5,"Аренда")</f>
        <v>0</v>
      </c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70"/>
      <c r="V18" s="171"/>
    </row>
    <row r="19" spans="1:22" s="16" customFormat="1" hidden="1" outlineLevel="2" x14ac:dyDescent="0.25">
      <c r="A19" s="186">
        <f>SUMIFS(МКД!$A$6:$A$389,МКД!$D$6:$D$389,Таблица1[[#This Row],[2]])</f>
        <v>1</v>
      </c>
      <c r="B19" s="168"/>
      <c r="C19" s="182" t="s">
        <v>661</v>
      </c>
      <c r="D19" s="167" t="s">
        <v>1</v>
      </c>
      <c r="E19" s="167" t="s">
        <v>1157</v>
      </c>
      <c r="F19" s="167">
        <v>2</v>
      </c>
      <c r="G19" s="168">
        <f>SUMIFS(Таблица1[[#This Row],[8]:[19]],$I$5:$T$5,"Выкуп")</f>
        <v>53.6</v>
      </c>
      <c r="H19" s="168">
        <f>SUMIFS(Таблица1[[#This Row],[8]:[19]],$I$5:$T$5,"Аренда")</f>
        <v>0</v>
      </c>
      <c r="I19" s="169">
        <v>53.6</v>
      </c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70"/>
      <c r="V19" s="171"/>
    </row>
    <row r="20" spans="1:22" outlineLevel="1" collapsed="1" x14ac:dyDescent="0.25">
      <c r="A20" s="186">
        <f>SUMIFS(МКД!$A$6:$A$389,МКД!$D$6:$D$389,Таблица1[[#This Row],[2]])</f>
        <v>2</v>
      </c>
      <c r="B20" s="194">
        <f>SUMIFS(Таблица1[6],Таблица1[2],Таблица1[[#This Row],[2]])+SUMIFS(Таблица1[7],Таблица1[2],Таблица1[[#This Row],[2]])</f>
        <v>1082.9000000000001</v>
      </c>
      <c r="C20" s="185" t="s">
        <v>553</v>
      </c>
      <c r="D20" s="168"/>
      <c r="E20" s="168"/>
      <c r="F20" s="168"/>
      <c r="G20" s="168"/>
      <c r="H20" s="194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95"/>
    </row>
    <row r="21" spans="1:22" hidden="1" outlineLevel="2" x14ac:dyDescent="0.25">
      <c r="A21" s="186">
        <f>SUMIFS(МКД!$A$6:$A$389,МКД!$D$6:$D$389,Таблица1[[#This Row],[2]])</f>
        <v>2</v>
      </c>
      <c r="B21" s="167"/>
      <c r="C21" s="182" t="s">
        <v>553</v>
      </c>
      <c r="D21" s="167" t="s">
        <v>7</v>
      </c>
      <c r="E21" s="167" t="s">
        <v>1158</v>
      </c>
      <c r="F21" s="167">
        <v>1</v>
      </c>
      <c r="G21" s="168">
        <f>SUMIFS(Таблица1[[#This Row],[8]:[19]],$I$5:$T$5,"Выкуп")</f>
        <v>53</v>
      </c>
      <c r="H21" s="168">
        <f>SUMIFS(Таблица1[[#This Row],[8]:[19]],$I$5:$T$5,"Аренда")</f>
        <v>0</v>
      </c>
      <c r="I21" s="169">
        <v>53</v>
      </c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70"/>
      <c r="V21" s="171"/>
    </row>
    <row r="22" spans="1:22" hidden="1" outlineLevel="2" x14ac:dyDescent="0.25">
      <c r="A22" s="186">
        <f>SUMIFS(МКД!$A$6:$A$389,МКД!$D$6:$D$389,Таблица1[[#This Row],[2]])</f>
        <v>2</v>
      </c>
      <c r="B22" s="168"/>
      <c r="C22" s="182" t="s">
        <v>553</v>
      </c>
      <c r="D22" s="167" t="s">
        <v>8</v>
      </c>
      <c r="E22" s="167" t="s">
        <v>1159</v>
      </c>
      <c r="F22" s="167">
        <v>1</v>
      </c>
      <c r="G22" s="168">
        <f>SUMIFS(Таблица1[[#This Row],[8]:[19]],$I$5:$T$5,"Выкуп")</f>
        <v>200.1</v>
      </c>
      <c r="H22" s="168">
        <f>SUMIFS(Таблица1[[#This Row],[8]:[19]],$I$5:$T$5,"Аренда")</f>
        <v>0</v>
      </c>
      <c r="I22" s="169">
        <v>200.1</v>
      </c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70"/>
      <c r="V22" s="171"/>
    </row>
    <row r="23" spans="1:22" hidden="1" outlineLevel="2" x14ac:dyDescent="0.25">
      <c r="A23" s="186">
        <f>SUMIFS(МКД!$A$6:$A$389,МКД!$D$6:$D$389,Таблица1[[#This Row],[2]])</f>
        <v>2</v>
      </c>
      <c r="B23" s="168"/>
      <c r="C23" s="182" t="s">
        <v>553</v>
      </c>
      <c r="D23" s="167" t="s">
        <v>995</v>
      </c>
      <c r="E23" s="167" t="s">
        <v>947</v>
      </c>
      <c r="F23" s="167">
        <v>1</v>
      </c>
      <c r="G23" s="168">
        <f>SUMIFS(Таблица1[[#This Row],[8]:[19]],$I$5:$T$5,"Выкуп")</f>
        <v>69.099999999999994</v>
      </c>
      <c r="H23" s="168">
        <f>SUMIFS(Таблица1[[#This Row],[8]:[19]],$I$5:$T$5,"Аренда")</f>
        <v>0</v>
      </c>
      <c r="I23" s="169">
        <v>69.099999999999994</v>
      </c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70"/>
      <c r="V23" s="171"/>
    </row>
    <row r="24" spans="1:22" hidden="1" outlineLevel="2" x14ac:dyDescent="0.25">
      <c r="A24" s="186">
        <f>SUMIFS(МКД!$A$6:$A$389,МКД!$D$6:$D$389,Таблица1[[#This Row],[2]])</f>
        <v>2</v>
      </c>
      <c r="B24" s="168"/>
      <c r="C24" s="182" t="s">
        <v>553</v>
      </c>
      <c r="D24" s="167" t="s">
        <v>996</v>
      </c>
      <c r="E24" s="167" t="s">
        <v>828</v>
      </c>
      <c r="F24" s="167">
        <v>1</v>
      </c>
      <c r="G24" s="168">
        <f>SUMIFS(Таблица1[[#This Row],[8]:[19]],$I$5:$T$5,"Выкуп")</f>
        <v>252.3</v>
      </c>
      <c r="H24" s="168">
        <f>SUMIFS(Таблица1[[#This Row],[8]:[19]],$I$5:$T$5,"Аренда")</f>
        <v>0</v>
      </c>
      <c r="I24" s="169"/>
      <c r="J24" s="169"/>
      <c r="K24" s="169">
        <v>252.3</v>
      </c>
      <c r="L24" s="169"/>
      <c r="M24" s="169"/>
      <c r="N24" s="169"/>
      <c r="O24" s="169"/>
      <c r="P24" s="169"/>
      <c r="Q24" s="169"/>
      <c r="R24" s="169"/>
      <c r="S24" s="169"/>
      <c r="T24" s="169"/>
      <c r="U24" s="170"/>
      <c r="V24" s="171"/>
    </row>
    <row r="25" spans="1:22" hidden="1" outlineLevel="2" x14ac:dyDescent="0.25">
      <c r="A25" s="186">
        <f>SUMIFS(МКД!$A$6:$A$389,МКД!$D$6:$D$389,Таблица1[[#This Row],[2]])</f>
        <v>2</v>
      </c>
      <c r="B25" s="168"/>
      <c r="C25" s="182" t="s">
        <v>553</v>
      </c>
      <c r="D25" s="167" t="s">
        <v>12</v>
      </c>
      <c r="E25" s="167" t="s">
        <v>1168</v>
      </c>
      <c r="F25" s="167">
        <v>2</v>
      </c>
      <c r="G25" s="168">
        <f>SUMIFS(Таблица1[[#This Row],[8]:[19]],$I$5:$T$5,"Выкуп")</f>
        <v>251.6</v>
      </c>
      <c r="H25" s="168">
        <f>SUMIFS(Таблица1[[#This Row],[8]:[19]],$I$5:$T$5,"Аренда")</f>
        <v>0</v>
      </c>
      <c r="I25" s="169">
        <v>251.6</v>
      </c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70"/>
      <c r="V25" s="171"/>
    </row>
    <row r="26" spans="1:22" hidden="1" outlineLevel="2" x14ac:dyDescent="0.25">
      <c r="A26" s="186">
        <f>SUMIFS(МКД!$A$6:$A$389,МКД!$D$6:$D$389,Таблица1[[#This Row],[2]])</f>
        <v>2</v>
      </c>
      <c r="B26" s="168"/>
      <c r="C26" s="182" t="s">
        <v>553</v>
      </c>
      <c r="D26" s="167" t="s">
        <v>1841</v>
      </c>
      <c r="E26" s="167" t="s">
        <v>1169</v>
      </c>
      <c r="F26" s="167">
        <v>2</v>
      </c>
      <c r="G26" s="168">
        <f>SUMIFS(Таблица1[[#This Row],[8]:[19]],$I$5:$T$5,"Выкуп")</f>
        <v>71.400000000000006</v>
      </c>
      <c r="H26" s="168">
        <f>SUMIFS(Таблица1[[#This Row],[8]:[19]],$I$5:$T$5,"Аренда")</f>
        <v>0</v>
      </c>
      <c r="I26" s="169">
        <v>71.400000000000006</v>
      </c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70"/>
      <c r="V26" s="171"/>
    </row>
    <row r="27" spans="1:22" hidden="1" outlineLevel="2" x14ac:dyDescent="0.25">
      <c r="A27" s="186">
        <f>SUMIFS(МКД!$A$6:$A$389,МКД!$D$6:$D$389,Таблица1[[#This Row],[2]])</f>
        <v>2</v>
      </c>
      <c r="B27" s="168"/>
      <c r="C27" s="182" t="s">
        <v>553</v>
      </c>
      <c r="D27" s="167"/>
      <c r="E27" s="167" t="s">
        <v>2087</v>
      </c>
      <c r="F27" s="167">
        <v>2</v>
      </c>
      <c r="G27" s="168">
        <f>SUMIFS(Таблица1[[#This Row],[8]:[19]],$I$5:$T$5,"Выкуп")</f>
        <v>0</v>
      </c>
      <c r="H27" s="168">
        <f>SUMIFS(Таблица1[[#This Row],[8]:[19]],$I$5:$T$5,"Аренда")</f>
        <v>0</v>
      </c>
      <c r="I27" s="169"/>
      <c r="J27" s="169"/>
      <c r="K27" s="167"/>
      <c r="L27" s="169">
        <f>67*0</f>
        <v>0</v>
      </c>
      <c r="M27" s="169"/>
      <c r="N27" s="169"/>
      <c r="O27" s="169"/>
      <c r="P27" s="169"/>
      <c r="Q27" s="169"/>
      <c r="R27" s="169"/>
      <c r="S27" s="169"/>
      <c r="T27" s="169"/>
      <c r="U27" s="170"/>
      <c r="V27" s="171"/>
    </row>
    <row r="28" spans="1:22" hidden="1" outlineLevel="2" x14ac:dyDescent="0.25">
      <c r="A28" s="186">
        <f>SUMIFS(МКД!$A$6:$A$389,МКД!$D$6:$D$389,Таблица1[[#This Row],[2]])</f>
        <v>2</v>
      </c>
      <c r="B28" s="168"/>
      <c r="C28" s="182" t="s">
        <v>553</v>
      </c>
      <c r="D28" s="167" t="s">
        <v>6</v>
      </c>
      <c r="E28" s="167" t="s">
        <v>1170</v>
      </c>
      <c r="F28" s="167">
        <v>1</v>
      </c>
      <c r="G28" s="168">
        <f>SUMIFS(Таблица1[[#This Row],[8]:[19]],$I$5:$T$5,"Выкуп")</f>
        <v>96.3</v>
      </c>
      <c r="H28" s="168">
        <f>SUMIFS(Таблица1[[#This Row],[8]:[19]],$I$5:$T$5,"Аренда")</f>
        <v>0</v>
      </c>
      <c r="I28" s="169">
        <v>96.3</v>
      </c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70"/>
      <c r="V28" s="171"/>
    </row>
    <row r="29" spans="1:22" hidden="1" outlineLevel="2" x14ac:dyDescent="0.25">
      <c r="A29" s="186">
        <f>SUMIFS(МКД!$A$6:$A$389,МКД!$D$6:$D$389,Таблица1[[#This Row],[2]])</f>
        <v>2</v>
      </c>
      <c r="B29" s="168"/>
      <c r="C29" s="182" t="s">
        <v>553</v>
      </c>
      <c r="D29" s="167" t="s">
        <v>130</v>
      </c>
      <c r="E29" s="167" t="s">
        <v>835</v>
      </c>
      <c r="F29" s="167">
        <v>1</v>
      </c>
      <c r="G29" s="168">
        <f>SUMIFS(Таблица1[[#This Row],[8]:[19]],$I$5:$T$5,"Выкуп")</f>
        <v>16.600000000000001</v>
      </c>
      <c r="H29" s="168">
        <f>SUMIFS(Таблица1[[#This Row],[8]:[19]],$I$5:$T$5,"Аренда")</f>
        <v>0</v>
      </c>
      <c r="I29" s="169">
        <v>16.600000000000001</v>
      </c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70"/>
      <c r="V29" s="171"/>
    </row>
    <row r="30" spans="1:22" hidden="1" outlineLevel="2" collapsed="1" x14ac:dyDescent="0.25">
      <c r="A30" s="186">
        <f>SUMIFS(МКД!$A$6:$A$389,МКД!$D$6:$D$389,Таблица1[[#This Row],[2]])</f>
        <v>2</v>
      </c>
      <c r="B30" s="168"/>
      <c r="C30" s="182" t="s">
        <v>553</v>
      </c>
      <c r="D30" s="167" t="s">
        <v>10</v>
      </c>
      <c r="E30" s="167" t="s">
        <v>1160</v>
      </c>
      <c r="F30" s="167">
        <v>2</v>
      </c>
      <c r="G30" s="168">
        <f>SUMIFS(Таблица1[[#This Row],[8]:[19]],$I$5:$T$5,"Выкуп")</f>
        <v>72.5</v>
      </c>
      <c r="H30" s="168">
        <f>SUMIFS(Таблица1[[#This Row],[8]:[19]],$I$5:$T$5,"Аренда")</f>
        <v>0</v>
      </c>
      <c r="I30" s="169">
        <v>72.5</v>
      </c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70"/>
      <c r="V30" s="171"/>
    </row>
    <row r="31" spans="1:22" outlineLevel="1" collapsed="1" x14ac:dyDescent="0.25">
      <c r="A31" s="186">
        <f>SUMIFS(МКД!$A$6:$A$389,МКД!$D$6:$D$389,Таблица1[[#This Row],[2]])</f>
        <v>3</v>
      </c>
      <c r="B31" s="194">
        <f>SUMIFS(Таблица1[6],Таблица1[2],Таблица1[[#This Row],[2]])+SUMIFS(Таблица1[7],Таблица1[2],Таблица1[[#This Row],[2]])</f>
        <v>447.9</v>
      </c>
      <c r="C31" s="185" t="s">
        <v>554</v>
      </c>
      <c r="D31" s="167"/>
      <c r="E31" s="167"/>
      <c r="F31" s="167"/>
      <c r="G31" s="168"/>
      <c r="H31" s="194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70"/>
      <c r="V31" s="171"/>
    </row>
    <row r="32" spans="1:22" hidden="1" outlineLevel="2" x14ac:dyDescent="0.25">
      <c r="A32" s="186">
        <f>SUMIFS(МКД!$A$6:$A$389,МКД!$D$6:$D$389,Таблица1[[#This Row],[2]])</f>
        <v>3</v>
      </c>
      <c r="B32" s="167"/>
      <c r="C32" s="182" t="s">
        <v>554</v>
      </c>
      <c r="D32" s="167" t="s">
        <v>1983</v>
      </c>
      <c r="E32" s="167" t="s">
        <v>1167</v>
      </c>
      <c r="F32" s="167">
        <v>1</v>
      </c>
      <c r="G32" s="168">
        <f>SUMIFS(Таблица1[[#This Row],[8]:[19]],$I$5:$T$5,"Выкуп")</f>
        <v>30.6</v>
      </c>
      <c r="H32" s="168">
        <f>SUMIFS(Таблица1[[#This Row],[8]:[19]],$I$5:$T$5,"Аренда")</f>
        <v>0</v>
      </c>
      <c r="I32" s="169">
        <v>30.6</v>
      </c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70"/>
      <c r="V32" s="171"/>
    </row>
    <row r="33" spans="1:22" hidden="1" outlineLevel="2" x14ac:dyDescent="0.25">
      <c r="A33" s="186">
        <f>SUMIFS(МКД!$A$6:$A$389,МКД!$D$6:$D$389,Таблица1[[#This Row],[2]])</f>
        <v>3</v>
      </c>
      <c r="B33" s="168"/>
      <c r="C33" s="182" t="s">
        <v>554</v>
      </c>
      <c r="D33" s="167" t="s">
        <v>14</v>
      </c>
      <c r="E33" s="167" t="s">
        <v>902</v>
      </c>
      <c r="F33" s="167">
        <v>1</v>
      </c>
      <c r="G33" s="168">
        <f>SUMIFS(Таблица1[[#This Row],[8]:[19]],$I$5:$T$5,"Выкуп")</f>
        <v>42.4</v>
      </c>
      <c r="H33" s="168">
        <f>SUMIFS(Таблица1[[#This Row],[8]:[19]],$I$5:$T$5,"Аренда")</f>
        <v>0</v>
      </c>
      <c r="I33" s="169">
        <v>42.4</v>
      </c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70"/>
      <c r="V33" s="171"/>
    </row>
    <row r="34" spans="1:22" hidden="1" outlineLevel="2" x14ac:dyDescent="0.25">
      <c r="A34" s="186">
        <f>SUMIFS(МКД!$A$6:$A$389,МКД!$D$6:$D$389,Таблица1[[#This Row],[2]])</f>
        <v>3</v>
      </c>
      <c r="B34" s="168"/>
      <c r="C34" s="182" t="s">
        <v>554</v>
      </c>
      <c r="D34" s="167" t="s">
        <v>13</v>
      </c>
      <c r="E34" s="167" t="s">
        <v>1161</v>
      </c>
      <c r="F34" s="167">
        <v>1</v>
      </c>
      <c r="G34" s="168">
        <f>SUMIFS(Таблица1[[#This Row],[8]:[19]],$I$5:$T$5,"Выкуп")</f>
        <v>32</v>
      </c>
      <c r="H34" s="168">
        <f>SUMIFS(Таблица1[[#This Row],[8]:[19]],$I$5:$T$5,"Аренда")</f>
        <v>0</v>
      </c>
      <c r="I34" s="169">
        <v>32</v>
      </c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70"/>
      <c r="V34" s="171"/>
    </row>
    <row r="35" spans="1:22" hidden="1" outlineLevel="2" x14ac:dyDescent="0.25">
      <c r="A35" s="186">
        <f>SUMIFS(МКД!$A$6:$A$389,МКД!$D$6:$D$389,Таблица1[[#This Row],[2]])</f>
        <v>3</v>
      </c>
      <c r="B35" s="168"/>
      <c r="C35" s="182" t="s">
        <v>554</v>
      </c>
      <c r="D35" s="167" t="s">
        <v>14</v>
      </c>
      <c r="E35" s="167" t="s">
        <v>1162</v>
      </c>
      <c r="F35" s="167">
        <v>1</v>
      </c>
      <c r="G35" s="168">
        <f>SUMIFS(Таблица1[[#This Row],[8]:[19]],$I$5:$T$5,"Выкуп")</f>
        <v>53.8</v>
      </c>
      <c r="H35" s="168">
        <f>SUMIFS(Таблица1[[#This Row],[8]:[19]],$I$5:$T$5,"Аренда")</f>
        <v>0</v>
      </c>
      <c r="I35" s="169">
        <v>53.8</v>
      </c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70"/>
      <c r="V35" s="171"/>
    </row>
    <row r="36" spans="1:22" hidden="1" outlineLevel="2" x14ac:dyDescent="0.25">
      <c r="A36" s="186">
        <f>SUMIFS(МКД!$A$6:$A$389,МКД!$D$6:$D$389,Таблица1[[#This Row],[2]])</f>
        <v>3</v>
      </c>
      <c r="B36" s="168"/>
      <c r="C36" s="182" t="s">
        <v>554</v>
      </c>
      <c r="D36" s="167" t="s">
        <v>15</v>
      </c>
      <c r="E36" s="167" t="s">
        <v>1068</v>
      </c>
      <c r="F36" s="167">
        <v>1</v>
      </c>
      <c r="G36" s="168">
        <f>SUMIFS(Таблица1[[#This Row],[8]:[19]],$I$5:$T$5,"Выкуп")</f>
        <v>40.5</v>
      </c>
      <c r="H36" s="168">
        <f>SUMIFS(Таблица1[[#This Row],[8]:[19]],$I$5:$T$5,"Аренда")</f>
        <v>0</v>
      </c>
      <c r="I36" s="169">
        <v>40.5</v>
      </c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70"/>
      <c r="V36" s="171"/>
    </row>
    <row r="37" spans="1:22" hidden="1" outlineLevel="2" x14ac:dyDescent="0.25">
      <c r="A37" s="186">
        <f>SUMIFS(МКД!$A$6:$A$389,МКД!$D$6:$D$389,Таблица1[[#This Row],[2]])</f>
        <v>3</v>
      </c>
      <c r="B37" s="168"/>
      <c r="C37" s="182" t="s">
        <v>554</v>
      </c>
      <c r="D37" s="167" t="s">
        <v>2088</v>
      </c>
      <c r="E37" s="167" t="s">
        <v>1164</v>
      </c>
      <c r="F37" s="167">
        <v>1</v>
      </c>
      <c r="G37" s="168">
        <f>SUMIFS(Таблица1[[#This Row],[8]:[19]],$I$5:$T$5,"Выкуп")</f>
        <v>86</v>
      </c>
      <c r="H37" s="168">
        <f>SUMIFS(Таблица1[[#This Row],[8]:[19]],$I$5:$T$5,"Аренда")</f>
        <v>0</v>
      </c>
      <c r="I37" s="169">
        <v>86</v>
      </c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70"/>
      <c r="V37" s="171"/>
    </row>
    <row r="38" spans="1:22" hidden="1" outlineLevel="2" x14ac:dyDescent="0.25">
      <c r="A38" s="186">
        <f>SUMIFS(МКД!$A$6:$A$389,МКД!$D$6:$D$389,Таблица1[[#This Row],[2]])</f>
        <v>3</v>
      </c>
      <c r="B38" s="168"/>
      <c r="C38" s="182" t="s">
        <v>554</v>
      </c>
      <c r="D38" s="167" t="s">
        <v>951</v>
      </c>
      <c r="E38" s="167" t="s">
        <v>897</v>
      </c>
      <c r="F38" s="167">
        <v>1</v>
      </c>
      <c r="G38" s="168">
        <f>SUMIFS(Таблица1[[#This Row],[8]:[19]],$I$5:$T$5,"Выкуп")</f>
        <v>31.3</v>
      </c>
      <c r="H38" s="168">
        <f>SUMIFS(Таблица1[[#This Row],[8]:[19]],$I$5:$T$5,"Аренда")</f>
        <v>0</v>
      </c>
      <c r="I38" s="169">
        <v>31.3</v>
      </c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70"/>
      <c r="V38" s="171"/>
    </row>
    <row r="39" spans="1:22" hidden="1" outlineLevel="2" x14ac:dyDescent="0.25">
      <c r="A39" s="186">
        <f>SUMIFS(МКД!$A$6:$A$389,МКД!$D$6:$D$389,Таблица1[[#This Row],[2]])</f>
        <v>3</v>
      </c>
      <c r="B39" s="168"/>
      <c r="C39" s="182" t="s">
        <v>554</v>
      </c>
      <c r="D39" s="167" t="s">
        <v>951</v>
      </c>
      <c r="E39" s="167" t="s">
        <v>898</v>
      </c>
      <c r="F39" s="167">
        <v>1</v>
      </c>
      <c r="G39" s="168">
        <f>SUMIFS(Таблица1[[#This Row],[8]:[19]],$I$5:$T$5,"Выкуп")</f>
        <v>8.9</v>
      </c>
      <c r="H39" s="168">
        <f>SUMIFS(Таблица1[[#This Row],[8]:[19]],$I$5:$T$5,"Аренда")</f>
        <v>0</v>
      </c>
      <c r="I39" s="169">
        <v>8.9</v>
      </c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70"/>
      <c r="V39" s="171"/>
    </row>
    <row r="40" spans="1:22" hidden="1" outlineLevel="2" x14ac:dyDescent="0.25">
      <c r="A40" s="186">
        <f>SUMIFS(МКД!$A$6:$A$389,МКД!$D$6:$D$389,Таблица1[[#This Row],[2]])</f>
        <v>3</v>
      </c>
      <c r="B40" s="168"/>
      <c r="C40" s="182" t="s">
        <v>554</v>
      </c>
      <c r="D40" s="167" t="s">
        <v>1591</v>
      </c>
      <c r="E40" s="167" t="s">
        <v>1165</v>
      </c>
      <c r="F40" s="167">
        <v>1</v>
      </c>
      <c r="G40" s="168">
        <f>SUMIFS(Таблица1[[#This Row],[8]:[19]],$I$5:$T$5,"Выкуп")</f>
        <v>28.2</v>
      </c>
      <c r="H40" s="168">
        <f>SUMIFS(Таблица1[[#This Row],[8]:[19]],$I$5:$T$5,"Аренда")</f>
        <v>0</v>
      </c>
      <c r="I40" s="169">
        <v>28.2</v>
      </c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70"/>
      <c r="V40" s="171"/>
    </row>
    <row r="41" spans="1:22" hidden="1" outlineLevel="2" collapsed="1" x14ac:dyDescent="0.25">
      <c r="A41" s="186">
        <f>SUMIFS(МКД!$A$6:$A$389,МКД!$D$6:$D$389,Таблица1[[#This Row],[2]])</f>
        <v>3</v>
      </c>
      <c r="B41" s="168"/>
      <c r="C41" s="182" t="s">
        <v>554</v>
      </c>
      <c r="D41" s="272" t="s">
        <v>1593</v>
      </c>
      <c r="E41" s="273" t="s">
        <v>1723</v>
      </c>
      <c r="F41" s="167">
        <v>1</v>
      </c>
      <c r="G41" s="168">
        <f>SUMIFS(Таблица1[[#This Row],[8]:[19]],$I$5:$T$5,"Выкуп")</f>
        <v>63.2</v>
      </c>
      <c r="H41" s="168">
        <f>SUMIFS(Таблица1[[#This Row],[8]:[19]],$I$5:$T$5,"Аренда")</f>
        <v>0</v>
      </c>
      <c r="I41" s="169"/>
      <c r="J41" s="169"/>
      <c r="K41" s="169">
        <v>63.2</v>
      </c>
      <c r="L41" s="169"/>
      <c r="M41" s="169"/>
      <c r="N41" s="169"/>
      <c r="O41" s="169"/>
      <c r="P41" s="169"/>
      <c r="Q41" s="169"/>
      <c r="R41" s="169"/>
      <c r="S41" s="169"/>
      <c r="T41" s="169"/>
      <c r="U41" s="170"/>
      <c r="V41" s="171"/>
    </row>
    <row r="42" spans="1:22" hidden="1" outlineLevel="2" collapsed="1" x14ac:dyDescent="0.25">
      <c r="A42" s="186">
        <f>SUMIFS(МКД!$A$6:$A$389,МКД!$D$6:$D$389,Таблица1[[#This Row],[2]])</f>
        <v>3</v>
      </c>
      <c r="B42" s="168"/>
      <c r="C42" s="182" t="s">
        <v>554</v>
      </c>
      <c r="D42" s="167" t="s">
        <v>16</v>
      </c>
      <c r="E42" s="167" t="s">
        <v>1166</v>
      </c>
      <c r="F42" s="167">
        <v>1</v>
      </c>
      <c r="G42" s="168">
        <f>SUMIFS(Таблица1[[#This Row],[8]:[19]],$I$5:$T$5,"Выкуп")</f>
        <v>31</v>
      </c>
      <c r="H42" s="168">
        <f>SUMIFS(Таблица1[[#This Row],[8]:[19]],$I$5:$T$5,"Аренда")</f>
        <v>0</v>
      </c>
      <c r="I42" s="169">
        <v>31</v>
      </c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70"/>
      <c r="V42" s="171"/>
    </row>
    <row r="43" spans="1:22" outlineLevel="1" collapsed="1" x14ac:dyDescent="0.25">
      <c r="A43" s="186">
        <f>SUMIFS(МКД!$A$6:$A$389,МКД!$D$6:$D$389,Таблица1[[#This Row],[2]])</f>
        <v>4</v>
      </c>
      <c r="B43" s="194">
        <f>SUMIFS(Таблица1[6],Таблица1[2],Таблица1[[#This Row],[2]])+SUMIFS(Таблица1[7],Таблица1[2],Таблица1[[#This Row],[2]])</f>
        <v>78.900000000000006</v>
      </c>
      <c r="C43" s="185" t="s">
        <v>555</v>
      </c>
      <c r="D43" s="167"/>
      <c r="E43" s="167"/>
      <c r="F43" s="167"/>
      <c r="G43" s="168"/>
      <c r="H43" s="194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70"/>
      <c r="V43" s="171"/>
    </row>
    <row r="44" spans="1:22" hidden="1" outlineLevel="2" collapsed="1" x14ac:dyDescent="0.25">
      <c r="A44" s="186">
        <f>SUMIFS(МКД!$A$6:$A$389,МКД!$D$6:$D$389,Таблица1[[#This Row],[2]])</f>
        <v>4</v>
      </c>
      <c r="B44" s="167"/>
      <c r="C44" s="182" t="s">
        <v>555</v>
      </c>
      <c r="D44" s="167" t="s">
        <v>17</v>
      </c>
      <c r="E44" s="167" t="s">
        <v>1163</v>
      </c>
      <c r="F44" s="167">
        <v>1</v>
      </c>
      <c r="G44" s="168">
        <f>SUMIFS(Таблица1[[#This Row],[8]:[19]],$I$5:$T$5,"Выкуп")</f>
        <v>78.900000000000006</v>
      </c>
      <c r="H44" s="168">
        <f>SUMIFS(Таблица1[[#This Row],[8]:[19]],$I$5:$T$5,"Аренда")</f>
        <v>0</v>
      </c>
      <c r="I44" s="169">
        <v>78.900000000000006</v>
      </c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70"/>
      <c r="V44" s="171"/>
    </row>
    <row r="45" spans="1:22" outlineLevel="1" collapsed="1" x14ac:dyDescent="0.25">
      <c r="A45" s="186">
        <f>SUMIFS(МКД!$A$6:$A$389,МКД!$D$6:$D$389,Таблица1[[#This Row],[2]])</f>
        <v>5</v>
      </c>
      <c r="B45" s="194">
        <f>SUMIFS(Таблица1[6],Таблица1[2],Таблица1[[#This Row],[2]])+SUMIFS(Таблица1[7],Таблица1[2],Таблица1[[#This Row],[2]])</f>
        <v>403.70000000000005</v>
      </c>
      <c r="C45" s="185" t="s">
        <v>556</v>
      </c>
      <c r="D45" s="167"/>
      <c r="E45" s="167"/>
      <c r="F45" s="167"/>
      <c r="G45" s="168"/>
      <c r="H45" s="194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70"/>
      <c r="V45" s="171"/>
    </row>
    <row r="46" spans="1:22" hidden="1" outlineLevel="2" x14ac:dyDescent="0.25">
      <c r="A46" s="186">
        <f>SUMIFS(МКД!$A$6:$A$389,МКД!$D$6:$D$389,Таблица1[[#This Row],[2]])</f>
        <v>5</v>
      </c>
      <c r="B46" s="167"/>
      <c r="C46" s="182" t="s">
        <v>556</v>
      </c>
      <c r="D46" s="167" t="s">
        <v>18</v>
      </c>
      <c r="E46" s="167" t="s">
        <v>1171</v>
      </c>
      <c r="F46" s="167">
        <v>1</v>
      </c>
      <c r="G46" s="168">
        <f>SUMIFS(Таблица1[[#This Row],[8]:[19]],$I$5:$T$5,"Выкуп")</f>
        <v>52.7</v>
      </c>
      <c r="H46" s="168">
        <f>SUMIFS(Таблица1[[#This Row],[8]:[19]],$I$5:$T$5,"Аренда")</f>
        <v>0</v>
      </c>
      <c r="I46" s="169">
        <v>52.7</v>
      </c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70"/>
      <c r="V46" s="171"/>
    </row>
    <row r="47" spans="1:22" hidden="1" outlineLevel="2" x14ac:dyDescent="0.25">
      <c r="A47" s="186">
        <f>SUMIFS(МКД!$A$6:$A$389,МКД!$D$6:$D$389,Таблица1[[#This Row],[2]])</f>
        <v>5</v>
      </c>
      <c r="B47" s="168"/>
      <c r="C47" s="182" t="s">
        <v>556</v>
      </c>
      <c r="D47" s="167" t="s">
        <v>1911</v>
      </c>
      <c r="E47" s="167" t="s">
        <v>1157</v>
      </c>
      <c r="F47" s="167">
        <v>1</v>
      </c>
      <c r="G47" s="168">
        <f>SUMIFS(Таблица1[[#This Row],[8]:[19]],$I$5:$T$5,"Выкуп")</f>
        <v>31.5</v>
      </c>
      <c r="H47" s="168">
        <f>SUMIFS(Таблица1[[#This Row],[8]:[19]],$I$5:$T$5,"Аренда")</f>
        <v>0</v>
      </c>
      <c r="I47" s="169">
        <v>31.5</v>
      </c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70"/>
      <c r="V47" s="171"/>
    </row>
    <row r="48" spans="1:22" hidden="1" outlineLevel="2" x14ac:dyDescent="0.25">
      <c r="A48" s="186">
        <f>SUMIFS(МКД!$A$6:$A$389,МКД!$D$6:$D$389,Таблица1[[#This Row],[2]])</f>
        <v>5</v>
      </c>
      <c r="B48" s="168"/>
      <c r="C48" s="182" t="s">
        <v>556</v>
      </c>
      <c r="D48" s="167" t="s">
        <v>1910</v>
      </c>
      <c r="E48" s="167" t="s">
        <v>1909</v>
      </c>
      <c r="F48" s="167">
        <v>1</v>
      </c>
      <c r="G48" s="168">
        <f>SUMIFS(Таблица1[[#This Row],[8]:[19]],$I$5:$T$5,"Выкуп")</f>
        <v>55.4</v>
      </c>
      <c r="H48" s="168">
        <f>SUMIFS(Таблица1[[#This Row],[8]:[19]],$I$5:$T$5,"Аренда")</f>
        <v>0</v>
      </c>
      <c r="I48" s="169">
        <v>55.4</v>
      </c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70"/>
      <c r="V48" s="171"/>
    </row>
    <row r="49" spans="1:22" hidden="1" outlineLevel="2" x14ac:dyDescent="0.25">
      <c r="A49" s="186">
        <f>SUMIFS(МКД!$A$6:$A$389,МКД!$D$6:$D$389,Таблица1[[#This Row],[2]])</f>
        <v>5</v>
      </c>
      <c r="B49" s="168"/>
      <c r="C49" s="182" t="s">
        <v>556</v>
      </c>
      <c r="D49" s="167" t="s">
        <v>1624</v>
      </c>
      <c r="E49" s="167" t="s">
        <v>1172</v>
      </c>
      <c r="F49" s="167">
        <v>1</v>
      </c>
      <c r="G49" s="168">
        <f>SUMIFS(Таблица1[[#This Row],[8]:[19]],$I$5:$T$5,"Выкуп")</f>
        <v>67.5</v>
      </c>
      <c r="H49" s="168">
        <f>SUMIFS(Таблица1[[#This Row],[8]:[19]],$I$5:$T$5,"Аренда")</f>
        <v>0</v>
      </c>
      <c r="I49" s="169">
        <v>67.5</v>
      </c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70"/>
      <c r="V49" s="171"/>
    </row>
    <row r="50" spans="1:22" hidden="1" outlineLevel="2" x14ac:dyDescent="0.25">
      <c r="A50" s="186">
        <f>SUMIFS(МКД!$A$6:$A$389,МКД!$D$6:$D$389,Таблица1[[#This Row],[2]])</f>
        <v>5</v>
      </c>
      <c r="B50" s="168"/>
      <c r="C50" s="182" t="s">
        <v>556</v>
      </c>
      <c r="D50" s="167" t="s">
        <v>2610</v>
      </c>
      <c r="E50" s="167" t="s">
        <v>1173</v>
      </c>
      <c r="F50" s="167">
        <v>1</v>
      </c>
      <c r="G50" s="168">
        <f>SUMIFS(Таблица1[[#This Row],[8]:[19]],$I$5:$T$5,"Выкуп")</f>
        <v>30</v>
      </c>
      <c r="H50" s="168">
        <f>SUMIFS(Таблица1[[#This Row],[8]:[19]],$I$5:$T$5,"Аренда")</f>
        <v>0</v>
      </c>
      <c r="I50" s="169">
        <v>30</v>
      </c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70"/>
      <c r="V50" s="171"/>
    </row>
    <row r="51" spans="1:22" hidden="1" outlineLevel="2" x14ac:dyDescent="0.25">
      <c r="A51" s="186">
        <f>SUMIFS(МКД!$A$6:$A$389,МКД!$D$6:$D$389,Таблица1[[#This Row],[2]])</f>
        <v>5</v>
      </c>
      <c r="B51" s="168"/>
      <c r="C51" s="182" t="s">
        <v>556</v>
      </c>
      <c r="D51" s="167" t="s">
        <v>1367</v>
      </c>
      <c r="E51" s="167" t="s">
        <v>731</v>
      </c>
      <c r="F51" s="167">
        <v>1</v>
      </c>
      <c r="G51" s="168">
        <f>SUMIFS(Таблица1[[#This Row],[8]:[19]],$I$5:$T$5,"Выкуп")</f>
        <v>72</v>
      </c>
      <c r="H51" s="168">
        <f>SUMIFS(Таблица1[[#This Row],[8]:[19]],$I$5:$T$5,"Аренда")</f>
        <v>0</v>
      </c>
      <c r="I51" s="169">
        <v>72</v>
      </c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70"/>
      <c r="V51" s="171"/>
    </row>
    <row r="52" spans="1:22" hidden="1" outlineLevel="2" x14ac:dyDescent="0.25">
      <c r="A52" s="186">
        <f>SUMIFS(МКД!$A$6:$A$389,МКД!$D$6:$D$389,Таблица1[[#This Row],[2]])</f>
        <v>5</v>
      </c>
      <c r="B52" s="168"/>
      <c r="C52" s="182" t="s">
        <v>556</v>
      </c>
      <c r="D52" s="167" t="s">
        <v>1593</v>
      </c>
      <c r="E52" s="273" t="s">
        <v>1723</v>
      </c>
      <c r="F52" s="167">
        <v>1</v>
      </c>
      <c r="G52" s="168">
        <f>SUMIFS(Таблица1[[#This Row],[8]:[19]],$I$5:$T$5,"Выкуп")</f>
        <v>62.8</v>
      </c>
      <c r="H52" s="168">
        <f>SUMIFS(Таблица1[[#This Row],[8]:[19]],$I$5:$T$5,"Аренда")</f>
        <v>0</v>
      </c>
      <c r="I52" s="169"/>
      <c r="J52" s="169"/>
      <c r="K52" s="169">
        <v>62.8</v>
      </c>
      <c r="L52" s="169"/>
      <c r="M52" s="169"/>
      <c r="N52" s="169"/>
      <c r="O52" s="169"/>
      <c r="P52" s="169"/>
      <c r="Q52" s="169"/>
      <c r="R52" s="169"/>
      <c r="S52" s="169"/>
      <c r="T52" s="169"/>
      <c r="U52" s="170"/>
      <c r="V52" s="171"/>
    </row>
    <row r="53" spans="1:22" hidden="1" outlineLevel="2" collapsed="1" x14ac:dyDescent="0.25">
      <c r="A53" s="186">
        <f>SUMIFS(МКД!$A$6:$A$389,МКД!$D$6:$D$389,Таблица1[[#This Row],[2]])</f>
        <v>5</v>
      </c>
      <c r="B53" s="168"/>
      <c r="C53" s="182" t="s">
        <v>556</v>
      </c>
      <c r="D53" s="167" t="s">
        <v>98</v>
      </c>
      <c r="E53" s="167" t="s">
        <v>961</v>
      </c>
      <c r="F53" s="167"/>
      <c r="G53" s="168">
        <f>SUMIFS(Таблица1[[#This Row],[8]:[19]],$I$5:$T$5,"Выкуп")</f>
        <v>31.8</v>
      </c>
      <c r="H53" s="168">
        <f>SUMIFS(Таблица1[[#This Row],[8]:[19]],$I$5:$T$5,"Аренда")</f>
        <v>0</v>
      </c>
      <c r="I53" s="169">
        <v>31.8</v>
      </c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70"/>
      <c r="V53" s="171"/>
    </row>
    <row r="54" spans="1:22" outlineLevel="1" collapsed="1" x14ac:dyDescent="0.25">
      <c r="A54" s="186">
        <f>SUMIFS(МКД!$A$6:$A$389,МКД!$D$6:$D$389,Таблица1[[#This Row],[2]])</f>
        <v>6</v>
      </c>
      <c r="B54" s="194">
        <f>SUMIFS(Таблица1[6],Таблица1[2],Таблица1[[#This Row],[2]])+SUMIFS(Таблица1[7],Таблица1[2],Таблица1[[#This Row],[2]])</f>
        <v>131.5</v>
      </c>
      <c r="C54" s="185" t="s">
        <v>557</v>
      </c>
      <c r="D54" s="167"/>
      <c r="E54" s="167"/>
      <c r="F54" s="167"/>
      <c r="G54" s="168"/>
      <c r="H54" s="194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70"/>
      <c r="V54" s="171"/>
    </row>
    <row r="55" spans="1:22" hidden="1" outlineLevel="2" collapsed="1" x14ac:dyDescent="0.25">
      <c r="A55" s="186">
        <f>SUMIFS(МКД!$A$6:$A$389,МКД!$D$6:$D$389,Таблица1[[#This Row],[2]])</f>
        <v>6</v>
      </c>
      <c r="B55" s="167"/>
      <c r="C55" s="182" t="s">
        <v>557</v>
      </c>
      <c r="D55" s="167" t="s">
        <v>132</v>
      </c>
      <c r="E55" s="167" t="s">
        <v>1174</v>
      </c>
      <c r="F55" s="167">
        <v>1</v>
      </c>
      <c r="G55" s="168">
        <f>SUMIFS(Таблица1[[#This Row],[8]:[19]],$I$5:$T$5,"Выкуп")</f>
        <v>131.5</v>
      </c>
      <c r="H55" s="168">
        <f>SUMIFS(Таблица1[[#This Row],[8]:[19]],$I$5:$T$5,"Аренда")</f>
        <v>0</v>
      </c>
      <c r="I55" s="169"/>
      <c r="J55" s="169"/>
      <c r="K55" s="169">
        <v>131.5</v>
      </c>
      <c r="L55" s="169"/>
      <c r="M55" s="169"/>
      <c r="N55" s="169"/>
      <c r="O55" s="169"/>
      <c r="P55" s="169"/>
      <c r="Q55" s="169"/>
      <c r="R55" s="169"/>
      <c r="S55" s="169"/>
      <c r="T55" s="169"/>
      <c r="U55" s="170"/>
      <c r="V55" s="171"/>
    </row>
    <row r="56" spans="1:22" outlineLevel="1" collapsed="1" x14ac:dyDescent="0.25">
      <c r="A56" s="186">
        <f>SUMIFS(МКД!$A$6:$A$389,МКД!$D$6:$D$389,Таблица1[[#This Row],[2]])</f>
        <v>7</v>
      </c>
      <c r="B56" s="194">
        <f>SUMIFS(Таблица1[6],Таблица1[2],Таблица1[[#This Row],[2]])+SUMIFS(Таблица1[7],Таблица1[2],Таблица1[[#This Row],[2]])</f>
        <v>784.9</v>
      </c>
      <c r="C56" s="185" t="s">
        <v>558</v>
      </c>
      <c r="D56" s="167"/>
      <c r="E56" s="167"/>
      <c r="F56" s="167"/>
      <c r="G56" s="168"/>
      <c r="H56" s="194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70"/>
      <c r="V56" s="171"/>
    </row>
    <row r="57" spans="1:22" hidden="1" outlineLevel="2" collapsed="1" x14ac:dyDescent="0.25">
      <c r="A57" s="186">
        <f>SUMIFS(МКД!$A$6:$A$389,МКД!$D$6:$D$389,Таблица1[[#This Row],[2]])</f>
        <v>7</v>
      </c>
      <c r="B57" s="167"/>
      <c r="C57" s="182" t="s">
        <v>558</v>
      </c>
      <c r="D57" s="167" t="s">
        <v>1713</v>
      </c>
      <c r="E57" s="167" t="s">
        <v>828</v>
      </c>
      <c r="F57" s="167">
        <v>1</v>
      </c>
      <c r="G57" s="168">
        <f>SUMIFS(Таблица1[[#This Row],[8]:[19]],$I$5:$T$5,"Выкуп")</f>
        <v>683.8</v>
      </c>
      <c r="H57" s="168">
        <f>SUMIFS(Таблица1[[#This Row],[8]:[19]],$I$5:$T$5,"Аренда")</f>
        <v>0</v>
      </c>
      <c r="I57" s="169">
        <v>243.2</v>
      </c>
      <c r="J57" s="169"/>
      <c r="K57" s="169">
        <v>173.7</v>
      </c>
      <c r="L57" s="169"/>
      <c r="M57" s="169"/>
      <c r="N57" s="169"/>
      <c r="O57" s="169"/>
      <c r="P57" s="169"/>
      <c r="Q57" s="169"/>
      <c r="R57" s="169"/>
      <c r="S57" s="169">
        <v>266.89999999999998</v>
      </c>
      <c r="T57" s="169"/>
      <c r="U57" s="170"/>
      <c r="V57" s="171"/>
    </row>
    <row r="58" spans="1:22" hidden="1" outlineLevel="2" collapsed="1" x14ac:dyDescent="0.25">
      <c r="A58" s="186">
        <f>SUMIFS(МКД!$A$6:$A$389,МКД!$D$6:$D$389,Таблица1[[#This Row],[2]])</f>
        <v>7</v>
      </c>
      <c r="B58" s="167"/>
      <c r="C58" s="182" t="s">
        <v>558</v>
      </c>
      <c r="D58" s="167" t="s">
        <v>1593</v>
      </c>
      <c r="E58" s="273" t="s">
        <v>1724</v>
      </c>
      <c r="F58" s="167">
        <v>1</v>
      </c>
      <c r="G58" s="168">
        <f>SUMIFS(Таблица1[[#This Row],[8]:[19]],$I$5:$T$5,"Выкуп")</f>
        <v>101.1</v>
      </c>
      <c r="H58" s="168">
        <f>SUMIFS(Таблица1[[#This Row],[8]:[19]],$I$5:$T$5,"Аренда")</f>
        <v>0</v>
      </c>
      <c r="I58" s="169"/>
      <c r="J58" s="169"/>
      <c r="K58" s="169">
        <v>101.1</v>
      </c>
      <c r="L58" s="169"/>
      <c r="M58" s="169"/>
      <c r="N58" s="169"/>
      <c r="O58" s="169"/>
      <c r="P58" s="169"/>
      <c r="Q58" s="169"/>
      <c r="R58" s="169"/>
      <c r="S58" s="169"/>
      <c r="T58" s="169"/>
      <c r="U58" s="170"/>
      <c r="V58" s="171"/>
    </row>
    <row r="59" spans="1:22" outlineLevel="1" collapsed="1" x14ac:dyDescent="0.25">
      <c r="A59" s="186">
        <f>SUMIFS(МКД!$A$6:$A$389,МКД!$D$6:$D$389,Таблица1[[#This Row],[2]])</f>
        <v>8</v>
      </c>
      <c r="B59" s="194">
        <f>SUMIFS(Таблица1[6],Таблица1[2],Таблица1[[#This Row],[2]])+SUMIFS(Таблица1[7],Таблица1[2],Таблица1[[#This Row],[2]])</f>
        <v>0</v>
      </c>
      <c r="C59" s="185" t="s">
        <v>559</v>
      </c>
      <c r="D59" s="167"/>
      <c r="E59" s="167"/>
      <c r="F59" s="167"/>
      <c r="G59" s="168"/>
      <c r="H59" s="194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70"/>
      <c r="V59" s="171"/>
    </row>
    <row r="60" spans="1:22" hidden="1" outlineLevel="2" collapsed="1" x14ac:dyDescent="0.25">
      <c r="A60" s="186">
        <f>SUMIFS(МКД!$A$6:$A$389,МКД!$D$6:$D$389,Таблица1[[#This Row],[2]])</f>
        <v>8</v>
      </c>
      <c r="B60" s="170"/>
      <c r="C60" s="182" t="s">
        <v>559</v>
      </c>
      <c r="D60" s="167"/>
      <c r="E60" s="167"/>
      <c r="F60" s="167"/>
      <c r="G60" s="168">
        <f>SUMIFS(Таблица1[[#This Row],[8]:[19]],$I$5:$T$5,"Выкуп")</f>
        <v>0</v>
      </c>
      <c r="H60" s="168">
        <f>SUMIFS(Таблица1[[#This Row],[8]:[19]],$I$5:$T$5,"Аренда")</f>
        <v>0</v>
      </c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70"/>
      <c r="V60" s="171"/>
    </row>
    <row r="61" spans="1:22" s="19" customFormat="1" outlineLevel="1" collapsed="1" x14ac:dyDescent="0.25">
      <c r="A61" s="186">
        <f>SUMIFS(МКД!$A$6:$A$389,МКД!$D$6:$D$389,Таблица1[[#This Row],[2]])</f>
        <v>9</v>
      </c>
      <c r="B61" s="194">
        <f>SUMIFS(Таблица1[6],Таблица1[2],Таблица1[[#This Row],[2]])+SUMIFS(Таблица1[7],Таблица1[2],Таблица1[[#This Row],[2]])</f>
        <v>71.3</v>
      </c>
      <c r="C61" s="185" t="s">
        <v>560</v>
      </c>
      <c r="D61" s="167"/>
      <c r="E61" s="167"/>
      <c r="F61" s="167"/>
      <c r="G61" s="168"/>
      <c r="H61" s="194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70"/>
      <c r="V61" s="171"/>
    </row>
    <row r="62" spans="1:22" s="19" customFormat="1" hidden="1" outlineLevel="2" collapsed="1" x14ac:dyDescent="0.25">
      <c r="A62" s="186">
        <f>SUMIFS(МКД!$A$6:$A$389,МКД!$D$6:$D$389,Таблица1[[#This Row],[2]])</f>
        <v>9</v>
      </c>
      <c r="B62" s="167"/>
      <c r="C62" s="182" t="s">
        <v>560</v>
      </c>
      <c r="D62" s="167" t="s">
        <v>732</v>
      </c>
      <c r="E62" s="167" t="s">
        <v>4</v>
      </c>
      <c r="F62" s="167"/>
      <c r="G62" s="168">
        <f>SUMIFS(Таблица1[[#This Row],[8]:[19]],$I$5:$T$5,"Выкуп")</f>
        <v>0</v>
      </c>
      <c r="H62" s="168">
        <f>SUMIFS(Таблица1[[#This Row],[8]:[19]],$I$5:$T$5,"Аренда")</f>
        <v>16.2</v>
      </c>
      <c r="I62" s="169"/>
      <c r="J62" s="169"/>
      <c r="K62" s="167"/>
      <c r="L62" s="169">
        <v>16.2</v>
      </c>
      <c r="M62" s="169"/>
      <c r="N62" s="169"/>
      <c r="O62" s="169"/>
      <c r="P62" s="169"/>
      <c r="Q62" s="169"/>
      <c r="R62" s="169"/>
      <c r="S62" s="169"/>
      <c r="T62" s="169"/>
      <c r="U62" s="170"/>
      <c r="V62" s="171"/>
    </row>
    <row r="63" spans="1:22" s="19" customFormat="1" hidden="1" outlineLevel="2" collapsed="1" x14ac:dyDescent="0.25">
      <c r="A63" s="186">
        <f>SUMIFS(МКД!$A$6:$A$389,МКД!$D$6:$D$389,Таблица1[[#This Row],[2]])</f>
        <v>9</v>
      </c>
      <c r="B63" s="167"/>
      <c r="C63" s="182" t="s">
        <v>560</v>
      </c>
      <c r="D63" s="167" t="s">
        <v>1593</v>
      </c>
      <c r="E63" s="273" t="s">
        <v>1725</v>
      </c>
      <c r="F63" s="167"/>
      <c r="G63" s="168">
        <f>SUMIFS(Таблица1[[#This Row],[8]:[19]],$I$5:$T$5,"Выкуп")</f>
        <v>55.1</v>
      </c>
      <c r="H63" s="168">
        <f>SUMIFS(Таблица1[[#This Row],[8]:[19]],$I$5:$T$5,"Аренда")</f>
        <v>0</v>
      </c>
      <c r="I63" s="169"/>
      <c r="J63" s="169"/>
      <c r="K63" s="167">
        <v>55.1</v>
      </c>
      <c r="L63" s="169"/>
      <c r="M63" s="169"/>
      <c r="N63" s="169"/>
      <c r="O63" s="169"/>
      <c r="P63" s="169"/>
      <c r="Q63" s="169"/>
      <c r="R63" s="169"/>
      <c r="S63" s="169"/>
      <c r="T63" s="169"/>
      <c r="U63" s="170"/>
      <c r="V63" s="171"/>
    </row>
    <row r="64" spans="1:22" s="19" customFormat="1" outlineLevel="1" collapsed="1" x14ac:dyDescent="0.25">
      <c r="A64" s="186">
        <f>SUMIFS(МКД!$A$6:$A$389,МКД!$D$6:$D$389,Таблица1[[#This Row],[2]])</f>
        <v>10</v>
      </c>
      <c r="B64" s="194">
        <f>SUMIFS(Таблица1[6],Таблица1[2],Таблица1[[#This Row],[2]])+SUMIFS(Таблица1[7],Таблица1[2],Таблица1[[#This Row],[2]])</f>
        <v>0</v>
      </c>
      <c r="C64" s="185" t="s">
        <v>1140</v>
      </c>
      <c r="D64" s="167"/>
      <c r="E64" s="167"/>
      <c r="F64" s="167"/>
      <c r="G64" s="168"/>
      <c r="H64" s="194"/>
      <c r="I64" s="169"/>
      <c r="J64" s="169"/>
      <c r="K64" s="167"/>
      <c r="L64" s="169"/>
      <c r="M64" s="169"/>
      <c r="N64" s="169"/>
      <c r="O64" s="169"/>
      <c r="P64" s="169"/>
      <c r="Q64" s="169"/>
      <c r="R64" s="169"/>
      <c r="S64" s="169"/>
      <c r="T64" s="169"/>
      <c r="U64" s="170"/>
      <c r="V64" s="171"/>
    </row>
    <row r="65" spans="1:22" s="19" customFormat="1" hidden="1" outlineLevel="2" collapsed="1" x14ac:dyDescent="0.25">
      <c r="A65" s="186">
        <f>SUMIFS(МКД!$A$6:$A$389,МКД!$D$6:$D$389,Таблица1[[#This Row],[2]])</f>
        <v>10</v>
      </c>
      <c r="B65" s="167"/>
      <c r="C65" s="182" t="s">
        <v>1140</v>
      </c>
      <c r="D65" s="167"/>
      <c r="E65" s="167"/>
      <c r="F65" s="167"/>
      <c r="G65" s="168">
        <f>SUMIFS(Таблица1[[#This Row],[8]:[19]],$I$5:$T$5,"Выкуп")</f>
        <v>0</v>
      </c>
      <c r="H65" s="168">
        <f>SUMIFS(Таблица1[[#This Row],[8]:[19]],$I$5:$T$5,"Аренда")</f>
        <v>0</v>
      </c>
      <c r="I65" s="169"/>
      <c r="J65" s="169"/>
      <c r="K65" s="167"/>
      <c r="L65" s="169"/>
      <c r="M65" s="169"/>
      <c r="N65" s="169"/>
      <c r="O65" s="169"/>
      <c r="P65" s="169"/>
      <c r="Q65" s="169"/>
      <c r="R65" s="169"/>
      <c r="S65" s="169"/>
      <c r="T65" s="169"/>
      <c r="U65" s="170"/>
      <c r="V65" s="171"/>
    </row>
    <row r="66" spans="1:22" s="19" customFormat="1" outlineLevel="1" collapsed="1" x14ac:dyDescent="0.25">
      <c r="A66" s="186">
        <f>SUMIFS(МКД!$A$6:$A$389,МКД!$D$6:$D$389,Таблица1[[#This Row],[2]])</f>
        <v>23</v>
      </c>
      <c r="B66" s="194">
        <f>SUMIFS(Таблица1[6],Таблица1[2],Таблица1[[#This Row],[2]])+SUMIFS(Таблица1[7],Таблица1[2],Таблица1[[#This Row],[2]])</f>
        <v>272.8</v>
      </c>
      <c r="C66" s="185" t="s">
        <v>351</v>
      </c>
      <c r="D66" s="167"/>
      <c r="E66" s="167"/>
      <c r="F66" s="167"/>
      <c r="G66" s="168"/>
      <c r="H66" s="194"/>
      <c r="I66" s="169"/>
      <c r="J66" s="169"/>
      <c r="K66" s="167"/>
      <c r="L66" s="169"/>
      <c r="M66" s="169"/>
      <c r="N66" s="169"/>
      <c r="O66" s="169"/>
      <c r="P66" s="169"/>
      <c r="Q66" s="169"/>
      <c r="R66" s="169"/>
      <c r="S66" s="169"/>
      <c r="T66" s="169"/>
      <c r="U66" s="170"/>
      <c r="V66" s="171"/>
    </row>
    <row r="67" spans="1:22" s="19" customFormat="1" hidden="1" outlineLevel="2" collapsed="1" x14ac:dyDescent="0.25">
      <c r="A67" s="186">
        <f>SUMIFS(МКД!$A$6:$A$389,МКД!$D$6:$D$389,Таблица1[[#This Row],[2]])</f>
        <v>23</v>
      </c>
      <c r="B67" s="167"/>
      <c r="C67" s="182" t="s">
        <v>351</v>
      </c>
      <c r="D67" s="167" t="s">
        <v>96</v>
      </c>
      <c r="E67" s="167" t="s">
        <v>218</v>
      </c>
      <c r="F67" s="167"/>
      <c r="G67" s="168">
        <f>SUMIFS(Таблица1[[#This Row],[8]:[19]],$I$5:$T$5,"Выкуп")</f>
        <v>56.5</v>
      </c>
      <c r="H67" s="168">
        <f>SUMIFS(Таблица1[[#This Row],[8]:[19]],$I$5:$T$5,"Аренда")</f>
        <v>0</v>
      </c>
      <c r="I67" s="169">
        <v>56.5</v>
      </c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70"/>
      <c r="V67" s="171"/>
    </row>
    <row r="68" spans="1:22" s="19" customFormat="1" hidden="1" outlineLevel="2" collapsed="1" x14ac:dyDescent="0.25">
      <c r="A68" s="186">
        <f>SUMIFS(МКД!$A$6:$A$389,МКД!$D$6:$D$389,Таблица1[[#This Row],[2]])</f>
        <v>23</v>
      </c>
      <c r="B68" s="167"/>
      <c r="C68" s="182" t="s">
        <v>351</v>
      </c>
      <c r="D68" s="167" t="s">
        <v>1053</v>
      </c>
      <c r="E68" s="167" t="s">
        <v>2752</v>
      </c>
      <c r="F68" s="167"/>
      <c r="G68" s="168">
        <f>SUMIFS(Таблица1[[#This Row],[8]:[19]],$I$5:$T$5,"Выкуп")</f>
        <v>216.3</v>
      </c>
      <c r="H68" s="168">
        <f>SUMIFS(Таблица1[[#This Row],[8]:[19]],$I$5:$T$5,"Аренда")</f>
        <v>0</v>
      </c>
      <c r="I68" s="169"/>
      <c r="J68" s="169"/>
      <c r="K68" s="169"/>
      <c r="L68" s="169"/>
      <c r="M68" s="278">
        <v>216.3</v>
      </c>
      <c r="N68" s="169"/>
      <c r="O68" s="169"/>
      <c r="P68" s="169"/>
      <c r="Q68" s="169"/>
      <c r="R68" s="169"/>
      <c r="S68" s="169"/>
      <c r="T68" s="169"/>
      <c r="U68" s="170"/>
      <c r="V68" s="171"/>
    </row>
    <row r="69" spans="1:22" outlineLevel="1" collapsed="1" x14ac:dyDescent="0.25">
      <c r="A69" s="186">
        <f>SUMIFS(МКД!$A$6:$A$389,МКД!$D$6:$D$389,Таблица1[[#This Row],[2]])</f>
        <v>24</v>
      </c>
      <c r="B69" s="194">
        <f>SUMIFS(Таблица1[6],Таблица1[2],Таблица1[[#This Row],[2]])+SUMIFS(Таблица1[7],Таблица1[2],Таблица1[[#This Row],[2]])</f>
        <v>262.10000000000002</v>
      </c>
      <c r="C69" s="185" t="s">
        <v>429</v>
      </c>
      <c r="D69" s="167"/>
      <c r="E69" s="167"/>
      <c r="F69" s="167"/>
      <c r="G69" s="168"/>
      <c r="H69" s="194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70"/>
      <c r="V69" s="171"/>
    </row>
    <row r="70" spans="1:22" s="19" customFormat="1" hidden="1" outlineLevel="2" collapsed="1" x14ac:dyDescent="0.25">
      <c r="A70" s="186">
        <f>SUMIFS(МКД!$A$6:$A$389,МКД!$D$6:$D$389,Таблица1[[#This Row],[2]])</f>
        <v>24</v>
      </c>
      <c r="B70" s="167"/>
      <c r="C70" s="182" t="s">
        <v>429</v>
      </c>
      <c r="D70" s="167" t="s">
        <v>1457</v>
      </c>
      <c r="E70" s="167" t="s">
        <v>1039</v>
      </c>
      <c r="F70" s="167">
        <v>1</v>
      </c>
      <c r="G70" s="168">
        <f>SUMIFS(Таблица1[[#This Row],[8]:[19]],$I$5:$T$5,"Выкуп")</f>
        <v>52.2</v>
      </c>
      <c r="H70" s="168">
        <f>SUMIFS(Таблица1[[#This Row],[8]:[19]],$I$5:$T$5,"Аренда")</f>
        <v>0</v>
      </c>
      <c r="I70" s="169">
        <v>52.2</v>
      </c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70"/>
      <c r="V70" s="171"/>
    </row>
    <row r="71" spans="1:22" s="19" customFormat="1" hidden="1" outlineLevel="2" collapsed="1" x14ac:dyDescent="0.25">
      <c r="A71" s="186">
        <f>SUMIFS(МКД!$A$6:$A$389,МКД!$D$6:$D$389,Таблица1[[#This Row],[2]])</f>
        <v>24</v>
      </c>
      <c r="B71" s="167"/>
      <c r="C71" s="182" t="s">
        <v>429</v>
      </c>
      <c r="D71" s="167" t="s">
        <v>1053</v>
      </c>
      <c r="E71" s="167" t="s">
        <v>2827</v>
      </c>
      <c r="F71" s="167">
        <v>1</v>
      </c>
      <c r="G71" s="168">
        <f>SUMIFS(Таблица1[[#This Row],[8]:[19]],$I$5:$T$5,"Выкуп")</f>
        <v>209.9</v>
      </c>
      <c r="H71" s="168">
        <f>SUMIFS(Таблица1[[#This Row],[8]:[19]],$I$5:$T$5,"Аренда")</f>
        <v>0</v>
      </c>
      <c r="I71" s="169"/>
      <c r="J71" s="169"/>
      <c r="K71" s="169"/>
      <c r="L71" s="169"/>
      <c r="M71" s="169">
        <v>209.9</v>
      </c>
      <c r="N71" s="169"/>
      <c r="O71" s="169"/>
      <c r="P71" s="169"/>
      <c r="Q71" s="169"/>
      <c r="R71" s="169"/>
      <c r="S71" s="169"/>
      <c r="T71" s="169"/>
      <c r="U71" s="170"/>
      <c r="V71" s="171"/>
    </row>
    <row r="72" spans="1:22" hidden="1" outlineLevel="2" collapsed="1" x14ac:dyDescent="0.25">
      <c r="A72" s="186">
        <f>SUMIFS(МКД!$A$6:$A$389,МКД!$D$6:$D$389,Таблица1[[#This Row],[2]])</f>
        <v>26</v>
      </c>
      <c r="B72" s="167"/>
      <c r="C72" s="182" t="s">
        <v>1141</v>
      </c>
      <c r="D72" s="167"/>
      <c r="E72" s="167"/>
      <c r="F72" s="167"/>
      <c r="G72" s="168">
        <f>SUMIFS(Таблица1[[#This Row],[8]:[19]],$I$5:$T$5,"Выкуп")</f>
        <v>0</v>
      </c>
      <c r="H72" s="168">
        <f>SUMIFS(Таблица1[[#This Row],[8]:[19]],$I$5:$T$5,"Аренда")</f>
        <v>0</v>
      </c>
      <c r="I72" s="169"/>
      <c r="J72" s="169"/>
      <c r="K72" s="167"/>
      <c r="L72" s="169"/>
      <c r="M72" s="169"/>
      <c r="N72" s="169"/>
      <c r="O72" s="169"/>
      <c r="P72" s="169"/>
      <c r="Q72" s="169"/>
      <c r="R72" s="169"/>
      <c r="S72" s="169"/>
      <c r="T72" s="169"/>
      <c r="U72" s="170"/>
      <c r="V72" s="171"/>
    </row>
    <row r="73" spans="1:22" outlineLevel="1" collapsed="1" x14ac:dyDescent="0.25">
      <c r="A73" s="186">
        <f>SUMIFS(МКД!$A$6:$A$389,МКД!$D$6:$D$389,Таблица1[[#This Row],[2]])</f>
        <v>25</v>
      </c>
      <c r="B73" s="194">
        <f>SUMIFS(Таблица1[6],Таблица1[2],Таблица1[[#This Row],[2]])+SUMIFS(Таблица1[7],Таблица1[2],Таблица1[[#This Row],[2]])</f>
        <v>256.3</v>
      </c>
      <c r="C73" s="185" t="s">
        <v>352</v>
      </c>
      <c r="D73" s="167"/>
      <c r="E73" s="167"/>
      <c r="F73" s="167"/>
      <c r="G73" s="168"/>
      <c r="H73" s="194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0"/>
      <c r="V73" s="171"/>
    </row>
    <row r="74" spans="1:22" hidden="1" outlineLevel="2" x14ac:dyDescent="0.25">
      <c r="A74" s="186">
        <f>SUMIFS(МКД!$A$6:$A$389,МКД!$D$6:$D$389,Таблица1[[#This Row],[2]])</f>
        <v>25</v>
      </c>
      <c r="B74" s="167"/>
      <c r="C74" s="182" t="s">
        <v>352</v>
      </c>
      <c r="D74" s="167" t="s">
        <v>733</v>
      </c>
      <c r="E74" s="167" t="s">
        <v>1179</v>
      </c>
      <c r="F74" s="167">
        <v>1</v>
      </c>
      <c r="G74" s="168">
        <f>SUMIFS(Таблица1[[#This Row],[8]:[19]],$I$5:$T$5,"Выкуп")</f>
        <v>60.3</v>
      </c>
      <c r="H74" s="168">
        <f>SUMIFS(Таблица1[[#This Row],[8]:[19]],$I$5:$T$5,"Аренда")</f>
        <v>0</v>
      </c>
      <c r="I74" s="169">
        <v>60.3</v>
      </c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70"/>
      <c r="V74" s="171"/>
    </row>
    <row r="75" spans="1:22" hidden="1" outlineLevel="2" x14ac:dyDescent="0.25">
      <c r="A75" s="186">
        <f>SUMIFS(МКД!$A$6:$A$389,МКД!$D$6:$D$389,Таблица1[[#This Row],[2]])</f>
        <v>25</v>
      </c>
      <c r="B75" s="168"/>
      <c r="C75" s="182" t="s">
        <v>352</v>
      </c>
      <c r="D75" s="167" t="s">
        <v>734</v>
      </c>
      <c r="E75" s="167" t="s">
        <v>1178</v>
      </c>
      <c r="F75" s="167">
        <v>1</v>
      </c>
      <c r="G75" s="168">
        <f>SUMIFS(Таблица1[[#This Row],[8]:[19]],$I$5:$T$5,"Выкуп")</f>
        <v>104.4</v>
      </c>
      <c r="H75" s="168">
        <f>SUMIFS(Таблица1[[#This Row],[8]:[19]],$I$5:$T$5,"Аренда")</f>
        <v>0</v>
      </c>
      <c r="I75" s="169">
        <v>104.4</v>
      </c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70"/>
      <c r="V75" s="171"/>
    </row>
    <row r="76" spans="1:22" hidden="1" outlineLevel="2" x14ac:dyDescent="0.25">
      <c r="A76" s="186">
        <f>SUMIFS(МКД!$A$6:$A$389,МКД!$D$6:$D$389,Таблица1[[#This Row],[2]])</f>
        <v>25</v>
      </c>
      <c r="B76" s="168"/>
      <c r="C76" s="182" t="s">
        <v>352</v>
      </c>
      <c r="D76" s="167" t="s">
        <v>735</v>
      </c>
      <c r="E76" s="167" t="s">
        <v>1175</v>
      </c>
      <c r="F76" s="167">
        <v>1</v>
      </c>
      <c r="G76" s="168">
        <f>SUMIFS(Таблица1[[#This Row],[8]:[19]],$I$5:$T$5,"Выкуп")</f>
        <v>31</v>
      </c>
      <c r="H76" s="168">
        <f>SUMIFS(Таблица1[[#This Row],[8]:[19]],$I$5:$T$5,"Аренда")</f>
        <v>0</v>
      </c>
      <c r="I76" s="169">
        <v>31</v>
      </c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70"/>
      <c r="V76" s="171"/>
    </row>
    <row r="77" spans="1:22" hidden="1" outlineLevel="2" x14ac:dyDescent="0.25">
      <c r="A77" s="186">
        <f>SUMIFS(МКД!$A$6:$A$389,МКД!$D$6:$D$389,Таблица1[[#This Row],[2]])</f>
        <v>25</v>
      </c>
      <c r="B77" s="168"/>
      <c r="C77" s="182" t="s">
        <v>352</v>
      </c>
      <c r="D77" s="167" t="s">
        <v>1922</v>
      </c>
      <c r="E77" s="167" t="s">
        <v>1176</v>
      </c>
      <c r="F77" s="167">
        <v>1</v>
      </c>
      <c r="G77" s="168">
        <f>SUMIFS(Таблица1[[#This Row],[8]:[19]],$I$5:$T$5,"Выкуп")</f>
        <v>29.3</v>
      </c>
      <c r="H77" s="168">
        <f>SUMIFS(Таблица1[[#This Row],[8]:[19]],$I$5:$T$5,"Аренда")</f>
        <v>0</v>
      </c>
      <c r="I77" s="169">
        <v>29.3</v>
      </c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70"/>
      <c r="V77" s="171"/>
    </row>
    <row r="78" spans="1:22" hidden="1" outlineLevel="2" collapsed="1" x14ac:dyDescent="0.25">
      <c r="A78" s="186">
        <f>SUMIFS(МКД!$A$6:$A$389,МКД!$D$6:$D$389,Таблица1[[#This Row],[2]])</f>
        <v>25</v>
      </c>
      <c r="B78" s="168"/>
      <c r="C78" s="182" t="s">
        <v>352</v>
      </c>
      <c r="D78" s="167" t="s">
        <v>736</v>
      </c>
      <c r="E78" s="167" t="s">
        <v>1177</v>
      </c>
      <c r="F78" s="167">
        <v>1</v>
      </c>
      <c r="G78" s="168">
        <f>SUMIFS(Таблица1[[#This Row],[8]:[19]],$I$5:$T$5,"Выкуп")</f>
        <v>31.3</v>
      </c>
      <c r="H78" s="168">
        <f>SUMIFS(Таблица1[[#This Row],[8]:[19]],$I$5:$T$5,"Аренда")</f>
        <v>0</v>
      </c>
      <c r="I78" s="169">
        <v>31.3</v>
      </c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70"/>
      <c r="V78" s="171"/>
    </row>
    <row r="79" spans="1:22" outlineLevel="1" collapsed="1" x14ac:dyDescent="0.25">
      <c r="A79" s="186">
        <f>SUMIFS(МКД!$A$6:$A$389,МКД!$D$6:$D$389,Таблица1[[#This Row],[2]])</f>
        <v>11</v>
      </c>
      <c r="B79" s="194">
        <f>SUMIFS(Таблица1[6],Таблица1[2],Таблица1[[#This Row],[2]])+SUMIFS(Таблица1[7],Таблица1[2],Таблица1[[#This Row],[2]])</f>
        <v>295.2</v>
      </c>
      <c r="C79" s="185" t="s">
        <v>353</v>
      </c>
      <c r="D79" s="167"/>
      <c r="E79" s="167"/>
      <c r="F79" s="167"/>
      <c r="G79" s="168"/>
      <c r="H79" s="194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70"/>
      <c r="V79" s="171"/>
    </row>
    <row r="80" spans="1:22" hidden="1" outlineLevel="2" x14ac:dyDescent="0.25">
      <c r="A80" s="186">
        <f>SUMIFS(МКД!$A$6:$A$389,МКД!$D$6:$D$389,Таблица1[[#This Row],[2]])</f>
        <v>11</v>
      </c>
      <c r="B80" s="167"/>
      <c r="C80" s="182" t="s">
        <v>353</v>
      </c>
      <c r="D80" s="167" t="s">
        <v>737</v>
      </c>
      <c r="E80" s="167" t="s">
        <v>1181</v>
      </c>
      <c r="F80" s="167">
        <v>1</v>
      </c>
      <c r="G80" s="168">
        <f>SUMIFS(Таблица1[[#This Row],[8]:[19]],$I$5:$T$5,"Выкуп")</f>
        <v>154.30000000000001</v>
      </c>
      <c r="H80" s="168">
        <f>SUMIFS(Таблица1[[#This Row],[8]:[19]],$I$5:$T$5,"Аренда")</f>
        <v>0</v>
      </c>
      <c r="I80" s="169">
        <v>154.30000000000001</v>
      </c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70"/>
      <c r="V80" s="171"/>
    </row>
    <row r="81" spans="1:22" hidden="1" outlineLevel="2" x14ac:dyDescent="0.25">
      <c r="A81" s="186">
        <f>SUMIFS(МКД!$A$6:$A$389,МКД!$D$6:$D$389,Таблица1[[#This Row],[2]])</f>
        <v>11</v>
      </c>
      <c r="B81" s="168"/>
      <c r="C81" s="182" t="s">
        <v>353</v>
      </c>
      <c r="D81" s="167" t="s">
        <v>737</v>
      </c>
      <c r="E81" s="167" t="s">
        <v>2</v>
      </c>
      <c r="F81" s="167">
        <v>1</v>
      </c>
      <c r="G81" s="168">
        <f>SUMIFS(Таблица1[[#This Row],[8]:[19]],$I$5:$T$5,"Выкуп")</f>
        <v>0</v>
      </c>
      <c r="H81" s="168">
        <f>SUMIFS(Таблица1[[#This Row],[8]:[19]],$I$5:$T$5,"Аренда")</f>
        <v>14.4</v>
      </c>
      <c r="I81" s="169"/>
      <c r="J81" s="169"/>
      <c r="K81" s="169"/>
      <c r="L81" s="169"/>
      <c r="M81" s="169"/>
      <c r="N81" s="169"/>
      <c r="O81" s="167"/>
      <c r="P81" s="169">
        <v>14.4</v>
      </c>
      <c r="Q81" s="169"/>
      <c r="R81" s="169"/>
      <c r="S81" s="169"/>
      <c r="T81" s="169"/>
      <c r="U81" s="170"/>
      <c r="V81" s="171"/>
    </row>
    <row r="82" spans="1:22" hidden="1" outlineLevel="2" x14ac:dyDescent="0.25">
      <c r="A82" s="186">
        <f>SUMIFS(МКД!$A$6:$A$389,МКД!$D$6:$D$389,Таблица1[[#This Row],[2]])</f>
        <v>11</v>
      </c>
      <c r="B82" s="168"/>
      <c r="C82" s="182" t="s">
        <v>353</v>
      </c>
      <c r="D82" s="167" t="s">
        <v>738</v>
      </c>
      <c r="E82" s="167" t="s">
        <v>739</v>
      </c>
      <c r="F82" s="167">
        <v>1</v>
      </c>
      <c r="G82" s="168">
        <f>SUMIFS(Таблица1[[#This Row],[8]:[19]],$I$5:$T$5,"Выкуп")</f>
        <v>0</v>
      </c>
      <c r="H82" s="168">
        <f>SUMIFS(Таблица1[[#This Row],[8]:[19]],$I$5:$T$5,"Аренда")</f>
        <v>8.6</v>
      </c>
      <c r="I82" s="169"/>
      <c r="J82" s="169"/>
      <c r="K82" s="169"/>
      <c r="L82" s="169"/>
      <c r="M82" s="169"/>
      <c r="N82" s="169"/>
      <c r="O82" s="167"/>
      <c r="P82" s="169">
        <v>8.6</v>
      </c>
      <c r="Q82" s="169"/>
      <c r="R82" s="169"/>
      <c r="S82" s="169"/>
      <c r="T82" s="169"/>
      <c r="U82" s="170"/>
      <c r="V82" s="171"/>
    </row>
    <row r="83" spans="1:22" hidden="1" outlineLevel="2" x14ac:dyDescent="0.25">
      <c r="A83" s="186">
        <f>SUMIFS(МКД!$A$6:$A$389,МКД!$D$6:$D$389,Таблица1[[#This Row],[2]])</f>
        <v>11</v>
      </c>
      <c r="B83" s="168"/>
      <c r="C83" s="182" t="s">
        <v>353</v>
      </c>
      <c r="D83" s="167" t="s">
        <v>1593</v>
      </c>
      <c r="E83" s="273" t="s">
        <v>1726</v>
      </c>
      <c r="F83" s="167">
        <v>1</v>
      </c>
      <c r="G83" s="168">
        <f>SUMIFS(Таблица1[[#This Row],[8]:[19]],$I$5:$T$5,"Выкуп")</f>
        <v>68.599999999999994</v>
      </c>
      <c r="H83" s="168">
        <f>SUMIFS(Таблица1[[#This Row],[8]:[19]],$I$5:$T$5,"Аренда")</f>
        <v>0</v>
      </c>
      <c r="I83" s="169"/>
      <c r="J83" s="169"/>
      <c r="K83" s="169">
        <v>68.599999999999994</v>
      </c>
      <c r="L83" s="169"/>
      <c r="M83" s="169"/>
      <c r="N83" s="169"/>
      <c r="O83" s="167"/>
      <c r="P83" s="169"/>
      <c r="Q83" s="169"/>
      <c r="R83" s="169"/>
      <c r="S83" s="169"/>
      <c r="T83" s="169"/>
      <c r="U83" s="170"/>
      <c r="V83" s="171"/>
    </row>
    <row r="84" spans="1:22" hidden="1" outlineLevel="2" collapsed="1" x14ac:dyDescent="0.25">
      <c r="A84" s="186">
        <f>SUMIFS(МКД!$A$6:$A$389,МКД!$D$6:$D$389,Таблица1[[#This Row],[2]])</f>
        <v>11</v>
      </c>
      <c r="B84" s="168"/>
      <c r="C84" s="182" t="s">
        <v>353</v>
      </c>
      <c r="D84" s="167" t="s">
        <v>1496</v>
      </c>
      <c r="E84" s="167" t="s">
        <v>1476</v>
      </c>
      <c r="F84" s="167">
        <v>1</v>
      </c>
      <c r="G84" s="168">
        <f>SUMIFS(Таблица1[[#This Row],[8]:[19]],$I$5:$T$5,"Выкуп")</f>
        <v>49.3</v>
      </c>
      <c r="H84" s="168">
        <f>SUMIFS(Таблица1[[#This Row],[8]:[19]],$I$5:$T$5,"Аренда")</f>
        <v>0</v>
      </c>
      <c r="I84" s="169"/>
      <c r="J84" s="169"/>
      <c r="K84" s="169">
        <v>49.3</v>
      </c>
      <c r="L84" s="169"/>
      <c r="M84" s="169"/>
      <c r="N84" s="169"/>
      <c r="O84" s="169"/>
      <c r="P84" s="169"/>
      <c r="Q84" s="169"/>
      <c r="R84" s="169"/>
      <c r="S84" s="169"/>
      <c r="T84" s="169"/>
      <c r="U84" s="170"/>
      <c r="V84" s="171"/>
    </row>
    <row r="85" spans="1:22" s="19" customFormat="1" outlineLevel="1" collapsed="1" x14ac:dyDescent="0.25">
      <c r="A85" s="186">
        <f>SUMIFS(МКД!$A$6:$A$389,МКД!$D$6:$D$389,Таблица1[[#This Row],[2]])</f>
        <v>12</v>
      </c>
      <c r="B85" s="194">
        <f>SUMIFS(Таблица1[6],Таблица1[2],Таблица1[[#This Row],[2]])+SUMIFS(Таблица1[7],Таблица1[2],Таблица1[[#This Row],[2]])</f>
        <v>272.3</v>
      </c>
      <c r="C85" s="185" t="s">
        <v>430</v>
      </c>
      <c r="D85" s="167"/>
      <c r="E85" s="167"/>
      <c r="F85" s="167"/>
      <c r="G85" s="168"/>
      <c r="H85" s="194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70"/>
      <c r="V85" s="171"/>
    </row>
    <row r="86" spans="1:22" s="19" customFormat="1" hidden="1" outlineLevel="2" collapsed="1" x14ac:dyDescent="0.25">
      <c r="A86" s="186">
        <f>SUMIFS(МКД!$A$6:$A$389,МКД!$D$6:$D$389,Таблица1[[#This Row],[2]])</f>
        <v>12</v>
      </c>
      <c r="B86" s="167"/>
      <c r="C86" s="182" t="s">
        <v>430</v>
      </c>
      <c r="D86" s="167" t="s">
        <v>740</v>
      </c>
      <c r="E86" s="167" t="s">
        <v>741</v>
      </c>
      <c r="F86" s="167">
        <v>1</v>
      </c>
      <c r="G86" s="168">
        <f>SUMIFS(Таблица1[[#This Row],[8]:[19]],$I$5:$T$5,"Выкуп")</f>
        <v>68.400000000000006</v>
      </c>
      <c r="H86" s="168">
        <f>SUMIFS(Таблица1[[#This Row],[8]:[19]],$I$5:$T$5,"Аренда")</f>
        <v>0</v>
      </c>
      <c r="I86" s="169">
        <v>68.400000000000006</v>
      </c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70"/>
      <c r="V86" s="171"/>
    </row>
    <row r="87" spans="1:22" s="19" customFormat="1" hidden="1" outlineLevel="2" collapsed="1" x14ac:dyDescent="0.25">
      <c r="A87" s="186">
        <f>SUMIFS(МКД!$A$6:$A$389,МКД!$D$6:$D$389,Таблица1[[#This Row],[2]])</f>
        <v>12</v>
      </c>
      <c r="B87" s="167"/>
      <c r="C87" s="182" t="s">
        <v>430</v>
      </c>
      <c r="D87" s="167" t="s">
        <v>1053</v>
      </c>
      <c r="E87" s="167" t="s">
        <v>2827</v>
      </c>
      <c r="F87" s="167">
        <v>1</v>
      </c>
      <c r="G87" s="168">
        <f>SUMIFS(Таблица1[[#This Row],[8]:[19]],$I$5:$T$5,"Выкуп")</f>
        <v>203.9</v>
      </c>
      <c r="H87" s="168">
        <f>SUMIFS(Таблица1[[#This Row],[8]:[19]],$I$5:$T$5,"Аренда")</f>
        <v>0</v>
      </c>
      <c r="I87" s="169"/>
      <c r="J87" s="169"/>
      <c r="K87" s="169"/>
      <c r="L87" s="169"/>
      <c r="M87" s="169">
        <v>203.9</v>
      </c>
      <c r="N87" s="169"/>
      <c r="O87" s="169"/>
      <c r="P87" s="169"/>
      <c r="Q87" s="169"/>
      <c r="R87" s="169"/>
      <c r="S87" s="169"/>
      <c r="T87" s="169"/>
      <c r="U87" s="170"/>
      <c r="V87" s="171"/>
    </row>
    <row r="88" spans="1:22" outlineLevel="1" collapsed="1" x14ac:dyDescent="0.25">
      <c r="A88" s="186">
        <f>SUMIFS(МКД!$A$6:$A$389,МКД!$D$6:$D$389,Таблица1[[#This Row],[2]])</f>
        <v>13</v>
      </c>
      <c r="B88" s="194">
        <f>SUMIFS(Таблица1[6],Таблица1[2],Таблица1[[#This Row],[2]])+SUMIFS(Таблица1[7],Таблица1[2],Таблица1[[#This Row],[2]])</f>
        <v>395.3</v>
      </c>
      <c r="C88" s="185" t="s">
        <v>497</v>
      </c>
      <c r="D88" s="167"/>
      <c r="E88" s="167"/>
      <c r="F88" s="167"/>
      <c r="G88" s="168"/>
      <c r="H88" s="194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70"/>
      <c r="V88" s="171"/>
    </row>
    <row r="89" spans="1:22" outlineLevel="2" x14ac:dyDescent="0.25">
      <c r="A89" s="186">
        <f>SUMIFS(МКД!$A$6:$A$389,МКД!$D$6:$D$389,Таблица1[[#This Row],[2]])</f>
        <v>13</v>
      </c>
      <c r="B89" s="167"/>
      <c r="C89" s="182" t="s">
        <v>497</v>
      </c>
      <c r="D89" s="167" t="s">
        <v>2841</v>
      </c>
      <c r="E89" s="167" t="s">
        <v>2599</v>
      </c>
      <c r="F89" s="319">
        <v>1</v>
      </c>
      <c r="G89" s="320">
        <f>SUMIFS(Таблица1[[#This Row],[8]:[19]],$I$5:$T$5,"Выкуп")</f>
        <v>145.30000000000001</v>
      </c>
      <c r="H89" s="320">
        <f>SUMIFS(Таблица1[[#This Row],[8]:[19]],$I$5:$T$5,"Аренда")</f>
        <v>0</v>
      </c>
      <c r="I89" s="278"/>
      <c r="J89" s="278"/>
      <c r="K89" s="278"/>
      <c r="L89" s="278"/>
      <c r="M89" s="278">
        <v>106.9</v>
      </c>
      <c r="N89" s="278"/>
      <c r="O89" s="278">
        <v>38.4</v>
      </c>
      <c r="P89" s="169"/>
      <c r="Q89" s="169"/>
      <c r="R89" s="169"/>
      <c r="S89" s="169"/>
      <c r="T89" s="169"/>
      <c r="U89" s="170"/>
      <c r="V89" s="171"/>
    </row>
    <row r="90" spans="1:22" outlineLevel="2" x14ac:dyDescent="0.25">
      <c r="A90" s="186">
        <f>SUMIFS(МКД!$A$6:$A$389,МКД!$D$6:$D$389,Таблица1[[#This Row],[2]])</f>
        <v>13</v>
      </c>
      <c r="B90" s="168"/>
      <c r="C90" s="182" t="s">
        <v>497</v>
      </c>
      <c r="D90" s="167" t="s">
        <v>1653</v>
      </c>
      <c r="E90" s="167" t="s">
        <v>1182</v>
      </c>
      <c r="F90" s="167">
        <v>1</v>
      </c>
      <c r="G90" s="168">
        <f>SUMIFS(Таблица1[[#This Row],[8]:[19]],$I$5:$T$5,"Выкуп")</f>
        <v>75.099999999999994</v>
      </c>
      <c r="H90" s="168">
        <f>SUMIFS(Таблица1[[#This Row],[8]:[19]],$I$5:$T$5,"Аренда")</f>
        <v>0</v>
      </c>
      <c r="I90" s="169">
        <v>75.099999999999994</v>
      </c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70"/>
      <c r="V90" s="171"/>
    </row>
    <row r="91" spans="1:22" outlineLevel="2" x14ac:dyDescent="0.25">
      <c r="A91" s="186">
        <f>SUMIFS(МКД!$A$6:$A$389,МКД!$D$6:$D$389,Таблица1[[#This Row],[2]])</f>
        <v>13</v>
      </c>
      <c r="B91" s="168"/>
      <c r="C91" s="182" t="s">
        <v>497</v>
      </c>
      <c r="D91" s="167" t="s">
        <v>744</v>
      </c>
      <c r="E91" s="167" t="s">
        <v>913</v>
      </c>
      <c r="F91" s="167">
        <v>1</v>
      </c>
      <c r="G91" s="168">
        <f>SUMIFS(Таблица1[[#This Row],[8]:[19]],$I$5:$T$5,"Выкуп")</f>
        <v>127.6</v>
      </c>
      <c r="H91" s="168">
        <f>SUMIFS(Таблица1[[#This Row],[8]:[19]],$I$5:$T$5,"Аренда")</f>
        <v>0</v>
      </c>
      <c r="I91" s="169">
        <v>127.6</v>
      </c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70"/>
      <c r="V91" s="171"/>
    </row>
    <row r="92" spans="1:22" outlineLevel="2" collapsed="1" x14ac:dyDescent="0.25">
      <c r="A92" s="186">
        <f>SUMIFS(МКД!$A$6:$A$389,МКД!$D$6:$D$389,Таблица1[[#This Row],[2]])</f>
        <v>13</v>
      </c>
      <c r="B92" s="168"/>
      <c r="C92" s="182" t="s">
        <v>497</v>
      </c>
      <c r="D92" s="167" t="s">
        <v>2777</v>
      </c>
      <c r="E92" s="167" t="s">
        <v>900</v>
      </c>
      <c r="F92" s="167">
        <v>1</v>
      </c>
      <c r="G92" s="168">
        <f>SUMIFS(Таблица1[[#This Row],[8]:[19]],$I$5:$T$5,"Выкуп")</f>
        <v>47.3</v>
      </c>
      <c r="H92" s="168">
        <f>SUMIFS(Таблица1[[#This Row],[8]:[19]],$I$5:$T$5,"Аренда")</f>
        <v>0</v>
      </c>
      <c r="I92" s="169">
        <v>47.3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70"/>
      <c r="V92" s="171"/>
    </row>
    <row r="93" spans="1:22" outlineLevel="1" x14ac:dyDescent="0.25">
      <c r="A93" s="186">
        <f>SUMIFS(МКД!$A$6:$A$389,МКД!$D$6:$D$389,Таблица1[[#This Row],[2]])</f>
        <v>14</v>
      </c>
      <c r="B93" s="194">
        <f>SUMIFS(Таблица1[6],Таблица1[2],Таблица1[[#This Row],[2]])+SUMIFS(Таблица1[7],Таблица1[2],Таблица1[[#This Row],[2]])</f>
        <v>645.5</v>
      </c>
      <c r="C93" s="185" t="s">
        <v>431</v>
      </c>
      <c r="D93" s="167"/>
      <c r="E93" s="167"/>
      <c r="F93" s="167"/>
      <c r="G93" s="168"/>
      <c r="H93" s="194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70"/>
      <c r="V93" s="171"/>
    </row>
    <row r="94" spans="1:22" hidden="1" outlineLevel="2" x14ac:dyDescent="0.25">
      <c r="A94" s="186">
        <f>SUMIFS(МКД!$A$6:$A$389,МКД!$D$6:$D$389,Таблица1[[#This Row],[2]])</f>
        <v>14</v>
      </c>
      <c r="B94" s="167"/>
      <c r="C94" s="182" t="s">
        <v>431</v>
      </c>
      <c r="D94" s="167" t="s">
        <v>1537</v>
      </c>
      <c r="E94" s="167" t="s">
        <v>1818</v>
      </c>
      <c r="F94" s="167">
        <v>1</v>
      </c>
      <c r="G94" s="168">
        <f>SUMIFS(Таблица1[[#This Row],[8]:[19]],$I$5:$T$5,"Выкуп")</f>
        <v>254.1</v>
      </c>
      <c r="H94" s="168">
        <f>SUMIFS(Таблица1[[#This Row],[8]:[19]],$I$5:$T$5,"Аренда")</f>
        <v>0</v>
      </c>
      <c r="I94" s="169">
        <v>254.1</v>
      </c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70"/>
      <c r="V94" s="171"/>
    </row>
    <row r="95" spans="1:22" hidden="1" outlineLevel="2" collapsed="1" x14ac:dyDescent="0.25">
      <c r="A95" s="186">
        <f>SUMIFS(МКД!$A$6:$A$389,МКД!$D$6:$D$389,Таблица1[[#This Row],[2]])</f>
        <v>14</v>
      </c>
      <c r="B95" s="168"/>
      <c r="C95" s="182" t="s">
        <v>431</v>
      </c>
      <c r="D95" s="167" t="s">
        <v>1593</v>
      </c>
      <c r="E95" s="273" t="s">
        <v>1727</v>
      </c>
      <c r="F95" s="167">
        <v>1</v>
      </c>
      <c r="G95" s="168">
        <f>SUMIFS(Таблица1[[#This Row],[8]:[19]],$I$5:$T$5,"Выкуп")</f>
        <v>120.4</v>
      </c>
      <c r="H95" s="168">
        <f>SUMIFS(Таблица1[[#This Row],[8]:[19]],$I$5:$T$5,"Аренда")</f>
        <v>0</v>
      </c>
      <c r="I95" s="169"/>
      <c r="J95" s="169"/>
      <c r="K95" s="169">
        <v>120.4</v>
      </c>
      <c r="L95" s="169"/>
      <c r="M95" s="169"/>
      <c r="N95" s="169"/>
      <c r="O95" s="169"/>
      <c r="P95" s="169"/>
      <c r="Q95" s="169"/>
      <c r="R95" s="169"/>
      <c r="S95" s="169"/>
      <c r="T95" s="169"/>
      <c r="U95" s="170"/>
      <c r="V95" s="171"/>
    </row>
    <row r="96" spans="1:22" hidden="1" outlineLevel="2" collapsed="1" x14ac:dyDescent="0.25">
      <c r="A96" s="186">
        <f>SUMIFS(МКД!$A$6:$A$389,МКД!$D$6:$D$389,Таблица1[[#This Row],[2]])</f>
        <v>14</v>
      </c>
      <c r="B96" s="168"/>
      <c r="C96" s="182" t="s">
        <v>431</v>
      </c>
      <c r="D96" s="167" t="s">
        <v>1884</v>
      </c>
      <c r="E96" s="167" t="s">
        <v>2752</v>
      </c>
      <c r="F96" s="167">
        <v>1</v>
      </c>
      <c r="G96" s="168">
        <f>SUMIFS(Таблица1[[#This Row],[8]:[19]],$I$5:$T$5,"Выкуп")</f>
        <v>141.5</v>
      </c>
      <c r="H96" s="168">
        <f>SUMIFS(Таблица1[[#This Row],[8]:[19]],$I$5:$T$5,"Аренда")</f>
        <v>0</v>
      </c>
      <c r="I96" s="169"/>
      <c r="J96" s="169"/>
      <c r="K96" s="169"/>
      <c r="L96" s="169"/>
      <c r="M96" s="278">
        <v>141.5</v>
      </c>
      <c r="N96" s="169"/>
      <c r="O96" s="169"/>
      <c r="P96" s="169"/>
      <c r="Q96" s="169"/>
      <c r="R96" s="169"/>
      <c r="S96" s="169"/>
      <c r="T96" s="169"/>
      <c r="U96" s="170"/>
      <c r="V96" s="171"/>
    </row>
    <row r="97" spans="1:22" hidden="1" outlineLevel="2" collapsed="1" x14ac:dyDescent="0.25">
      <c r="A97" s="186">
        <f>SUMIFS(МКД!$A$6:$A$389,МКД!$D$6:$D$389,Таблица1[[#This Row],[2]])</f>
        <v>14</v>
      </c>
      <c r="B97" s="168"/>
      <c r="C97" s="182" t="s">
        <v>431</v>
      </c>
      <c r="D97" s="167" t="s">
        <v>2620</v>
      </c>
      <c r="E97" s="167" t="s">
        <v>1183</v>
      </c>
      <c r="F97" s="167">
        <v>1</v>
      </c>
      <c r="G97" s="168">
        <f>SUMIFS(Таблица1[[#This Row],[8]:[19]],$I$5:$T$5,"Выкуп")</f>
        <v>129.5</v>
      </c>
      <c r="H97" s="168">
        <f>SUMIFS(Таблица1[[#This Row],[8]:[19]],$I$5:$T$5,"Аренда")</f>
        <v>0</v>
      </c>
      <c r="I97" s="169">
        <v>129.5</v>
      </c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70"/>
      <c r="V97" s="171"/>
    </row>
    <row r="98" spans="1:22" outlineLevel="1" collapsed="1" x14ac:dyDescent="0.25">
      <c r="A98" s="186">
        <f>SUMIFS(МКД!$A$6:$A$389,МКД!$D$6:$D$389,Таблица1[[#This Row],[2]])</f>
        <v>15</v>
      </c>
      <c r="B98" s="194">
        <f>SUMIFS(Таблица1[6],Таблица1[2],Таблица1[[#This Row],[2]])+SUMIFS(Таблица1[7],Таблица1[2],Таблица1[[#This Row],[2]])</f>
        <v>870.30000000000007</v>
      </c>
      <c r="C98" s="185" t="s">
        <v>498</v>
      </c>
      <c r="D98" s="167"/>
      <c r="E98" s="167"/>
      <c r="F98" s="167"/>
      <c r="G98" s="168"/>
      <c r="H98" s="194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70"/>
      <c r="V98" s="171"/>
    </row>
    <row r="99" spans="1:22" hidden="1" outlineLevel="2" x14ac:dyDescent="0.25">
      <c r="A99" s="186">
        <f>SUMIFS(МКД!$A$6:$A$389,МКД!$D$6:$D$389,Таблица1[[#This Row],[2]])</f>
        <v>15</v>
      </c>
      <c r="B99" s="167"/>
      <c r="C99" s="182" t="s">
        <v>498</v>
      </c>
      <c r="D99" s="167" t="s">
        <v>2749</v>
      </c>
      <c r="E99" s="167" t="s">
        <v>5</v>
      </c>
      <c r="F99" s="167">
        <v>1</v>
      </c>
      <c r="G99" s="168">
        <f>SUMIFS(Таблица1[[#This Row],[8]:[19]],$I$5:$T$5,"Выкуп")</f>
        <v>319.7</v>
      </c>
      <c r="H99" s="168">
        <f>SUMIFS(Таблица1[[#This Row],[8]:[19]],$I$5:$T$5,"Аренда")</f>
        <v>0</v>
      </c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>
        <v>319.7</v>
      </c>
      <c r="T99" s="169"/>
      <c r="U99" s="170"/>
      <c r="V99" s="171"/>
    </row>
    <row r="100" spans="1:22" hidden="1" outlineLevel="2" x14ac:dyDescent="0.25">
      <c r="A100" s="186">
        <f>SUMIFS(МКД!$A$6:$A$389,МКД!$D$6:$D$389,Таблица1[[#This Row],[2]])</f>
        <v>15</v>
      </c>
      <c r="B100" s="168"/>
      <c r="C100" s="182" t="s">
        <v>498</v>
      </c>
      <c r="D100" s="167" t="s">
        <v>965</v>
      </c>
      <c r="E100" s="167" t="s">
        <v>1185</v>
      </c>
      <c r="F100" s="167">
        <v>1</v>
      </c>
      <c r="G100" s="168">
        <f>SUMIFS(Таблица1[[#This Row],[8]:[19]],$I$5:$T$5,"Выкуп")</f>
        <v>74.900000000000006</v>
      </c>
      <c r="H100" s="168">
        <f>SUMIFS(Таблица1[[#This Row],[8]:[19]],$I$5:$T$5,"Аренда")</f>
        <v>0</v>
      </c>
      <c r="I100" s="169">
        <v>74.900000000000006</v>
      </c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70"/>
      <c r="V100" s="171"/>
    </row>
    <row r="101" spans="1:22" hidden="1" outlineLevel="2" x14ac:dyDescent="0.25">
      <c r="A101" s="186">
        <f>SUMIFS(МКД!$A$6:$A$389,МКД!$D$6:$D$389,Таблица1[[#This Row],[2]])</f>
        <v>15</v>
      </c>
      <c r="B101" s="168"/>
      <c r="C101" s="182" t="s">
        <v>498</v>
      </c>
      <c r="D101" s="167" t="s">
        <v>2748</v>
      </c>
      <c r="E101" s="167" t="s">
        <v>1184</v>
      </c>
      <c r="F101" s="167">
        <v>1</v>
      </c>
      <c r="G101" s="168">
        <f>SUMIFS(Таблица1[[#This Row],[8]:[19]],$I$5:$T$5,"Выкуп")</f>
        <v>74.8</v>
      </c>
      <c r="H101" s="168">
        <f>SUMIFS(Таблица1[[#This Row],[8]:[19]],$I$5:$T$5,"Аренда")</f>
        <v>0</v>
      </c>
      <c r="I101" s="169">
        <v>74.8</v>
      </c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70"/>
      <c r="V101" s="171"/>
    </row>
    <row r="102" spans="1:22" hidden="1" outlineLevel="2" x14ac:dyDescent="0.25">
      <c r="A102" s="186">
        <f>SUMIFS(МКД!$A$6:$A$389,МКД!$D$6:$D$389,Таблица1[[#This Row],[2]])</f>
        <v>15</v>
      </c>
      <c r="B102" s="168"/>
      <c r="C102" s="182" t="s">
        <v>498</v>
      </c>
      <c r="D102" s="167" t="s">
        <v>2018</v>
      </c>
      <c r="E102" s="167" t="s">
        <v>974</v>
      </c>
      <c r="F102" s="167">
        <v>1</v>
      </c>
      <c r="G102" s="168">
        <f>SUMIFS(Таблица1[[#This Row],[8]:[19]],$I$5:$T$5,"Выкуп")</f>
        <v>53</v>
      </c>
      <c r="H102" s="168">
        <f>SUMIFS(Таблица1[[#This Row],[8]:[19]],$I$5:$T$5,"Аренда")</f>
        <v>0</v>
      </c>
      <c r="I102" s="169">
        <v>53</v>
      </c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70"/>
      <c r="V102" s="171"/>
    </row>
    <row r="103" spans="1:22" hidden="1" outlineLevel="2" x14ac:dyDescent="0.25">
      <c r="A103" s="186">
        <f>SUMIFS(МКД!$A$6:$A$389,МКД!$D$6:$D$389,Таблица1[[#This Row],[2]])</f>
        <v>15</v>
      </c>
      <c r="B103" s="168"/>
      <c r="C103" s="182" t="s">
        <v>498</v>
      </c>
      <c r="D103" s="167" t="s">
        <v>1560</v>
      </c>
      <c r="E103" s="167" t="s">
        <v>1561</v>
      </c>
      <c r="F103" s="167">
        <v>1</v>
      </c>
      <c r="G103" s="168">
        <f>SUMIFS(Таблица1[[#This Row],[8]:[19]],$I$5:$T$5,"Выкуп")</f>
        <v>13</v>
      </c>
      <c r="H103" s="168">
        <f>SUMIFS(Таблица1[[#This Row],[8]:[19]],$I$5:$T$5,"Аренда")</f>
        <v>0</v>
      </c>
      <c r="I103" s="169">
        <v>13</v>
      </c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70"/>
      <c r="V103" s="171"/>
    </row>
    <row r="104" spans="1:22" hidden="1" outlineLevel="2" x14ac:dyDescent="0.25">
      <c r="A104" s="186">
        <f>SUMIFS(МКД!$A$6:$A$389,МКД!$D$6:$D$389,Таблица1[[#This Row],[2]])</f>
        <v>15</v>
      </c>
      <c r="B104" s="168"/>
      <c r="C104" s="182" t="s">
        <v>498</v>
      </c>
      <c r="D104" s="167" t="s">
        <v>1060</v>
      </c>
      <c r="E104" s="167" t="s">
        <v>1074</v>
      </c>
      <c r="F104" s="167"/>
      <c r="G104" s="168">
        <f>SUMIFS(Таблица1[[#This Row],[8]:[19]],$I$5:$T$5,"Выкуп")</f>
        <v>46.2</v>
      </c>
      <c r="H104" s="168">
        <f>SUMIFS(Таблица1[[#This Row],[8]:[19]],$I$5:$T$5,"Аренда")</f>
        <v>0</v>
      </c>
      <c r="I104" s="169">
        <v>46.2</v>
      </c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70"/>
      <c r="V104" s="171"/>
    </row>
    <row r="105" spans="1:22" hidden="1" outlineLevel="2" x14ac:dyDescent="0.25">
      <c r="A105" s="186">
        <f>SUMIFS(МКД!$A$6:$A$389,МКД!$D$6:$D$389,Таблица1[[#This Row],[2]])</f>
        <v>15</v>
      </c>
      <c r="B105" s="168"/>
      <c r="C105" s="182" t="s">
        <v>498</v>
      </c>
      <c r="D105" s="167" t="s">
        <v>2701</v>
      </c>
      <c r="E105" s="167" t="s">
        <v>2700</v>
      </c>
      <c r="F105" s="167"/>
      <c r="G105" s="168">
        <f>SUMIFS(Таблица1[[#This Row],[8]:[19]],$I$5:$T$5,"Выкуп")</f>
        <v>65</v>
      </c>
      <c r="H105" s="168">
        <f>SUMIFS(Таблица1[[#This Row],[8]:[19]],$I$5:$T$5,"Аренда")</f>
        <v>0</v>
      </c>
      <c r="I105" s="169"/>
      <c r="J105" s="169"/>
      <c r="K105" s="167">
        <v>65</v>
      </c>
      <c r="L105" s="169">
        <f>63.8*0</f>
        <v>0</v>
      </c>
      <c r="M105" s="169"/>
      <c r="N105" s="169"/>
      <c r="O105" s="169"/>
      <c r="P105" s="169"/>
      <c r="Q105" s="169"/>
      <c r="R105" s="169"/>
      <c r="S105" s="169"/>
      <c r="T105" s="169"/>
      <c r="U105" s="170"/>
      <c r="V105" s="171"/>
    </row>
    <row r="106" spans="1:22" hidden="1" outlineLevel="2" x14ac:dyDescent="0.25">
      <c r="A106" s="186">
        <f>SUMIFS(МКД!$A$6:$A$389,МКД!$D$6:$D$389,Таблица1[[#This Row],[2]])</f>
        <v>15</v>
      </c>
      <c r="B106" s="168"/>
      <c r="C106" s="182" t="s">
        <v>498</v>
      </c>
      <c r="D106" s="167" t="s">
        <v>1053</v>
      </c>
      <c r="E106" s="167" t="s">
        <v>1949</v>
      </c>
      <c r="F106" s="167"/>
      <c r="G106" s="168">
        <f>SUMIFS(Таблица1[[#This Row],[8]:[19]],$I$5:$T$5,"Выкуп")</f>
        <v>27.4</v>
      </c>
      <c r="H106" s="168">
        <f>SUMIFS(Таблица1[[#This Row],[8]:[19]],$I$5:$T$5,"Аренда")</f>
        <v>0</v>
      </c>
      <c r="I106" s="169">
        <v>27.4</v>
      </c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70"/>
      <c r="V106" s="171"/>
    </row>
    <row r="107" spans="1:22" hidden="1" outlineLevel="2" x14ac:dyDescent="0.25">
      <c r="A107" s="186">
        <f>SUMIFS(МКД!$A$6:$A$389,МКД!$D$6:$D$389,Таблица1[[#This Row],[2]])</f>
        <v>15</v>
      </c>
      <c r="B107" s="168"/>
      <c r="C107" s="182" t="s">
        <v>498</v>
      </c>
      <c r="D107" s="167" t="s">
        <v>1053</v>
      </c>
      <c r="E107" s="167" t="s">
        <v>2639</v>
      </c>
      <c r="F107" s="167"/>
      <c r="G107" s="168">
        <f>SUMIFS(Таблица1[[#This Row],[8]:[19]],$I$5:$T$5,"Выкуп")</f>
        <v>12.3</v>
      </c>
      <c r="H107" s="168">
        <f>SUMIFS(Таблица1[[#This Row],[8]:[19]],$I$5:$T$5,"Аренда")</f>
        <v>0</v>
      </c>
      <c r="I107" s="169">
        <v>12.3</v>
      </c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70"/>
      <c r="V107" s="171"/>
    </row>
    <row r="108" spans="1:22" hidden="1" outlineLevel="2" collapsed="1" x14ac:dyDescent="0.25">
      <c r="A108" s="186">
        <f>SUMIFS(МКД!$A$6:$A$389,МКД!$D$6:$D$389,Таблица1[[#This Row],[2]])</f>
        <v>15</v>
      </c>
      <c r="B108" s="168"/>
      <c r="C108" s="182" t="s">
        <v>498</v>
      </c>
      <c r="D108" s="167" t="s">
        <v>1053</v>
      </c>
      <c r="E108" s="167" t="s">
        <v>2793</v>
      </c>
      <c r="F108" s="167"/>
      <c r="G108" s="168">
        <f>SUMIFS(Таблица1[[#This Row],[8]:[19]],$I$5:$T$5,"Выкуп")</f>
        <v>184</v>
      </c>
      <c r="H108" s="168">
        <f>SUMIFS(Таблица1[[#This Row],[8]:[19]],$I$5:$T$5,"Аренда")</f>
        <v>0</v>
      </c>
      <c r="I108" s="169"/>
      <c r="J108" s="169"/>
      <c r="K108" s="169"/>
      <c r="L108" s="169"/>
      <c r="M108" s="199">
        <v>184</v>
      </c>
      <c r="N108" s="169"/>
      <c r="O108" s="169"/>
      <c r="P108" s="169"/>
      <c r="Q108" s="169"/>
      <c r="R108" s="169"/>
      <c r="S108" s="169"/>
      <c r="T108" s="169"/>
      <c r="U108" s="170"/>
      <c r="V108" s="171"/>
    </row>
    <row r="109" spans="1:22" outlineLevel="1" collapsed="1" x14ac:dyDescent="0.25">
      <c r="A109" s="186">
        <f>SUMIFS(МКД!$A$6:$A$389,МКД!$D$6:$D$389,Таблица1[[#This Row],[2]])</f>
        <v>16</v>
      </c>
      <c r="B109" s="194">
        <f>SUMIFS(Таблица1[6],Таблица1[2],Таблица1[[#This Row],[2]])+SUMIFS(Таблица1[7],Таблица1[2],Таблица1[[#This Row],[2]])</f>
        <v>537.20000000000005</v>
      </c>
      <c r="C109" s="185" t="s">
        <v>499</v>
      </c>
      <c r="D109" s="167"/>
      <c r="E109" s="167"/>
      <c r="F109" s="167"/>
      <c r="G109" s="168"/>
      <c r="H109" s="194"/>
      <c r="I109" s="169"/>
      <c r="J109" s="169"/>
      <c r="K109" s="169"/>
      <c r="L109" s="169"/>
      <c r="M109" s="167"/>
      <c r="N109" s="169"/>
      <c r="O109" s="169"/>
      <c r="P109" s="169"/>
      <c r="Q109" s="169"/>
      <c r="R109" s="169"/>
      <c r="S109" s="169"/>
      <c r="T109" s="169"/>
      <c r="U109" s="170"/>
      <c r="V109" s="171"/>
    </row>
    <row r="110" spans="1:22" hidden="1" outlineLevel="2" x14ac:dyDescent="0.25">
      <c r="A110" s="186">
        <f>SUMIFS(МКД!$A$6:$A$389,МКД!$D$6:$D$389,Таблица1[[#This Row],[2]])</f>
        <v>16</v>
      </c>
      <c r="B110" s="167"/>
      <c r="C110" s="182" t="s">
        <v>499</v>
      </c>
      <c r="D110" s="167" t="s">
        <v>745</v>
      </c>
      <c r="E110" s="167" t="s">
        <v>1186</v>
      </c>
      <c r="F110" s="167">
        <v>1</v>
      </c>
      <c r="G110" s="168">
        <f>SUMIFS(Таблица1[[#This Row],[8]:[19]],$I$5:$T$5,"Выкуп")</f>
        <v>122.2</v>
      </c>
      <c r="H110" s="168">
        <f>SUMIFS(Таблица1[[#This Row],[8]:[19]],$I$5:$T$5,"Аренда")</f>
        <v>0</v>
      </c>
      <c r="I110" s="169">
        <v>122.2</v>
      </c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70"/>
      <c r="V110" s="171"/>
    </row>
    <row r="111" spans="1:22" hidden="1" outlineLevel="2" x14ac:dyDescent="0.25">
      <c r="A111" s="186">
        <f>SUMIFS(МКД!$A$6:$A$389,МКД!$D$6:$D$389,Таблица1[[#This Row],[2]])</f>
        <v>16</v>
      </c>
      <c r="B111" s="167"/>
      <c r="C111" s="182" t="s">
        <v>499</v>
      </c>
      <c r="D111" s="167" t="s">
        <v>1053</v>
      </c>
      <c r="E111" s="167" t="s">
        <v>2752</v>
      </c>
      <c r="F111" s="167">
        <v>1</v>
      </c>
      <c r="G111" s="168">
        <f>SUMIFS(Таблица1[[#This Row],[8]:[19]],$I$5:$T$5,"Выкуп")</f>
        <v>158</v>
      </c>
      <c r="H111" s="168">
        <f>SUMIFS(Таблица1[[#This Row],[8]:[19]],$I$5:$T$5,"Аренда")</f>
        <v>0</v>
      </c>
      <c r="I111" s="169"/>
      <c r="J111" s="169"/>
      <c r="K111" s="169"/>
      <c r="L111" s="169"/>
      <c r="M111" s="169">
        <v>158</v>
      </c>
      <c r="N111" s="169"/>
      <c r="O111" s="169"/>
      <c r="P111" s="169"/>
      <c r="Q111" s="169"/>
      <c r="R111" s="169"/>
      <c r="S111" s="169"/>
      <c r="T111" s="169"/>
      <c r="U111" s="170"/>
      <c r="V111" s="171"/>
    </row>
    <row r="112" spans="1:22" hidden="1" outlineLevel="2" x14ac:dyDescent="0.25">
      <c r="A112" s="186">
        <f>SUMIFS(МКД!$A$6:$A$389,МКД!$D$6:$D$389,Таблица1[[#This Row],[2]])</f>
        <v>16</v>
      </c>
      <c r="B112" s="168"/>
      <c r="C112" s="182" t="s">
        <v>499</v>
      </c>
      <c r="D112" s="167" t="s">
        <v>3</v>
      </c>
      <c r="E112" s="167" t="s">
        <v>1187</v>
      </c>
      <c r="F112" s="167">
        <v>1</v>
      </c>
      <c r="G112" s="168">
        <f>SUMIFS(Таблица1[[#This Row],[8]:[19]],$I$5:$T$5,"Выкуп")</f>
        <v>208.5</v>
      </c>
      <c r="H112" s="168">
        <f>SUMIFS(Таблица1[[#This Row],[8]:[19]],$I$5:$T$5,"Аренда")</f>
        <v>0</v>
      </c>
      <c r="I112" s="169">
        <v>208.5</v>
      </c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70"/>
      <c r="V112" s="171"/>
    </row>
    <row r="113" spans="1:22" hidden="1" outlineLevel="2" collapsed="1" x14ac:dyDescent="0.25">
      <c r="A113" s="186">
        <f>SUMIFS(МКД!$A$6:$A$389,МКД!$D$6:$D$389,Таблица1[[#This Row],[2]])</f>
        <v>16</v>
      </c>
      <c r="B113" s="168"/>
      <c r="C113" s="182" t="s">
        <v>499</v>
      </c>
      <c r="D113" s="167" t="s">
        <v>2621</v>
      </c>
      <c r="E113" s="167" t="s">
        <v>900</v>
      </c>
      <c r="F113" s="167"/>
      <c r="G113" s="168">
        <f>SUMIFS(Таблица1[[#This Row],[8]:[19]],$I$5:$T$5,"Выкуп")</f>
        <v>48.5</v>
      </c>
      <c r="H113" s="168">
        <f>SUMIFS(Таблица1[[#This Row],[8]:[19]],$I$5:$T$5,"Аренда")</f>
        <v>0</v>
      </c>
      <c r="I113" s="169">
        <v>48.5</v>
      </c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70"/>
      <c r="V113" s="171"/>
    </row>
    <row r="114" spans="1:22" outlineLevel="1" collapsed="1" x14ac:dyDescent="0.25">
      <c r="A114" s="186">
        <f>SUMIFS(МКД!$A$6:$A$389,МКД!$D$6:$D$389,Таблица1[[#This Row],[2]])</f>
        <v>17</v>
      </c>
      <c r="B114" s="194">
        <f>SUMIFS(Таблица1[6],Таблица1[2],Таблица1[[#This Row],[2]])+SUMIFS(Таблица1[7],Таблица1[2],Таблица1[[#This Row],[2]])</f>
        <v>593.99999999999989</v>
      </c>
      <c r="C114" s="185" t="s">
        <v>500</v>
      </c>
      <c r="D114" s="167"/>
      <c r="E114" s="167"/>
      <c r="F114" s="167"/>
      <c r="G114" s="168"/>
      <c r="H114" s="194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70"/>
      <c r="V114" s="171"/>
    </row>
    <row r="115" spans="1:22" hidden="1" outlineLevel="2" x14ac:dyDescent="0.25">
      <c r="A115" s="186">
        <f>SUMIFS(МКД!$A$6:$A$389,МКД!$D$6:$D$389,Таблица1[[#This Row],[2]])</f>
        <v>17</v>
      </c>
      <c r="B115" s="167"/>
      <c r="C115" s="182" t="s">
        <v>500</v>
      </c>
      <c r="D115" s="167" t="s">
        <v>1019</v>
      </c>
      <c r="E115" s="167" t="s">
        <v>914</v>
      </c>
      <c r="F115" s="167">
        <v>1</v>
      </c>
      <c r="G115" s="168">
        <f>SUMIFS(Таблица1[[#This Row],[8]:[19]],$I$5:$T$5,"Выкуп")</f>
        <v>65.7</v>
      </c>
      <c r="H115" s="168">
        <f>SUMIFS(Таблица1[[#This Row],[8]:[19]],$I$5:$T$5,"Аренда")</f>
        <v>0</v>
      </c>
      <c r="I115" s="169">
        <v>65.7</v>
      </c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70"/>
      <c r="V115" s="171"/>
    </row>
    <row r="116" spans="1:22" hidden="1" outlineLevel="2" x14ac:dyDescent="0.25">
      <c r="A116" s="186">
        <f>SUMIFS(МКД!$A$6:$A$389,МКД!$D$6:$D$389,Таблица1[[#This Row],[2]])</f>
        <v>17</v>
      </c>
      <c r="B116" s="168"/>
      <c r="C116" s="182" t="s">
        <v>500</v>
      </c>
      <c r="D116" s="167" t="s">
        <v>746</v>
      </c>
      <c r="E116" s="167" t="s">
        <v>1188</v>
      </c>
      <c r="F116" s="167">
        <v>1</v>
      </c>
      <c r="G116" s="168">
        <f>SUMIFS(Таблица1[[#This Row],[8]:[19]],$I$5:$T$5,"Выкуп")</f>
        <v>134.19999999999999</v>
      </c>
      <c r="H116" s="168">
        <f>SUMIFS(Таблица1[[#This Row],[8]:[19]],$I$5:$T$5,"Аренда")</f>
        <v>0</v>
      </c>
      <c r="I116" s="169">
        <v>134.19999999999999</v>
      </c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70"/>
      <c r="V116" s="171"/>
    </row>
    <row r="117" spans="1:22" hidden="1" outlineLevel="2" x14ac:dyDescent="0.25">
      <c r="A117" s="186">
        <f>SUMIFS(МКД!$A$6:$A$389,МКД!$D$6:$D$389,Таблица1[[#This Row],[2]])</f>
        <v>17</v>
      </c>
      <c r="B117" s="168"/>
      <c r="C117" s="182" t="s">
        <v>500</v>
      </c>
      <c r="D117" s="167" t="s">
        <v>747</v>
      </c>
      <c r="E117" s="167" t="s">
        <v>1163</v>
      </c>
      <c r="F117" s="167">
        <v>1</v>
      </c>
      <c r="G117" s="168">
        <f>SUMIFS(Таблица1[[#This Row],[8]:[19]],$I$5:$T$5,"Выкуп")</f>
        <v>98.9</v>
      </c>
      <c r="H117" s="168">
        <f>SUMIFS(Таблица1[[#This Row],[8]:[19]],$I$5:$T$5,"Аренда")</f>
        <v>0</v>
      </c>
      <c r="I117" s="169">
        <v>98.9</v>
      </c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70"/>
      <c r="V117" s="171"/>
    </row>
    <row r="118" spans="1:22" hidden="1" outlineLevel="2" x14ac:dyDescent="0.25">
      <c r="A118" s="186">
        <f>SUMIFS(МКД!$A$6:$A$389,МКД!$D$6:$D$389,Таблица1[[#This Row],[2]])</f>
        <v>17</v>
      </c>
      <c r="B118" s="168"/>
      <c r="C118" s="182" t="s">
        <v>500</v>
      </c>
      <c r="D118" s="167" t="s">
        <v>949</v>
      </c>
      <c r="E118" s="167" t="s">
        <v>948</v>
      </c>
      <c r="F118" s="167">
        <v>1</v>
      </c>
      <c r="G118" s="168">
        <f>SUMIFS(Таблица1[[#This Row],[8]:[19]],$I$5:$T$5,"Выкуп")</f>
        <v>84.7</v>
      </c>
      <c r="H118" s="168">
        <f>SUMIFS(Таблица1[[#This Row],[8]:[19]],$I$5:$T$5,"Аренда")</f>
        <v>0</v>
      </c>
      <c r="I118" s="169">
        <v>84.7</v>
      </c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70"/>
      <c r="V118" s="171"/>
    </row>
    <row r="119" spans="1:22" hidden="1" outlineLevel="2" x14ac:dyDescent="0.25">
      <c r="A119" s="186">
        <f>SUMIFS(МКД!$A$6:$A$389,МКД!$D$6:$D$389,Таблица1[[#This Row],[2]])</f>
        <v>17</v>
      </c>
      <c r="B119" s="168"/>
      <c r="C119" s="182" t="s">
        <v>500</v>
      </c>
      <c r="D119" s="167" t="s">
        <v>1053</v>
      </c>
      <c r="E119" s="167" t="s">
        <v>2752</v>
      </c>
      <c r="F119" s="167">
        <v>1</v>
      </c>
      <c r="G119" s="168">
        <f>SUMIFS(Таблица1[[#This Row],[8]:[19]],$I$5:$T$5,"Выкуп")</f>
        <v>152.1</v>
      </c>
      <c r="H119" s="168">
        <f>SUMIFS(Таблица1[[#This Row],[8]:[19]],$I$5:$T$5,"Аренда")</f>
        <v>0</v>
      </c>
      <c r="I119" s="169"/>
      <c r="J119" s="169"/>
      <c r="K119" s="169"/>
      <c r="L119" s="169"/>
      <c r="M119" s="169">
        <v>152.1</v>
      </c>
      <c r="N119" s="169"/>
      <c r="O119" s="169"/>
      <c r="P119" s="169"/>
      <c r="Q119" s="169"/>
      <c r="R119" s="169"/>
      <c r="S119" s="169"/>
      <c r="T119" s="169"/>
      <c r="U119" s="170"/>
      <c r="V119" s="171"/>
    </row>
    <row r="120" spans="1:22" hidden="1" outlineLevel="2" collapsed="1" x14ac:dyDescent="0.25">
      <c r="A120" s="186">
        <f>SUMIFS(МКД!$A$6:$A$389,МКД!$D$6:$D$389,Таблица1[[#This Row],[2]])</f>
        <v>17</v>
      </c>
      <c r="B120" s="168"/>
      <c r="C120" s="182" t="s">
        <v>500</v>
      </c>
      <c r="D120" s="167" t="s">
        <v>746</v>
      </c>
      <c r="E120" s="167" t="s">
        <v>975</v>
      </c>
      <c r="F120" s="167">
        <v>1</v>
      </c>
      <c r="G120" s="168">
        <f>SUMIFS(Таблица1[[#This Row],[8]:[19]],$I$5:$T$5,"Выкуп")</f>
        <v>58.4</v>
      </c>
      <c r="H120" s="168">
        <f>SUMIFS(Таблица1[[#This Row],[8]:[19]],$I$5:$T$5,"Аренда")</f>
        <v>0</v>
      </c>
      <c r="I120" s="169">
        <v>58.4</v>
      </c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70"/>
      <c r="V120" s="171"/>
    </row>
    <row r="121" spans="1:22" outlineLevel="1" collapsed="1" x14ac:dyDescent="0.25">
      <c r="A121" s="186">
        <f>SUMIFS(МКД!$A$6:$A$389,МКД!$D$6:$D$389,Таблица1[[#This Row],[2]])</f>
        <v>18</v>
      </c>
      <c r="B121" s="194">
        <f>SUMIFS(Таблица1[6],Таблица1[2],Таблица1[[#This Row],[2]])+SUMIFS(Таблица1[7],Таблица1[2],Таблица1[[#This Row],[2]])</f>
        <v>730.1</v>
      </c>
      <c r="C121" s="185" t="s">
        <v>432</v>
      </c>
      <c r="D121" s="167"/>
      <c r="E121" s="167"/>
      <c r="F121" s="167"/>
      <c r="G121" s="168"/>
      <c r="H121" s="194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70"/>
      <c r="V121" s="171"/>
    </row>
    <row r="122" spans="1:22" hidden="1" outlineLevel="2" x14ac:dyDescent="0.25">
      <c r="A122" s="186">
        <f>SUMIFS(МКД!$A$6:$A$389,МКД!$D$6:$D$389,Таблица1[[#This Row],[2]])</f>
        <v>18</v>
      </c>
      <c r="B122" s="167"/>
      <c r="C122" s="182" t="s">
        <v>432</v>
      </c>
      <c r="D122" s="167" t="s">
        <v>2780</v>
      </c>
      <c r="E122" s="167" t="s">
        <v>1189</v>
      </c>
      <c r="F122" s="167">
        <v>1</v>
      </c>
      <c r="G122" s="168">
        <f>SUMIFS(Таблица1[[#This Row],[8]:[19]],$I$5:$T$5,"Выкуп")</f>
        <v>68.400000000000006</v>
      </c>
      <c r="H122" s="168">
        <f>SUMIFS(Таблица1[[#This Row],[8]:[19]],$I$5:$T$5,"Аренда")</f>
        <v>0</v>
      </c>
      <c r="I122" s="169">
        <v>68.400000000000006</v>
      </c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70"/>
      <c r="V122" s="171"/>
    </row>
    <row r="123" spans="1:22" hidden="1" outlineLevel="2" collapsed="1" x14ac:dyDescent="0.25">
      <c r="A123" s="186">
        <f>SUMIFS(МКД!$A$6:$A$389,МКД!$D$6:$D$389,Таблица1[[#This Row],[2]])</f>
        <v>18</v>
      </c>
      <c r="B123" s="168"/>
      <c r="C123" s="182" t="s">
        <v>432</v>
      </c>
      <c r="D123" s="167" t="s">
        <v>2778</v>
      </c>
      <c r="E123" s="167" t="s">
        <v>1380</v>
      </c>
      <c r="F123" s="167">
        <v>1</v>
      </c>
      <c r="G123" s="168">
        <f>SUMIFS(Таблица1[[#This Row],[8]:[19]],$I$5:$T$5,"Выкуп")</f>
        <v>195.1</v>
      </c>
      <c r="H123" s="168">
        <f>SUMIFS(Таблица1[[#This Row],[8]:[19]],$I$5:$T$5,"Аренда")</f>
        <v>0</v>
      </c>
      <c r="I123" s="169">
        <v>195.1</v>
      </c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70"/>
      <c r="V123" s="171"/>
    </row>
    <row r="124" spans="1:22" hidden="1" outlineLevel="2" x14ac:dyDescent="0.25">
      <c r="A124" s="186">
        <f>SUMIFS(МКД!$A$6:$A$389,МКД!$D$6:$D$389,Таблица1[[#This Row],[2]])</f>
        <v>18</v>
      </c>
      <c r="B124" s="168"/>
      <c r="C124" s="182" t="s">
        <v>432</v>
      </c>
      <c r="D124" s="167" t="s">
        <v>2779</v>
      </c>
      <c r="E124" s="167" t="s">
        <v>1190</v>
      </c>
      <c r="F124" s="167">
        <v>1</v>
      </c>
      <c r="G124" s="168">
        <f>SUMIFS(Таблица1[[#This Row],[8]:[19]],$I$5:$T$5,"Выкуп")</f>
        <v>188.5</v>
      </c>
      <c r="H124" s="168">
        <f>SUMIFS(Таблица1[[#This Row],[8]:[19]],$I$5:$T$5,"Аренда")</f>
        <v>0</v>
      </c>
      <c r="I124" s="169">
        <v>188.5</v>
      </c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70"/>
      <c r="V124" s="171"/>
    </row>
    <row r="125" spans="1:22" hidden="1" outlineLevel="2" x14ac:dyDescent="0.25">
      <c r="A125" s="186">
        <f>SUMIFS(МКД!$A$6:$A$389,МКД!$D$6:$D$389,Таблица1[[#This Row],[2]])</f>
        <v>18</v>
      </c>
      <c r="B125" s="168"/>
      <c r="C125" s="182" t="s">
        <v>432</v>
      </c>
      <c r="D125" s="167" t="s">
        <v>903</v>
      </c>
      <c r="E125" s="167" t="s">
        <v>904</v>
      </c>
      <c r="F125" s="167">
        <v>1</v>
      </c>
      <c r="G125" s="168">
        <f>SUMIFS(Таблица1[[#This Row],[8]:[19]],$I$5:$T$5,"Выкуп")</f>
        <v>126.1</v>
      </c>
      <c r="H125" s="168">
        <f>SUMIFS(Таблица1[[#This Row],[8]:[19]],$I$5:$T$5,"Аренда")</f>
        <v>0</v>
      </c>
      <c r="I125" s="169">
        <v>126.1</v>
      </c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70"/>
      <c r="V125" s="171"/>
    </row>
    <row r="126" spans="1:22" hidden="1" outlineLevel="2" collapsed="1" x14ac:dyDescent="0.25">
      <c r="A126" s="186">
        <f>SUMIFS(МКД!$A$6:$A$389,МКД!$D$6:$D$389,Таблица1[[#This Row],[2]])</f>
        <v>18</v>
      </c>
      <c r="B126" s="168"/>
      <c r="C126" s="182" t="s">
        <v>432</v>
      </c>
      <c r="D126" s="167" t="s">
        <v>1053</v>
      </c>
      <c r="E126" s="167" t="s">
        <v>2828</v>
      </c>
      <c r="F126" s="167">
        <v>1</v>
      </c>
      <c r="G126" s="168">
        <f>SUMIFS(Таблица1[[#This Row],[8]:[19]],$I$5:$T$5,"Выкуп")</f>
        <v>152</v>
      </c>
      <c r="H126" s="168">
        <f>SUMIFS(Таблица1[[#This Row],[8]:[19]],$I$5:$T$5,"Аренда")</f>
        <v>0</v>
      </c>
      <c r="I126" s="169"/>
      <c r="J126" s="169"/>
      <c r="K126" s="169"/>
      <c r="L126" s="169"/>
      <c r="M126" s="278">
        <v>152</v>
      </c>
      <c r="N126" s="169"/>
      <c r="O126" s="169"/>
      <c r="P126" s="169"/>
      <c r="Q126" s="169"/>
      <c r="R126" s="169"/>
      <c r="S126" s="169"/>
      <c r="T126" s="169"/>
      <c r="U126" s="170"/>
      <c r="V126" s="171"/>
    </row>
    <row r="127" spans="1:22" outlineLevel="1" collapsed="1" x14ac:dyDescent="0.25">
      <c r="A127" s="186">
        <f>SUMIFS(МКД!$A$6:$A$389,МКД!$D$6:$D$389,Таблица1[[#This Row],[2]])</f>
        <v>19</v>
      </c>
      <c r="B127" s="194">
        <f>SUMIFS(Таблица1[6],Таблица1[2],Таблица1[[#This Row],[2]])+SUMIFS(Таблица1[7],Таблица1[2],Таблица1[[#This Row],[2]])</f>
        <v>83.4</v>
      </c>
      <c r="C127" s="185" t="s">
        <v>501</v>
      </c>
      <c r="D127" s="167"/>
      <c r="E127" s="167"/>
      <c r="F127" s="167"/>
      <c r="G127" s="168"/>
      <c r="H127" s="194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70"/>
      <c r="V127" s="171"/>
    </row>
    <row r="128" spans="1:22" hidden="1" outlineLevel="2" x14ac:dyDescent="0.25">
      <c r="A128" s="186">
        <f>SUMIFS(МКД!$A$6:$A$389,МКД!$D$6:$D$389,Таблица1[[#This Row],[2]])</f>
        <v>19</v>
      </c>
      <c r="B128" s="167"/>
      <c r="C128" s="182" t="s">
        <v>501</v>
      </c>
      <c r="D128" s="167" t="s">
        <v>748</v>
      </c>
      <c r="E128" s="167" t="s">
        <v>1191</v>
      </c>
      <c r="F128" s="167">
        <v>1</v>
      </c>
      <c r="G128" s="168">
        <f>SUMIFS(Таблица1[[#This Row],[8]:[19]],$I$5:$T$5,"Выкуп")</f>
        <v>42.2</v>
      </c>
      <c r="H128" s="168">
        <f>SUMIFS(Таблица1[[#This Row],[8]:[19]],$I$5:$T$5,"Аренда")</f>
        <v>0</v>
      </c>
      <c r="I128" s="169">
        <v>42.2</v>
      </c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70"/>
      <c r="V128" s="171"/>
    </row>
    <row r="129" spans="1:22" hidden="1" outlineLevel="2" collapsed="1" x14ac:dyDescent="0.25">
      <c r="A129" s="186">
        <f>SUMIFS(МКД!$A$6:$A$389,МКД!$D$6:$D$389,Таблица1[[#This Row],[2]])</f>
        <v>19</v>
      </c>
      <c r="B129" s="170"/>
      <c r="C129" s="182" t="s">
        <v>501</v>
      </c>
      <c r="D129" s="167" t="s">
        <v>1653</v>
      </c>
      <c r="E129" s="167" t="s">
        <v>950</v>
      </c>
      <c r="F129" s="167"/>
      <c r="G129" s="168">
        <f>SUMIFS(Таблица1[[#This Row],[8]:[19]],$I$5:$T$5,"Выкуп")</f>
        <v>41.2</v>
      </c>
      <c r="H129" s="168">
        <f>SUMIFS(Таблица1[[#This Row],[8]:[19]],$I$5:$T$5,"Аренда")</f>
        <v>0</v>
      </c>
      <c r="I129" s="169">
        <v>41.2</v>
      </c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70"/>
      <c r="V129" s="171"/>
    </row>
    <row r="130" spans="1:22" outlineLevel="1" collapsed="1" x14ac:dyDescent="0.25">
      <c r="A130" s="186">
        <f>SUMIFS(МКД!$A$6:$A$389,МКД!$D$6:$D$389,Таблица1[[#This Row],[2]])</f>
        <v>20</v>
      </c>
      <c r="B130" s="194">
        <f>SUMIFS(Таблица1[6],Таблица1[2],Таблица1[[#This Row],[2]])+SUMIFS(Таблица1[7],Таблица1[2],Таблица1[[#This Row],[2]])</f>
        <v>216</v>
      </c>
      <c r="C130" s="185" t="s">
        <v>433</v>
      </c>
      <c r="D130" s="167"/>
      <c r="E130" s="167"/>
      <c r="F130" s="167"/>
      <c r="G130" s="168"/>
      <c r="H130" s="194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70"/>
      <c r="V130" s="171"/>
    </row>
    <row r="131" spans="1:22" hidden="1" outlineLevel="2" x14ac:dyDescent="0.25">
      <c r="A131" s="186">
        <f>SUMIFS(МКД!$A$6:$A$389,МКД!$D$6:$D$389,Таблица1[[#This Row],[2]])</f>
        <v>20</v>
      </c>
      <c r="B131" s="167"/>
      <c r="C131" s="182" t="s">
        <v>433</v>
      </c>
      <c r="D131" s="167" t="s">
        <v>1850</v>
      </c>
      <c r="E131" s="167" t="s">
        <v>1068</v>
      </c>
      <c r="F131" s="167">
        <v>1</v>
      </c>
      <c r="G131" s="168">
        <f>SUMIFS(Таблица1[[#This Row],[8]:[19]],$I$5:$T$5,"Выкуп")</f>
        <v>65.400000000000006</v>
      </c>
      <c r="H131" s="168">
        <f>SUMIFS(Таблица1[[#This Row],[8]:[19]],$I$5:$T$5,"Аренда")</f>
        <v>0</v>
      </c>
      <c r="I131" s="169">
        <v>63.4</v>
      </c>
      <c r="J131" s="169"/>
      <c r="K131" s="169"/>
      <c r="L131" s="169"/>
      <c r="M131" s="169"/>
      <c r="N131" s="169"/>
      <c r="O131" s="169"/>
      <c r="P131" s="169"/>
      <c r="Q131" s="169"/>
      <c r="R131" s="169"/>
      <c r="S131" s="169">
        <v>2</v>
      </c>
      <c r="T131" s="169"/>
      <c r="U131" s="170"/>
      <c r="V131" s="171"/>
    </row>
    <row r="132" spans="1:22" hidden="1" outlineLevel="2" x14ac:dyDescent="0.25">
      <c r="A132" s="186">
        <f>SUMIFS(МКД!$A$6:$A$389,МКД!$D$6:$D$389,Таблица1[[#This Row],[2]])</f>
        <v>20</v>
      </c>
      <c r="B132" s="170"/>
      <c r="C132" s="182" t="s">
        <v>433</v>
      </c>
      <c r="D132" s="167" t="s">
        <v>749</v>
      </c>
      <c r="E132" s="167" t="s">
        <v>1192</v>
      </c>
      <c r="F132" s="167">
        <v>1</v>
      </c>
      <c r="G132" s="168">
        <f>SUMIFS(Таблица1[[#This Row],[8]:[19]],$I$5:$T$5,"Выкуп")</f>
        <v>83.1</v>
      </c>
      <c r="H132" s="168">
        <f>SUMIFS(Таблица1[[#This Row],[8]:[19]],$I$5:$T$5,"Аренда")</f>
        <v>0</v>
      </c>
      <c r="I132" s="169">
        <v>83.1</v>
      </c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70"/>
      <c r="V132" s="171"/>
    </row>
    <row r="133" spans="1:22" hidden="1" outlineLevel="2" collapsed="1" x14ac:dyDescent="0.25">
      <c r="A133" s="186">
        <f>SUMIFS(МКД!$A$6:$A$389,МКД!$D$6:$D$389,Таблица1[[#This Row],[2]])</f>
        <v>20</v>
      </c>
      <c r="B133" s="168"/>
      <c r="C133" s="182" t="s">
        <v>433</v>
      </c>
      <c r="D133" s="167" t="s">
        <v>750</v>
      </c>
      <c r="E133" s="167" t="s">
        <v>974</v>
      </c>
      <c r="F133" s="167">
        <v>1</v>
      </c>
      <c r="G133" s="168">
        <f>SUMIFS(Таблица1[[#This Row],[8]:[19]],$I$5:$T$5,"Выкуп")</f>
        <v>67.5</v>
      </c>
      <c r="H133" s="168">
        <f>SUMIFS(Таблица1[[#This Row],[8]:[19]],$I$5:$T$5,"Аренда")</f>
        <v>0</v>
      </c>
      <c r="I133" s="169">
        <v>67.5</v>
      </c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70"/>
      <c r="V133" s="171"/>
    </row>
    <row r="134" spans="1:22" outlineLevel="1" collapsed="1" x14ac:dyDescent="0.25">
      <c r="A134" s="186">
        <f>SUMIFS(МКД!$A$6:$A$389,МКД!$D$6:$D$389,Таблица1[[#This Row],[2]])</f>
        <v>21</v>
      </c>
      <c r="B134" s="194">
        <f>SUMIFS(Таблица1[6],Таблица1[2],Таблица1[[#This Row],[2]])+SUMIFS(Таблица1[7],Таблица1[2],Таблица1[[#This Row],[2]])</f>
        <v>824.1</v>
      </c>
      <c r="C134" s="185" t="s">
        <v>502</v>
      </c>
      <c r="D134" s="167"/>
      <c r="E134" s="167"/>
      <c r="F134" s="167"/>
      <c r="G134" s="168"/>
      <c r="H134" s="194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70"/>
      <c r="V134" s="171"/>
    </row>
    <row r="135" spans="1:22" hidden="1" outlineLevel="2" x14ac:dyDescent="0.25">
      <c r="A135" s="186">
        <f>SUMIFS(МКД!$A$6:$A$389,МКД!$D$6:$D$389,Таблица1[[#This Row],[2]])</f>
        <v>21</v>
      </c>
      <c r="B135" s="167"/>
      <c r="C135" s="182" t="s">
        <v>502</v>
      </c>
      <c r="D135" s="167" t="s">
        <v>751</v>
      </c>
      <c r="E135" s="167" t="s">
        <v>2540</v>
      </c>
      <c r="F135" s="167">
        <v>1</v>
      </c>
      <c r="G135" s="168">
        <f>SUMIFS(Таблица1[[#This Row],[8]:[19]],$I$5:$T$5,"Выкуп")</f>
        <v>202.7</v>
      </c>
      <c r="H135" s="168">
        <f>SUMIFS(Таблица1[[#This Row],[8]:[19]],$I$5:$T$5,"Аренда")</f>
        <v>0</v>
      </c>
      <c r="I135" s="169">
        <v>202.7</v>
      </c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70"/>
      <c r="V135" s="171"/>
    </row>
    <row r="136" spans="1:22" hidden="1" outlineLevel="2" x14ac:dyDescent="0.25">
      <c r="A136" s="186">
        <f>SUMIFS(МКД!$A$6:$A$389,МКД!$D$6:$D$389,Таблица1[[#This Row],[2]])</f>
        <v>21</v>
      </c>
      <c r="B136" s="168"/>
      <c r="C136" s="182" t="s">
        <v>502</v>
      </c>
      <c r="D136" s="167" t="s">
        <v>2005</v>
      </c>
      <c r="E136" s="167" t="s">
        <v>1193</v>
      </c>
      <c r="F136" s="167">
        <v>1</v>
      </c>
      <c r="G136" s="168">
        <f>SUMIFS(Таблица1[[#This Row],[8]:[19]],$I$5:$T$5,"Выкуп")</f>
        <v>50.1</v>
      </c>
      <c r="H136" s="168">
        <f>SUMIFS(Таблица1[[#This Row],[8]:[19]],$I$5:$T$5,"Аренда")</f>
        <v>0</v>
      </c>
      <c r="I136" s="169">
        <v>50.1</v>
      </c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70"/>
      <c r="V136" s="171"/>
    </row>
    <row r="137" spans="1:22" hidden="1" outlineLevel="2" x14ac:dyDescent="0.25">
      <c r="A137" s="186">
        <f>SUMIFS(МКД!$A$6:$A$389,МКД!$D$6:$D$389,Таблица1[[#This Row],[2]])</f>
        <v>21</v>
      </c>
      <c r="B137" s="168"/>
      <c r="C137" s="182" t="s">
        <v>502</v>
      </c>
      <c r="D137" s="167" t="s">
        <v>1435</v>
      </c>
      <c r="E137" s="167" t="s">
        <v>1194</v>
      </c>
      <c r="F137" s="167">
        <v>1</v>
      </c>
      <c r="G137" s="168">
        <f>SUMIFS(Таблица1[[#This Row],[8]:[19]],$I$5:$T$5,"Выкуп")</f>
        <v>121.8</v>
      </c>
      <c r="H137" s="168">
        <f>SUMIFS(Таблица1[[#This Row],[8]:[19]],$I$5:$T$5,"Аренда")</f>
        <v>0</v>
      </c>
      <c r="I137" s="169">
        <v>121.8</v>
      </c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70"/>
      <c r="V137" s="171"/>
    </row>
    <row r="138" spans="1:22" hidden="1" outlineLevel="2" x14ac:dyDescent="0.25">
      <c r="A138" s="186">
        <f>SUMIFS(МКД!$A$6:$A$389,МКД!$D$6:$D$389,Таблица1[[#This Row],[2]])</f>
        <v>21</v>
      </c>
      <c r="B138" s="168"/>
      <c r="C138" s="182" t="s">
        <v>502</v>
      </c>
      <c r="D138" s="167" t="s">
        <v>1863</v>
      </c>
      <c r="E138" s="167" t="s">
        <v>1862</v>
      </c>
      <c r="F138" s="167">
        <v>1</v>
      </c>
      <c r="G138" s="168">
        <f>SUMIFS(Таблица1[[#This Row],[8]:[19]],$I$5:$T$5,"Выкуп")</f>
        <v>121.4</v>
      </c>
      <c r="H138" s="168">
        <f>SUMIFS(Таблица1[[#This Row],[8]:[19]],$I$5:$T$5,"Аренда")</f>
        <v>0</v>
      </c>
      <c r="I138" s="169"/>
      <c r="J138" s="169"/>
      <c r="K138" s="169">
        <f>121.4-Таблица1[[#This Row],[14]]</f>
        <v>109</v>
      </c>
      <c r="L138" s="169"/>
      <c r="M138" s="169"/>
      <c r="N138" s="169"/>
      <c r="O138" s="167">
        <v>12.4</v>
      </c>
      <c r="P138" s="169"/>
      <c r="Q138" s="169"/>
      <c r="R138" s="169"/>
      <c r="S138" s="169"/>
      <c r="T138" s="169"/>
      <c r="U138" s="170"/>
      <c r="V138" s="171"/>
    </row>
    <row r="139" spans="1:22" hidden="1" outlineLevel="2" x14ac:dyDescent="0.25">
      <c r="A139" s="186">
        <f>SUMIFS(МКД!$A$6:$A$389,МКД!$D$6:$D$389,Таблица1[[#This Row],[2]])</f>
        <v>21</v>
      </c>
      <c r="B139" s="168"/>
      <c r="C139" s="182" t="s">
        <v>502</v>
      </c>
      <c r="D139" s="167" t="s">
        <v>752</v>
      </c>
      <c r="E139" s="167" t="s">
        <v>1885</v>
      </c>
      <c r="F139" s="167">
        <v>1</v>
      </c>
      <c r="G139" s="168">
        <f>SUMIFS(Таблица1[[#This Row],[8]:[19]],$I$5:$T$5,"Выкуп")</f>
        <v>0</v>
      </c>
      <c r="H139" s="168">
        <f>SUMIFS(Таблица1[[#This Row],[8]:[19]],$I$5:$T$5,"Аренда")</f>
        <v>10.9</v>
      </c>
      <c r="I139" s="169"/>
      <c r="J139" s="169"/>
      <c r="K139" s="169"/>
      <c r="L139" s="169"/>
      <c r="M139" s="169"/>
      <c r="N139" s="169"/>
      <c r="O139" s="167"/>
      <c r="P139" s="169">
        <v>10.9</v>
      </c>
      <c r="Q139" s="169"/>
      <c r="R139" s="169"/>
      <c r="S139" s="169"/>
      <c r="T139" s="169"/>
      <c r="U139" s="170"/>
      <c r="V139" s="171"/>
    </row>
    <row r="140" spans="1:22" hidden="1" outlineLevel="2" x14ac:dyDescent="0.25">
      <c r="A140" s="186">
        <f>SUMIFS(МКД!$A$6:$A$389,МКД!$D$6:$D$389,Таблица1[[#This Row],[2]])</f>
        <v>21</v>
      </c>
      <c r="B140" s="168"/>
      <c r="C140" s="182" t="s">
        <v>502</v>
      </c>
      <c r="D140" s="167" t="s">
        <v>752</v>
      </c>
      <c r="E140" s="167" t="s">
        <v>1195</v>
      </c>
      <c r="F140" s="167">
        <v>1</v>
      </c>
      <c r="G140" s="168">
        <f>SUMIFS(Таблица1[[#This Row],[8]:[19]],$I$5:$T$5,"Выкуп")</f>
        <v>41.6</v>
      </c>
      <c r="H140" s="168">
        <f>SUMIFS(Таблица1[[#This Row],[8]:[19]],$I$5:$T$5,"Аренда")</f>
        <v>0</v>
      </c>
      <c r="I140" s="169">
        <v>41.6</v>
      </c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70"/>
      <c r="V140" s="171"/>
    </row>
    <row r="141" spans="1:22" hidden="1" outlineLevel="2" collapsed="1" x14ac:dyDescent="0.25">
      <c r="A141" s="186">
        <f>SUMIFS(МКД!$A$6:$A$389,МКД!$D$6:$D$389,Таблица1[[#This Row],[2]])</f>
        <v>21</v>
      </c>
      <c r="B141" s="168"/>
      <c r="C141" s="182" t="s">
        <v>502</v>
      </c>
      <c r="D141" s="167" t="s">
        <v>1053</v>
      </c>
      <c r="E141" s="167" t="s">
        <v>2827</v>
      </c>
      <c r="F141" s="167">
        <v>1</v>
      </c>
      <c r="G141" s="168">
        <f>SUMIFS(Таблица1[[#This Row],[8]:[19]],$I$5:$T$5,"Выкуп")</f>
        <v>230.3</v>
      </c>
      <c r="H141" s="168">
        <f>SUMIFS(Таблица1[[#This Row],[8]:[19]],$I$5:$T$5,"Аренда")</f>
        <v>0</v>
      </c>
      <c r="I141" s="169"/>
      <c r="J141" s="169"/>
      <c r="K141" s="169"/>
      <c r="L141" s="169"/>
      <c r="M141" s="278">
        <v>230.3</v>
      </c>
      <c r="N141" s="169"/>
      <c r="O141" s="169"/>
      <c r="P141" s="169"/>
      <c r="Q141" s="169"/>
      <c r="R141" s="169"/>
      <c r="S141" s="169"/>
      <c r="T141" s="169"/>
      <c r="U141" s="170"/>
      <c r="V141" s="171"/>
    </row>
    <row r="142" spans="1:22" hidden="1" outlineLevel="2" collapsed="1" x14ac:dyDescent="0.25">
      <c r="A142" s="186">
        <f>SUMIFS(МКД!$A$6:$A$389,МКД!$D$6:$D$389,Таблица1[[#This Row],[2]])</f>
        <v>21</v>
      </c>
      <c r="B142" s="168"/>
      <c r="C142" s="182" t="s">
        <v>502</v>
      </c>
      <c r="D142" s="167" t="s">
        <v>753</v>
      </c>
      <c r="E142" s="167" t="s">
        <v>1196</v>
      </c>
      <c r="F142" s="167">
        <v>1</v>
      </c>
      <c r="G142" s="168">
        <f>SUMIFS(Таблица1[[#This Row],[8]:[19]],$I$5:$T$5,"Выкуп")</f>
        <v>45.3</v>
      </c>
      <c r="H142" s="168">
        <f>SUMIFS(Таблица1[[#This Row],[8]:[19]],$I$5:$T$5,"Аренда")</f>
        <v>0</v>
      </c>
      <c r="I142" s="169">
        <v>45.3</v>
      </c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70"/>
      <c r="V142" s="171"/>
    </row>
    <row r="143" spans="1:22" outlineLevel="1" collapsed="1" x14ac:dyDescent="0.25">
      <c r="A143" s="186">
        <f>SUMIFS(МКД!$A$6:$A$389,МКД!$D$6:$D$389,Таблица1[[#This Row],[2]])</f>
        <v>22</v>
      </c>
      <c r="B143" s="194">
        <f>SUMIFS(Таблица1[6],Таблица1[2],Таблица1[[#This Row],[2]])+SUMIFS(Таблица1[7],Таблица1[2],Таблица1[[#This Row],[2]])</f>
        <v>1238.9000000000001</v>
      </c>
      <c r="C143" s="185" t="s">
        <v>434</v>
      </c>
      <c r="D143" s="167"/>
      <c r="E143" s="167"/>
      <c r="F143" s="167"/>
      <c r="G143" s="168"/>
      <c r="H143" s="194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70"/>
      <c r="V143" s="171"/>
    </row>
    <row r="144" spans="1:22" hidden="1" outlineLevel="2" x14ac:dyDescent="0.25">
      <c r="A144" s="186">
        <f>SUMIFS(МКД!$A$6:$A$389,МКД!$D$6:$D$389,Таблица1[[#This Row],[2]])</f>
        <v>22</v>
      </c>
      <c r="B144" s="167"/>
      <c r="C144" s="182" t="s">
        <v>434</v>
      </c>
      <c r="D144" s="167" t="s">
        <v>754</v>
      </c>
      <c r="E144" s="167" t="s">
        <v>1197</v>
      </c>
      <c r="F144" s="167">
        <v>1</v>
      </c>
      <c r="G144" s="168">
        <f>SUMIFS(Таблица1[[#This Row],[8]:[19]],$I$5:$T$5,"Выкуп")</f>
        <v>44.4</v>
      </c>
      <c r="H144" s="168">
        <f>SUMIFS(Таблица1[[#This Row],[8]:[19]],$I$5:$T$5,"Аренда")</f>
        <v>0</v>
      </c>
      <c r="I144" s="169">
        <v>44.4</v>
      </c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70"/>
      <c r="V144" s="171"/>
    </row>
    <row r="145" spans="1:22" hidden="1" outlineLevel="2" x14ac:dyDescent="0.25">
      <c r="A145" s="186">
        <f>SUMIFS(МКД!$A$6:$A$389,МКД!$D$6:$D$389,Таблица1[[#This Row],[2]])</f>
        <v>22</v>
      </c>
      <c r="B145" s="168"/>
      <c r="C145" s="182" t="s">
        <v>434</v>
      </c>
      <c r="D145" s="167" t="s">
        <v>806</v>
      </c>
      <c r="E145" s="167" t="s">
        <v>1198</v>
      </c>
      <c r="F145" s="167">
        <v>1</v>
      </c>
      <c r="G145" s="168">
        <f>SUMIFS(Таблица1[[#This Row],[8]:[19]],$I$5:$T$5,"Выкуп")</f>
        <v>138.19999999999999</v>
      </c>
      <c r="H145" s="168">
        <f>SUMIFS(Таблица1[[#This Row],[8]:[19]],$I$5:$T$5,"Аренда")</f>
        <v>0</v>
      </c>
      <c r="I145" s="169">
        <v>138.19999999999999</v>
      </c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70"/>
      <c r="V145" s="171"/>
    </row>
    <row r="146" spans="1:22" hidden="1" outlineLevel="2" x14ac:dyDescent="0.25">
      <c r="A146" s="186">
        <f>SUMIFS(МКД!$A$6:$A$389,МКД!$D$6:$D$389,Таблица1[[#This Row],[2]])</f>
        <v>22</v>
      </c>
      <c r="B146" s="168"/>
      <c r="C146" s="182" t="s">
        <v>434</v>
      </c>
      <c r="D146" s="167" t="s">
        <v>1458</v>
      </c>
      <c r="E146" s="167" t="s">
        <v>1063</v>
      </c>
      <c r="F146" s="167">
        <v>1</v>
      </c>
      <c r="G146" s="168">
        <f>SUMIFS(Таблица1[[#This Row],[8]:[19]],$I$5:$T$5,"Выкуп")</f>
        <v>123</v>
      </c>
      <c r="H146" s="168">
        <f>SUMIFS(Таблица1[[#This Row],[8]:[19]],$I$5:$T$5,"Аренда")</f>
        <v>0</v>
      </c>
      <c r="I146" s="169">
        <v>123</v>
      </c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70"/>
      <c r="V146" s="171"/>
    </row>
    <row r="147" spans="1:22" hidden="1" outlineLevel="2" x14ac:dyDescent="0.25">
      <c r="A147" s="186">
        <f>SUMIFS(МКД!$A$6:$A$389,МКД!$D$6:$D$389,Таблица1[[#This Row],[2]])</f>
        <v>22</v>
      </c>
      <c r="B147" s="168"/>
      <c r="C147" s="182" t="s">
        <v>434</v>
      </c>
      <c r="D147" s="167" t="s">
        <v>2812</v>
      </c>
      <c r="E147" s="167" t="s">
        <v>1199</v>
      </c>
      <c r="F147" s="167">
        <v>1</v>
      </c>
      <c r="G147" s="168">
        <f>SUMIFS(Таблица1[[#This Row],[8]:[19]],$I$5:$T$5,"Выкуп")</f>
        <v>50.7</v>
      </c>
      <c r="H147" s="168">
        <f>SUMIFS(Таблица1[[#This Row],[8]:[19]],$I$5:$T$5,"Аренда")</f>
        <v>0</v>
      </c>
      <c r="I147" s="169">
        <v>50.7</v>
      </c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70"/>
      <c r="V147" s="171"/>
    </row>
    <row r="148" spans="1:22" hidden="1" outlineLevel="2" x14ac:dyDescent="0.25">
      <c r="A148" s="186">
        <f>SUMIFS(МКД!$A$6:$A$389,МКД!$D$6:$D$389,Таблица1[[#This Row],[2]])</f>
        <v>22</v>
      </c>
      <c r="B148" s="168"/>
      <c r="C148" s="182" t="s">
        <v>434</v>
      </c>
      <c r="D148" s="167" t="s">
        <v>1459</v>
      </c>
      <c r="E148" s="167" t="s">
        <v>1184</v>
      </c>
      <c r="F148" s="167">
        <v>1</v>
      </c>
      <c r="G148" s="168">
        <f>SUMIFS(Таблица1[[#This Row],[8]:[19]],$I$5:$T$5,"Выкуп")</f>
        <v>68.599999999999994</v>
      </c>
      <c r="H148" s="168">
        <f>SUMIFS(Таблица1[[#This Row],[8]:[19]],$I$5:$T$5,"Аренда")</f>
        <v>0</v>
      </c>
      <c r="I148" s="169">
        <v>68.599999999999994</v>
      </c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70"/>
      <c r="V148" s="171"/>
    </row>
    <row r="149" spans="1:22" hidden="1" outlineLevel="2" x14ac:dyDescent="0.25">
      <c r="A149" s="186">
        <f>SUMIFS(МКД!$A$6:$A$389,МКД!$D$6:$D$389,Таблица1[[#This Row],[2]])</f>
        <v>22</v>
      </c>
      <c r="B149" s="168"/>
      <c r="C149" s="182" t="s">
        <v>434</v>
      </c>
      <c r="D149" s="167" t="s">
        <v>2009</v>
      </c>
      <c r="E149" s="167" t="s">
        <v>1200</v>
      </c>
      <c r="F149" s="167">
        <v>1</v>
      </c>
      <c r="G149" s="168">
        <f>SUMIFS(Таблица1[[#This Row],[8]:[19]],$I$5:$T$5,"Выкуп")</f>
        <v>49.1</v>
      </c>
      <c r="H149" s="168">
        <f>SUMIFS(Таблица1[[#This Row],[8]:[19]],$I$5:$T$5,"Аренда")</f>
        <v>0</v>
      </c>
      <c r="I149" s="169">
        <v>49.1</v>
      </c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70"/>
      <c r="V149" s="171"/>
    </row>
    <row r="150" spans="1:22" hidden="1" outlineLevel="2" x14ac:dyDescent="0.25">
      <c r="A150" s="186">
        <f>SUMIFS(МКД!$A$6:$A$389,МКД!$D$6:$D$389,Таблица1[[#This Row],[2]])</f>
        <v>22</v>
      </c>
      <c r="B150" s="168"/>
      <c r="C150" s="182" t="s">
        <v>434</v>
      </c>
      <c r="D150" s="167" t="s">
        <v>928</v>
      </c>
      <c r="E150" s="167" t="s">
        <v>828</v>
      </c>
      <c r="F150" s="167">
        <v>1</v>
      </c>
      <c r="G150" s="168">
        <f>SUMIFS(Таблица1[[#This Row],[8]:[19]],$I$5:$T$5,"Выкуп")</f>
        <v>285.7</v>
      </c>
      <c r="H150" s="168">
        <f>SUMIFS(Таблица1[[#This Row],[8]:[19]],$I$5:$T$5,"Аренда")</f>
        <v>0</v>
      </c>
      <c r="I150" s="169">
        <v>285.7</v>
      </c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70"/>
      <c r="V150" s="171"/>
    </row>
    <row r="151" spans="1:22" hidden="1" outlineLevel="2" x14ac:dyDescent="0.25">
      <c r="A151" s="186">
        <f>SUMIFS(МКД!$A$6:$A$389,МКД!$D$6:$D$389,Таблица1[[#This Row],[2]])</f>
        <v>22</v>
      </c>
      <c r="B151" s="168"/>
      <c r="C151" s="182" t="s">
        <v>434</v>
      </c>
      <c r="D151" s="167" t="s">
        <v>1394</v>
      </c>
      <c r="E151" s="167" t="s">
        <v>2750</v>
      </c>
      <c r="F151" s="167">
        <v>1</v>
      </c>
      <c r="G151" s="168">
        <f>SUMIFS(Таблица1[[#This Row],[8]:[19]],$I$5:$T$5,"Выкуп")</f>
        <v>167.2</v>
      </c>
      <c r="H151" s="168">
        <f>SUMIFS(Таблица1[[#This Row],[8]:[19]],$I$5:$T$5,"Аренда")</f>
        <v>0</v>
      </c>
      <c r="I151" s="169"/>
      <c r="J151" s="169"/>
      <c r="K151" s="169"/>
      <c r="L151" s="169"/>
      <c r="M151" s="169">
        <v>167.2</v>
      </c>
      <c r="N151" s="169"/>
      <c r="O151" s="169"/>
      <c r="P151" s="169"/>
      <c r="Q151" s="169"/>
      <c r="R151" s="169"/>
      <c r="S151" s="169"/>
      <c r="T151" s="169"/>
      <c r="U151" s="170"/>
      <c r="V151" s="171"/>
    </row>
    <row r="152" spans="1:22" hidden="1" outlineLevel="2" x14ac:dyDescent="0.25">
      <c r="A152" s="186">
        <f>SUMIFS(МКД!$A$6:$A$389,МКД!$D$6:$D$389,Таблица1[[#This Row],[2]])</f>
        <v>22</v>
      </c>
      <c r="B152" s="168"/>
      <c r="C152" s="182" t="s">
        <v>434</v>
      </c>
      <c r="D152" s="167" t="s">
        <v>1053</v>
      </c>
      <c r="E152" s="167" t="s">
        <v>2829</v>
      </c>
      <c r="F152" s="167">
        <v>1</v>
      </c>
      <c r="G152" s="168">
        <f>SUMIFS(Таблица1[[#This Row],[8]:[19]],$I$5:$T$5,"Выкуп")</f>
        <v>299.3</v>
      </c>
      <c r="H152" s="168">
        <f>SUMIFS(Таблица1[[#This Row],[8]:[19]],$I$5:$T$5,"Аренда")</f>
        <v>0</v>
      </c>
      <c r="I152" s="169"/>
      <c r="J152" s="169"/>
      <c r="K152" s="169"/>
      <c r="L152" s="169"/>
      <c r="M152" s="278">
        <v>299.3</v>
      </c>
      <c r="N152" s="169"/>
      <c r="O152" s="169"/>
      <c r="P152" s="169"/>
      <c r="Q152" s="169"/>
      <c r="R152" s="169"/>
      <c r="S152" s="169"/>
      <c r="T152" s="169"/>
      <c r="U152" s="170"/>
      <c r="V152" s="171"/>
    </row>
    <row r="153" spans="1:22" hidden="1" outlineLevel="2" x14ac:dyDescent="0.25">
      <c r="A153" s="186">
        <f>SUMIFS(МКД!$A$6:$A$389,МКД!$D$6:$D$389,Таблица1[[#This Row],[2]])</f>
        <v>22</v>
      </c>
      <c r="B153" s="168"/>
      <c r="C153" s="182" t="s">
        <v>434</v>
      </c>
      <c r="D153" s="167" t="s">
        <v>1038</v>
      </c>
      <c r="E153" s="167" t="s">
        <v>976</v>
      </c>
      <c r="F153" s="167">
        <v>1</v>
      </c>
      <c r="G153" s="168">
        <f>SUMIFS(Таблица1[[#This Row],[8]:[19]],$I$5:$T$5,"Выкуп")</f>
        <v>0</v>
      </c>
      <c r="H153" s="168">
        <f>SUMIFS(Таблица1[[#This Row],[8]:[19]],$I$5:$T$5,"Аренда")</f>
        <v>12.7</v>
      </c>
      <c r="I153" s="169"/>
      <c r="J153" s="169"/>
      <c r="K153" s="169"/>
      <c r="L153" s="169"/>
      <c r="M153" s="169"/>
      <c r="N153" s="169"/>
      <c r="O153" s="169"/>
      <c r="P153" s="169">
        <v>12.7</v>
      </c>
      <c r="Q153" s="169"/>
      <c r="R153" s="169"/>
      <c r="S153" s="169"/>
      <c r="T153" s="169"/>
      <c r="U153" s="170"/>
      <c r="V153" s="171"/>
    </row>
    <row r="154" spans="1:22" ht="15" outlineLevel="1" collapsed="1" x14ac:dyDescent="0.25">
      <c r="A154" s="186">
        <f>SUMIFS(МКД!$A$6:$A$389,МКД!$D$6:$D$389,Таблица1[[#This Row],[2]])</f>
        <v>27</v>
      </c>
      <c r="B154" s="194">
        <f>SUMIFS(Таблица1[6],Таблица1[2],Таблица1[[#This Row],[2]])+SUMIFS(Таблица1[7],Таблица1[2],Таблица1[[#This Row],[2]])</f>
        <v>682.2</v>
      </c>
      <c r="C154" s="185" t="s">
        <v>503</v>
      </c>
      <c r="D154" s="196"/>
      <c r="E154" s="196"/>
      <c r="F154" s="196"/>
      <c r="G154" s="168"/>
      <c r="H154" s="197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8"/>
    </row>
    <row r="155" spans="1:22" outlineLevel="2" x14ac:dyDescent="0.25">
      <c r="A155" s="186">
        <f>SUMIFS(МКД!$A$6:$A$389,МКД!$D$6:$D$389,Таблица1[[#This Row],[2]])</f>
        <v>27</v>
      </c>
      <c r="B155" s="170"/>
      <c r="C155" s="182" t="s">
        <v>503</v>
      </c>
      <c r="D155" s="167" t="s">
        <v>2621</v>
      </c>
      <c r="E155" s="167" t="s">
        <v>1052</v>
      </c>
      <c r="F155" s="167">
        <v>1</v>
      </c>
      <c r="G155" s="168">
        <f>SUMIFS(Таблица1[[#This Row],[8]:[19]],$I$5:$T$5,"Выкуп")</f>
        <v>100.2</v>
      </c>
      <c r="H155" s="168">
        <f>SUMIFS(Таблица1[[#This Row],[8]:[19]],$I$5:$T$5,"Аренда")</f>
        <v>0</v>
      </c>
      <c r="I155" s="169">
        <v>100.2</v>
      </c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70"/>
      <c r="V155" s="171"/>
    </row>
    <row r="156" spans="1:22" outlineLevel="2" x14ac:dyDescent="0.25">
      <c r="A156" s="186">
        <f>SUMIFS(МКД!$A$6:$A$389,МКД!$D$6:$D$389,Таблица1[[#This Row],[2]])</f>
        <v>27</v>
      </c>
      <c r="B156" s="168"/>
      <c r="C156" s="182" t="s">
        <v>503</v>
      </c>
      <c r="D156" s="167" t="s">
        <v>755</v>
      </c>
      <c r="E156" s="167" t="s">
        <v>2079</v>
      </c>
      <c r="F156" s="167">
        <v>1</v>
      </c>
      <c r="G156" s="168">
        <f>SUMIFS(Таблица1[[#This Row],[8]:[19]],$I$5:$T$5,"Выкуп")</f>
        <v>370.2</v>
      </c>
      <c r="H156" s="168">
        <f>SUMIFS(Таблица1[[#This Row],[8]:[19]],$I$5:$T$5,"Аренда")</f>
        <v>0</v>
      </c>
      <c r="I156" s="169">
        <v>370.2</v>
      </c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70"/>
      <c r="V156" s="171"/>
    </row>
    <row r="157" spans="1:22" outlineLevel="2" x14ac:dyDescent="0.25">
      <c r="A157" s="186">
        <f>SUMIFS(МКД!$A$6:$A$389,МКД!$D$6:$D$389,Таблица1[[#This Row],[2]])</f>
        <v>27</v>
      </c>
      <c r="B157" s="168"/>
      <c r="C157" s="182" t="s">
        <v>503</v>
      </c>
      <c r="D157" s="167" t="s">
        <v>1053</v>
      </c>
      <c r="E157" s="167" t="s">
        <v>2752</v>
      </c>
      <c r="F157" s="167">
        <v>1</v>
      </c>
      <c r="G157" s="168">
        <f>SUMIFS(Таблица1[[#This Row],[8]:[19]],$I$5:$T$5,"Выкуп")</f>
        <v>211.8</v>
      </c>
      <c r="H157" s="168">
        <f>SUMIFS(Таблица1[[#This Row],[8]:[19]],$I$5:$T$5,"Аренда")</f>
        <v>0</v>
      </c>
      <c r="I157" s="169"/>
      <c r="J157" s="169"/>
      <c r="K157" s="169"/>
      <c r="L157" s="169"/>
      <c r="M157" s="169">
        <v>211.8</v>
      </c>
      <c r="N157" s="169"/>
      <c r="O157" s="169"/>
      <c r="P157" s="169"/>
      <c r="Q157" s="169"/>
      <c r="R157" s="169"/>
      <c r="S157" s="169"/>
      <c r="T157" s="169"/>
      <c r="U157" s="170"/>
      <c r="V157" s="171"/>
    </row>
    <row r="158" spans="1:22" ht="15" outlineLevel="1" x14ac:dyDescent="0.25">
      <c r="A158" s="186">
        <f>SUMIFS(МКД!$A$6:$A$389,МКД!$D$6:$D$389,Таблица1[[#This Row],[2]])</f>
        <v>39</v>
      </c>
      <c r="B158" s="194">
        <f>SUMIFS(Таблица1[6],Таблица1[2],Таблица1[[#This Row],[2]])+SUMIFS(Таблица1[7],Таблица1[2],Таблица1[[#This Row],[2]])</f>
        <v>847</v>
      </c>
      <c r="C158" s="185" t="s">
        <v>504</v>
      </c>
      <c r="D158" s="196"/>
      <c r="E158" s="196"/>
      <c r="F158" s="196"/>
      <c r="G158" s="168"/>
      <c r="H158" s="197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8"/>
    </row>
    <row r="159" spans="1:22" hidden="1" outlineLevel="2" x14ac:dyDescent="0.25">
      <c r="A159" s="186">
        <f>SUMIFS(МКД!$A$6:$A$389,МКД!$D$6:$D$389,Таблица1[[#This Row],[2]])</f>
        <v>39</v>
      </c>
      <c r="B159" s="170"/>
      <c r="C159" s="182" t="s">
        <v>504</v>
      </c>
      <c r="D159" s="167" t="s">
        <v>2090</v>
      </c>
      <c r="E159" s="167" t="s">
        <v>2539</v>
      </c>
      <c r="F159" s="167">
        <v>2</v>
      </c>
      <c r="G159" s="168">
        <f>SUMIFS(Таблица1[[#This Row],[8]:[19]],$I$5:$T$5,"Выкуп")</f>
        <v>329.9</v>
      </c>
      <c r="H159" s="168">
        <f>SUMIFS(Таблица1[[#This Row],[8]:[19]],$I$5:$T$5,"Аренда")</f>
        <v>0</v>
      </c>
      <c r="I159" s="169"/>
      <c r="J159" s="169"/>
      <c r="K159" s="169">
        <v>329.9</v>
      </c>
      <c r="L159" s="169"/>
      <c r="M159" s="169"/>
      <c r="N159" s="169"/>
      <c r="O159" s="169"/>
      <c r="P159" s="169"/>
      <c r="Q159" s="169"/>
      <c r="R159" s="169"/>
      <c r="S159" s="169"/>
      <c r="T159" s="169"/>
      <c r="U159" s="170"/>
      <c r="V159" s="171"/>
    </row>
    <row r="160" spans="1:22" hidden="1" outlineLevel="2" x14ac:dyDescent="0.25">
      <c r="A160" s="186">
        <f>SUMIFS(МКД!$A$6:$A$389,МКД!$D$6:$D$389,Таблица1[[#This Row],[2]])</f>
        <v>39</v>
      </c>
      <c r="B160" s="168"/>
      <c r="C160" s="182" t="s">
        <v>504</v>
      </c>
      <c r="D160" s="167" t="s">
        <v>2089</v>
      </c>
      <c r="E160" s="167" t="s">
        <v>762</v>
      </c>
      <c r="F160" s="167">
        <v>1</v>
      </c>
      <c r="G160" s="168">
        <f>SUMIFS(Таблица1[[#This Row],[8]:[19]],$I$5:$T$5,"Выкуп")</f>
        <v>56.3</v>
      </c>
      <c r="H160" s="168">
        <f>SUMIFS(Таблица1[[#This Row],[8]:[19]],$I$5:$T$5,"Аренда")</f>
        <v>0</v>
      </c>
      <c r="I160" s="169"/>
      <c r="J160" s="169"/>
      <c r="K160" s="169">
        <v>56.3</v>
      </c>
      <c r="L160" s="169"/>
      <c r="M160" s="169"/>
      <c r="N160" s="169"/>
      <c r="O160" s="169"/>
      <c r="P160" s="169"/>
      <c r="Q160" s="169"/>
      <c r="R160" s="169"/>
      <c r="S160" s="169"/>
      <c r="T160" s="169"/>
      <c r="U160" s="170"/>
      <c r="V160" s="171"/>
    </row>
    <row r="161" spans="1:22" hidden="1" outlineLevel="2" x14ac:dyDescent="0.25">
      <c r="A161" s="186">
        <f>SUMIFS(МКД!$A$6:$A$389,МКД!$D$6:$D$389,Таблица1[[#This Row],[2]])</f>
        <v>39</v>
      </c>
      <c r="B161" s="168"/>
      <c r="C161" s="182" t="s">
        <v>504</v>
      </c>
      <c r="D161" s="167" t="s">
        <v>1965</v>
      </c>
      <c r="E161" s="167" t="s">
        <v>1966</v>
      </c>
      <c r="F161" s="167">
        <v>1</v>
      </c>
      <c r="G161" s="168">
        <f>SUMIFS(Таблица1[[#This Row],[8]:[19]],$I$5:$T$5,"Выкуп")</f>
        <v>78.900000000000006</v>
      </c>
      <c r="H161" s="168">
        <f>SUMIFS(Таблица1[[#This Row],[8]:[19]],$I$5:$T$5,"Аренда")</f>
        <v>0</v>
      </c>
      <c r="I161" s="169"/>
      <c r="J161" s="169"/>
      <c r="K161" s="169">
        <v>78.900000000000006</v>
      </c>
      <c r="L161" s="169"/>
      <c r="M161" s="169"/>
      <c r="N161" s="169"/>
      <c r="O161" s="169"/>
      <c r="P161" s="169"/>
      <c r="Q161" s="169"/>
      <c r="R161" s="169"/>
      <c r="S161" s="169"/>
      <c r="T161" s="169"/>
      <c r="U161" s="170"/>
      <c r="V161" s="171"/>
    </row>
    <row r="162" spans="1:22" hidden="1" outlineLevel="2" x14ac:dyDescent="0.25">
      <c r="A162" s="186">
        <f>SUMIFS(МКД!$A$6:$A$389,МКД!$D$6:$D$389,Таблица1[[#This Row],[2]])</f>
        <v>39</v>
      </c>
      <c r="B162" s="168"/>
      <c r="C162" s="182" t="s">
        <v>504</v>
      </c>
      <c r="D162" s="167" t="s">
        <v>1837</v>
      </c>
      <c r="E162" s="167" t="s">
        <v>1201</v>
      </c>
      <c r="F162" s="167">
        <v>2</v>
      </c>
      <c r="G162" s="168">
        <f>SUMIFS(Таблица1[[#This Row],[8]:[19]],$I$5:$T$5,"Выкуп")</f>
        <v>118.9</v>
      </c>
      <c r="H162" s="168">
        <f>SUMIFS(Таблица1[[#This Row],[8]:[19]],$I$5:$T$5,"Аренда")</f>
        <v>0</v>
      </c>
      <c r="I162" s="169">
        <v>118.9</v>
      </c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70"/>
      <c r="V162" s="171"/>
    </row>
    <row r="163" spans="1:22" hidden="1" outlineLevel="2" x14ac:dyDescent="0.25">
      <c r="A163" s="186">
        <f>SUMIFS(МКД!$A$6:$A$389,МКД!$D$6:$D$389,Таблица1[[#This Row],[2]])</f>
        <v>39</v>
      </c>
      <c r="B163" s="168"/>
      <c r="C163" s="182" t="s">
        <v>504</v>
      </c>
      <c r="D163" s="167" t="s">
        <v>1053</v>
      </c>
      <c r="E163" s="167" t="s">
        <v>2752</v>
      </c>
      <c r="F163" s="167">
        <v>1</v>
      </c>
      <c r="G163" s="168">
        <f>SUMIFS(Таблица1[[#This Row],[8]:[19]],$I$5:$T$5,"Выкуп")</f>
        <v>263</v>
      </c>
      <c r="H163" s="168">
        <f>SUMIFS(Таблица1[[#This Row],[8]:[19]],$I$5:$T$5,"Аренда")</f>
        <v>0</v>
      </c>
      <c r="I163" s="169"/>
      <c r="J163" s="169"/>
      <c r="K163" s="169"/>
      <c r="L163" s="169"/>
      <c r="M163" s="278">
        <v>263</v>
      </c>
      <c r="N163" s="169"/>
      <c r="O163" s="169"/>
      <c r="P163" s="169"/>
      <c r="Q163" s="169"/>
      <c r="R163" s="169"/>
      <c r="S163" s="169"/>
      <c r="T163" s="169"/>
      <c r="U163" s="170"/>
      <c r="V163" s="171"/>
    </row>
    <row r="164" spans="1:22" ht="15" outlineLevel="1" collapsed="1" x14ac:dyDescent="0.25">
      <c r="A164" s="186">
        <f>SUMIFS(МКД!$A$6:$A$389,МКД!$D$6:$D$389,Таблица1[[#This Row],[2]])</f>
        <v>40</v>
      </c>
      <c r="B164" s="194">
        <f>SUMIFS(Таблица1[6],Таблица1[2],Таблица1[[#This Row],[2]])+SUMIFS(Таблица1[7],Таблица1[2],Таблица1[[#This Row],[2]])</f>
        <v>462.2</v>
      </c>
      <c r="C164" s="185" t="s">
        <v>505</v>
      </c>
      <c r="D164" s="196"/>
      <c r="E164" s="196"/>
      <c r="F164" s="196"/>
      <c r="G164" s="168"/>
      <c r="H164" s="197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8"/>
    </row>
    <row r="165" spans="1:22" hidden="1" outlineLevel="2" x14ac:dyDescent="0.25">
      <c r="A165" s="186">
        <f>SUMIFS(МКД!$A$6:$A$389,МКД!$D$6:$D$389,Таблица1[[#This Row],[2]])</f>
        <v>40</v>
      </c>
      <c r="B165" s="170"/>
      <c r="C165" s="182" t="s">
        <v>505</v>
      </c>
      <c r="D165" s="167" t="s">
        <v>1683</v>
      </c>
      <c r="E165" s="167" t="s">
        <v>1436</v>
      </c>
      <c r="F165" s="167">
        <v>1</v>
      </c>
      <c r="G165" s="168">
        <f>SUMIFS(Таблица1[[#This Row],[8]:[19]],$I$5:$T$5,"Выкуп")</f>
        <v>15</v>
      </c>
      <c r="H165" s="168">
        <f>SUMIFS(Таблица1[[#This Row],[8]:[19]],$I$5:$T$5,"Аренда")</f>
        <v>0</v>
      </c>
      <c r="I165" s="169">
        <v>15</v>
      </c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70"/>
      <c r="V165" s="171"/>
    </row>
    <row r="166" spans="1:22" hidden="1" outlineLevel="2" x14ac:dyDescent="0.25">
      <c r="A166" s="186">
        <f>SUMIFS(МКД!$A$6:$A$389,МКД!$D$6:$D$389,Таблица1[[#This Row],[2]])</f>
        <v>40</v>
      </c>
      <c r="B166" s="168"/>
      <c r="C166" s="182" t="s">
        <v>505</v>
      </c>
      <c r="D166" s="167" t="s">
        <v>756</v>
      </c>
      <c r="E166" s="167" t="s">
        <v>1204</v>
      </c>
      <c r="F166" s="167">
        <v>1</v>
      </c>
      <c r="G166" s="168">
        <f>SUMIFS(Таблица1[[#This Row],[8]:[19]],$I$5:$T$5,"Выкуп")</f>
        <v>15.2</v>
      </c>
      <c r="H166" s="168">
        <f>SUMIFS(Таблица1[[#This Row],[8]:[19]],$I$5:$T$5,"Аренда")</f>
        <v>0</v>
      </c>
      <c r="I166" s="169">
        <v>15.2</v>
      </c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70"/>
      <c r="V166" s="171"/>
    </row>
    <row r="167" spans="1:22" hidden="1" outlineLevel="2" x14ac:dyDescent="0.25">
      <c r="A167" s="186">
        <f>SUMIFS(МКД!$A$6:$A$389,МКД!$D$6:$D$389,Таблица1[[#This Row],[2]])</f>
        <v>40</v>
      </c>
      <c r="B167" s="168"/>
      <c r="C167" s="182" t="s">
        <v>505</v>
      </c>
      <c r="D167" s="167" t="s">
        <v>757</v>
      </c>
      <c r="E167" s="167" t="s">
        <v>1203</v>
      </c>
      <c r="F167" s="167">
        <v>1</v>
      </c>
      <c r="G167" s="168">
        <f>SUMIFS(Таблица1[[#This Row],[8]:[19]],$I$5:$T$5,"Выкуп")</f>
        <v>15</v>
      </c>
      <c r="H167" s="168">
        <f>SUMIFS(Таблица1[[#This Row],[8]:[19]],$I$5:$T$5,"Аренда")</f>
        <v>0</v>
      </c>
      <c r="I167" s="169">
        <v>15</v>
      </c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70"/>
      <c r="V167" s="171"/>
    </row>
    <row r="168" spans="1:22" hidden="1" outlineLevel="2" x14ac:dyDescent="0.25">
      <c r="A168" s="186">
        <f>SUMIFS(МКД!$A$6:$A$389,МКД!$D$6:$D$389,Таблица1[[#This Row],[2]])</f>
        <v>40</v>
      </c>
      <c r="B168" s="168"/>
      <c r="C168" s="182" t="s">
        <v>505</v>
      </c>
      <c r="D168" s="167" t="s">
        <v>758</v>
      </c>
      <c r="E168" s="167" t="s">
        <v>1202</v>
      </c>
      <c r="F168" s="167">
        <v>1</v>
      </c>
      <c r="G168" s="168">
        <f>SUMIFS(Таблица1[[#This Row],[8]:[19]],$I$5:$T$5,"Выкуп")</f>
        <v>15.2</v>
      </c>
      <c r="H168" s="168">
        <f>SUMIFS(Таблица1[[#This Row],[8]:[19]],$I$5:$T$5,"Аренда")</f>
        <v>0</v>
      </c>
      <c r="I168" s="169">
        <v>15.2</v>
      </c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70"/>
      <c r="V168" s="171"/>
    </row>
    <row r="169" spans="1:22" hidden="1" outlineLevel="2" x14ac:dyDescent="0.25">
      <c r="A169" s="186">
        <f>SUMIFS(МКД!$A$6:$A$389,МКД!$D$6:$D$389,Таблица1[[#This Row],[2]])</f>
        <v>40</v>
      </c>
      <c r="B169" s="168"/>
      <c r="C169" s="182" t="s">
        <v>505</v>
      </c>
      <c r="D169" s="167" t="s">
        <v>759</v>
      </c>
      <c r="E169" s="167" t="s">
        <v>76</v>
      </c>
      <c r="F169" s="167">
        <v>1</v>
      </c>
      <c r="G169" s="168">
        <f>SUMIFS(Таблица1[[#This Row],[8]:[19]],$I$5:$T$5,"Выкуп")</f>
        <v>124.8</v>
      </c>
      <c r="H169" s="168">
        <f>SUMIFS(Таблица1[[#This Row],[8]:[19]],$I$5:$T$5,"Аренда")</f>
        <v>0</v>
      </c>
      <c r="I169" s="169">
        <f>124.8-23</f>
        <v>101.8</v>
      </c>
      <c r="J169" s="169"/>
      <c r="K169" s="169"/>
      <c r="L169" s="169"/>
      <c r="M169" s="169"/>
      <c r="N169" s="169"/>
      <c r="O169" s="169">
        <v>23</v>
      </c>
      <c r="P169" s="169"/>
      <c r="Q169" s="169"/>
      <c r="R169" s="169"/>
      <c r="S169" s="169"/>
      <c r="T169" s="169"/>
      <c r="U169" s="170"/>
      <c r="V169" s="171"/>
    </row>
    <row r="170" spans="1:22" hidden="1" outlineLevel="2" x14ac:dyDescent="0.25">
      <c r="A170" s="186">
        <f>SUMIFS(МКД!$A$6:$A$389,МКД!$D$6:$D$389,Таблица1[[#This Row],[2]])</f>
        <v>40</v>
      </c>
      <c r="B170" s="168"/>
      <c r="C170" s="182" t="s">
        <v>505</v>
      </c>
      <c r="D170" s="167" t="s">
        <v>1516</v>
      </c>
      <c r="E170" s="167" t="s">
        <v>1517</v>
      </c>
      <c r="F170" s="167">
        <v>1</v>
      </c>
      <c r="G170" s="168">
        <f>SUMIFS(Таблица1[[#This Row],[8]:[19]],$I$5:$T$5,"Выкуп")</f>
        <v>48.3</v>
      </c>
      <c r="H170" s="168">
        <f>SUMIFS(Таблица1[[#This Row],[8]:[19]],$I$5:$T$5,"Аренда")</f>
        <v>0</v>
      </c>
      <c r="I170" s="169">
        <v>48.3</v>
      </c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70"/>
      <c r="V170" s="171"/>
    </row>
    <row r="171" spans="1:22" hidden="1" outlineLevel="2" x14ac:dyDescent="0.25">
      <c r="A171" s="186">
        <f>SUMIFS(МКД!$A$6:$A$389,МКД!$D$6:$D$389,Таблица1[[#This Row],[2]])</f>
        <v>40</v>
      </c>
      <c r="B171" s="168"/>
      <c r="C171" s="182" t="s">
        <v>505</v>
      </c>
      <c r="D171" s="167" t="s">
        <v>1053</v>
      </c>
      <c r="E171" s="167" t="s">
        <v>2793</v>
      </c>
      <c r="F171" s="167">
        <v>1</v>
      </c>
      <c r="G171" s="168">
        <f>SUMIFS(Таблица1[[#This Row],[8]:[19]],$I$5:$T$5,"Выкуп")</f>
        <v>228.7</v>
      </c>
      <c r="H171" s="168">
        <f>SUMIFS(Таблица1[[#This Row],[8]:[19]],$I$5:$T$5,"Аренда")</f>
        <v>0</v>
      </c>
      <c r="I171" s="169"/>
      <c r="J171" s="169"/>
      <c r="K171" s="169"/>
      <c r="L171" s="169"/>
      <c r="M171" s="169">
        <v>228.7</v>
      </c>
      <c r="N171" s="169"/>
      <c r="O171" s="169"/>
      <c r="P171" s="169"/>
      <c r="Q171" s="169"/>
      <c r="R171" s="169"/>
      <c r="S171" s="169"/>
      <c r="T171" s="169"/>
      <c r="U171" s="170"/>
      <c r="V171" s="171"/>
    </row>
    <row r="172" spans="1:22" ht="15" outlineLevel="1" collapsed="1" x14ac:dyDescent="0.25">
      <c r="A172" s="186">
        <f>SUMIFS(МКД!$A$6:$A$389,МКД!$D$6:$D$389,Таблица1[[#This Row],[2]])</f>
        <v>41</v>
      </c>
      <c r="B172" s="194">
        <f>SUMIFS(Таблица1[6],Таблица1[2],Таблица1[[#This Row],[2]])+SUMIFS(Таблица1[7],Таблица1[2],Таблица1[[#This Row],[2]])</f>
        <v>506.7</v>
      </c>
      <c r="C172" s="185" t="s">
        <v>506</v>
      </c>
      <c r="D172" s="196"/>
      <c r="E172" s="196"/>
      <c r="F172" s="196"/>
      <c r="G172" s="168"/>
      <c r="H172" s="197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8"/>
    </row>
    <row r="173" spans="1:22" hidden="1" outlineLevel="2" x14ac:dyDescent="0.25">
      <c r="A173" s="186">
        <f>SUMIFS(МКД!$A$6:$A$389,МКД!$D$6:$D$389,Таблица1[[#This Row],[2]])</f>
        <v>41</v>
      </c>
      <c r="B173" s="170"/>
      <c r="C173" s="182" t="s">
        <v>506</v>
      </c>
      <c r="D173" s="167" t="s">
        <v>760</v>
      </c>
      <c r="E173" s="167" t="s">
        <v>206</v>
      </c>
      <c r="F173" s="167">
        <v>1</v>
      </c>
      <c r="G173" s="168">
        <f>SUMIFS(Таблица1[[#This Row],[8]:[19]],$I$5:$T$5,"Выкуп")</f>
        <v>119</v>
      </c>
      <c r="H173" s="168">
        <f>SUMIFS(Таблица1[[#This Row],[8]:[19]],$I$5:$T$5,"Аренда")</f>
        <v>0</v>
      </c>
      <c r="I173" s="169">
        <v>119</v>
      </c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70"/>
      <c r="V173" s="171"/>
    </row>
    <row r="174" spans="1:22" s="19" customFormat="1" hidden="1" outlineLevel="2" x14ac:dyDescent="0.25">
      <c r="A174" s="186">
        <f>SUMIFS(МКД!$A$6:$A$389,МКД!$D$6:$D$389,Таблица1[[#This Row],[2]])</f>
        <v>41</v>
      </c>
      <c r="B174" s="170"/>
      <c r="C174" s="182" t="s">
        <v>506</v>
      </c>
      <c r="D174" s="167" t="s">
        <v>2622</v>
      </c>
      <c r="E174" s="167" t="s">
        <v>946</v>
      </c>
      <c r="F174" s="167"/>
      <c r="G174" s="168">
        <f>SUMIFS(Таблица1[[#This Row],[8]:[19]],$I$5:$T$5,"Выкуп")</f>
        <v>19.2</v>
      </c>
      <c r="H174" s="168">
        <f>SUMIFS(Таблица1[[#This Row],[8]:[19]],$I$5:$T$5,"Аренда")</f>
        <v>0</v>
      </c>
      <c r="I174" s="169">
        <v>19.2</v>
      </c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70"/>
      <c r="V174" s="171"/>
    </row>
    <row r="175" spans="1:22" hidden="1" outlineLevel="2" x14ac:dyDescent="0.25">
      <c r="A175" s="186">
        <f>SUMIFS(МКД!$A$6:$A$389,МКД!$D$6:$D$389,Таблица1[[#This Row],[2]])</f>
        <v>41</v>
      </c>
      <c r="B175" s="168"/>
      <c r="C175" s="182" t="s">
        <v>506</v>
      </c>
      <c r="D175" s="167" t="s">
        <v>1593</v>
      </c>
      <c r="E175" s="273" t="s">
        <v>1728</v>
      </c>
      <c r="F175" s="167">
        <v>1</v>
      </c>
      <c r="G175" s="168">
        <f>SUMIFS(Таблица1[[#This Row],[8]:[19]],$I$5:$T$5,"Выкуп")</f>
        <v>64.7</v>
      </c>
      <c r="H175" s="168">
        <f>SUMIFS(Таблица1[[#This Row],[8]:[19]],$I$5:$T$5,"Аренда")</f>
        <v>0</v>
      </c>
      <c r="I175" s="169"/>
      <c r="J175" s="169"/>
      <c r="K175" s="169">
        <v>64.7</v>
      </c>
      <c r="L175" s="169"/>
      <c r="M175" s="169"/>
      <c r="N175" s="169"/>
      <c r="O175" s="169"/>
      <c r="P175" s="169"/>
      <c r="Q175" s="169"/>
      <c r="R175" s="169"/>
      <c r="S175" s="169"/>
      <c r="T175" s="169"/>
      <c r="U175" s="170"/>
      <c r="V175" s="171"/>
    </row>
    <row r="176" spans="1:22" hidden="1" outlineLevel="2" x14ac:dyDescent="0.25">
      <c r="A176" s="186">
        <f>SUMIFS(МКД!$A$6:$A$389,МКД!$D$6:$D$389,Таблица1[[#This Row],[2]])</f>
        <v>41</v>
      </c>
      <c r="B176" s="168"/>
      <c r="C176" s="182" t="s">
        <v>506</v>
      </c>
      <c r="D176" s="167" t="s">
        <v>1053</v>
      </c>
      <c r="E176" s="167" t="s">
        <v>1949</v>
      </c>
      <c r="F176" s="167">
        <v>1</v>
      </c>
      <c r="G176" s="168">
        <f>SUMIFS(Таблица1[[#This Row],[8]:[19]],$I$5:$T$5,"Выкуп")</f>
        <v>29.2</v>
      </c>
      <c r="H176" s="168">
        <f>SUMIFS(Таблица1[[#This Row],[8]:[19]],$I$5:$T$5,"Аренда")</f>
        <v>0</v>
      </c>
      <c r="I176" s="169">
        <v>29.2</v>
      </c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70"/>
      <c r="V176" s="171"/>
    </row>
    <row r="177" spans="1:22" hidden="1" outlineLevel="2" x14ac:dyDescent="0.25">
      <c r="A177" s="186">
        <f>SUMIFS(МКД!$A$6:$A$389,МКД!$D$6:$D$389,Таблица1[[#This Row],[2]])</f>
        <v>41</v>
      </c>
      <c r="B177" s="168"/>
      <c r="C177" s="182" t="s">
        <v>506</v>
      </c>
      <c r="D177" s="167" t="s">
        <v>1617</v>
      </c>
      <c r="E177" s="167" t="s">
        <v>1618</v>
      </c>
      <c r="F177" s="167">
        <v>1</v>
      </c>
      <c r="G177" s="168">
        <f>SUMIFS(Таблица1[[#This Row],[8]:[19]],$I$5:$T$5,"Выкуп")</f>
        <v>44.4</v>
      </c>
      <c r="H177" s="168">
        <f>SUMIFS(Таблица1[[#This Row],[8]:[19]],$I$5:$T$5,"Аренда")</f>
        <v>0</v>
      </c>
      <c r="I177" s="169">
        <v>44.4</v>
      </c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70"/>
      <c r="V177" s="171"/>
    </row>
    <row r="178" spans="1:22" hidden="1" outlineLevel="2" x14ac:dyDescent="0.25">
      <c r="A178" s="186">
        <f>SUMIFS(МКД!$A$6:$A$389,МКД!$D$6:$D$389,Таблица1[[#This Row],[2]])</f>
        <v>41</v>
      </c>
      <c r="B178" s="168"/>
      <c r="C178" s="182" t="s">
        <v>506</v>
      </c>
      <c r="D178" s="167" t="s">
        <v>1053</v>
      </c>
      <c r="E178" s="167" t="s">
        <v>2752</v>
      </c>
      <c r="F178" s="167">
        <v>1</v>
      </c>
      <c r="G178" s="320">
        <f>SUMIFS(Таблица1[[#This Row],[8]:[19]],$I$5:$T$5,"Выкуп")</f>
        <v>216.4</v>
      </c>
      <c r="H178" s="168">
        <f>SUMIFS(Таблица1[[#This Row],[8]:[19]],$I$5:$T$5,"Аренда")</f>
        <v>0</v>
      </c>
      <c r="I178" s="169"/>
      <c r="J178" s="169"/>
      <c r="K178" s="169"/>
      <c r="L178" s="169"/>
      <c r="M178" s="278">
        <v>216.4</v>
      </c>
      <c r="N178" s="169"/>
      <c r="O178" s="169"/>
      <c r="P178" s="169"/>
      <c r="Q178" s="169"/>
      <c r="R178" s="169"/>
      <c r="S178" s="169"/>
      <c r="T178" s="169"/>
      <c r="U178" s="170"/>
      <c r="V178" s="171"/>
    </row>
    <row r="179" spans="1:22" hidden="1" outlineLevel="2" x14ac:dyDescent="0.25">
      <c r="A179" s="186">
        <f>SUMIFS(МКД!$A$6:$A$389,МКД!$D$6:$D$389,Таблица1[[#This Row],[2]])</f>
        <v>41</v>
      </c>
      <c r="B179" s="168"/>
      <c r="C179" s="182" t="s">
        <v>506</v>
      </c>
      <c r="D179" s="167" t="s">
        <v>1394</v>
      </c>
      <c r="E179" s="167" t="s">
        <v>2752</v>
      </c>
      <c r="F179" s="167">
        <v>1</v>
      </c>
      <c r="G179" s="320">
        <f>SUMIFS(Таблица1[[#This Row],[8]:[19]],$I$5:$T$5,"Выкуп")</f>
        <v>13.8</v>
      </c>
      <c r="H179" s="168">
        <f>SUMIFS(Таблица1[[#This Row],[8]:[19]],$I$5:$T$5,"Аренда")</f>
        <v>0</v>
      </c>
      <c r="I179" s="169"/>
      <c r="J179" s="169"/>
      <c r="K179" s="169"/>
      <c r="L179" s="169"/>
      <c r="M179" s="278">
        <v>13.8</v>
      </c>
      <c r="N179" s="169"/>
      <c r="O179" s="169"/>
      <c r="P179" s="169"/>
      <c r="Q179" s="169"/>
      <c r="R179" s="169"/>
      <c r="S179" s="169"/>
      <c r="T179" s="169"/>
      <c r="U179" s="170"/>
      <c r="V179" s="171"/>
    </row>
    <row r="180" spans="1:22" ht="15" outlineLevel="1" collapsed="1" x14ac:dyDescent="0.25">
      <c r="A180" s="186">
        <f>SUMIFS(МКД!$A$6:$A$389,МКД!$D$6:$D$389,Таблица1[[#This Row],[2]])</f>
        <v>42</v>
      </c>
      <c r="B180" s="194">
        <f>SUMIFS(Таблица1[6],Таблица1[2],Таблица1[[#This Row],[2]])+SUMIFS(Таблица1[7],Таблица1[2],Таблица1[[#This Row],[2]])</f>
        <v>414</v>
      </c>
      <c r="C180" s="185" t="s">
        <v>507</v>
      </c>
      <c r="D180" s="196"/>
      <c r="E180" s="196"/>
      <c r="F180" s="196"/>
      <c r="G180" s="168"/>
      <c r="H180" s="197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8"/>
    </row>
    <row r="181" spans="1:22" s="20" customFormat="1" hidden="1" outlineLevel="2" x14ac:dyDescent="0.25">
      <c r="A181" s="186">
        <f>SUMIFS(МКД!$A$6:$A$389,МКД!$D$6:$D$389,Таблица1[[#This Row],[2]])</f>
        <v>42</v>
      </c>
      <c r="B181" s="170"/>
      <c r="C181" s="182" t="s">
        <v>507</v>
      </c>
      <c r="D181" s="167" t="s">
        <v>2623</v>
      </c>
      <c r="E181" s="167" t="s">
        <v>109</v>
      </c>
      <c r="F181" s="167">
        <v>1</v>
      </c>
      <c r="G181" s="168">
        <f>SUMIFS(Таблица1[[#This Row],[8]:[19]],$I$5:$T$5,"Выкуп")</f>
        <v>96.8</v>
      </c>
      <c r="H181" s="168">
        <f>SUMIFS(Таблица1[[#This Row],[8]:[19]],$I$5:$T$5,"Аренда")</f>
        <v>0</v>
      </c>
      <c r="I181" s="169">
        <v>96.8</v>
      </c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70"/>
      <c r="V181" s="171"/>
    </row>
    <row r="182" spans="1:22" hidden="1" outlineLevel="2" x14ac:dyDescent="0.25">
      <c r="A182" s="186">
        <f>SUMIFS(МКД!$A$6:$A$389,МКД!$D$6:$D$389,Таблица1[[#This Row],[2]])</f>
        <v>42</v>
      </c>
      <c r="B182" s="168"/>
      <c r="C182" s="182" t="s">
        <v>507</v>
      </c>
      <c r="D182" s="167" t="s">
        <v>133</v>
      </c>
      <c r="E182" s="167" t="s">
        <v>977</v>
      </c>
      <c r="F182" s="167">
        <v>1</v>
      </c>
      <c r="G182" s="168">
        <f>SUMIFS(Таблица1[[#This Row],[8]:[19]],$I$5:$T$5,"Выкуп")</f>
        <v>202.9</v>
      </c>
      <c r="H182" s="168">
        <f>SUMIFS(Таблица1[[#This Row],[8]:[19]],$I$5:$T$5,"Аренда")</f>
        <v>0</v>
      </c>
      <c r="I182" s="169">
        <v>202.9</v>
      </c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70"/>
      <c r="V182" s="171"/>
    </row>
    <row r="183" spans="1:22" hidden="1" outlineLevel="2" x14ac:dyDescent="0.25">
      <c r="A183" s="186">
        <f>SUMIFS(МКД!$A$6:$A$389,МКД!$D$6:$D$389,Таблица1[[#This Row],[2]])</f>
        <v>42</v>
      </c>
      <c r="B183" s="168"/>
      <c r="C183" s="182" t="s">
        <v>507</v>
      </c>
      <c r="D183" s="167" t="s">
        <v>133</v>
      </c>
      <c r="E183" s="167" t="s">
        <v>978</v>
      </c>
      <c r="F183" s="167">
        <v>1</v>
      </c>
      <c r="G183" s="168">
        <f>SUMIFS(Таблица1[[#This Row],[8]:[19]],$I$5:$T$5,"Выкуп")</f>
        <v>74.8</v>
      </c>
      <c r="H183" s="168">
        <f>SUMIFS(Таблица1[[#This Row],[8]:[19]],$I$5:$T$5,"Аренда")</f>
        <v>0</v>
      </c>
      <c r="I183" s="169">
        <v>74.8</v>
      </c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70"/>
      <c r="V183" s="171"/>
    </row>
    <row r="184" spans="1:22" hidden="1" outlineLevel="2" x14ac:dyDescent="0.25">
      <c r="A184" s="186">
        <f>SUMIFS(МКД!$A$6:$A$389,МКД!$D$6:$D$389,Таблица1[[#This Row],[2]])</f>
        <v>42</v>
      </c>
      <c r="B184" s="168"/>
      <c r="C184" s="182" t="s">
        <v>507</v>
      </c>
      <c r="D184" s="167" t="s">
        <v>1053</v>
      </c>
      <c r="E184" s="167" t="s">
        <v>1949</v>
      </c>
      <c r="F184" s="167">
        <v>1</v>
      </c>
      <c r="G184" s="168">
        <f>SUMIFS(Таблица1[[#This Row],[8]:[19]],$I$5:$T$5,"Выкуп")</f>
        <v>26.3</v>
      </c>
      <c r="H184" s="168">
        <f>SUMIFS(Таблица1[[#This Row],[8]:[19]],$I$5:$T$5,"Аренда")</f>
        <v>0</v>
      </c>
      <c r="I184" s="169">
        <v>26.3</v>
      </c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70"/>
      <c r="V184" s="171"/>
    </row>
    <row r="185" spans="1:22" s="19" customFormat="1" hidden="1" outlineLevel="2" x14ac:dyDescent="0.25">
      <c r="A185" s="186">
        <f>SUMIFS(МКД!$A$6:$A$389,МКД!$D$6:$D$389,Таблица1[[#This Row],[2]])</f>
        <v>42</v>
      </c>
      <c r="B185" s="168"/>
      <c r="C185" s="182" t="s">
        <v>507</v>
      </c>
      <c r="D185" s="167" t="s">
        <v>189</v>
      </c>
      <c r="E185" s="167" t="s">
        <v>117</v>
      </c>
      <c r="F185" s="167"/>
      <c r="G185" s="168">
        <f>SUMIFS(Таблица1[[#This Row],[8]:[19]],$I$5:$T$5,"Выкуп")</f>
        <v>0</v>
      </c>
      <c r="H185" s="168">
        <f>SUMIFS(Таблица1[[#This Row],[8]:[19]],$I$5:$T$5,"Аренда")</f>
        <v>13.2</v>
      </c>
      <c r="I185" s="167"/>
      <c r="J185" s="169">
        <v>13.2</v>
      </c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70"/>
      <c r="V185" s="171"/>
    </row>
    <row r="186" spans="1:22" s="19" customFormat="1" ht="15" outlineLevel="1" collapsed="1" x14ac:dyDescent="0.25">
      <c r="A186" s="186">
        <f>SUMIFS(МКД!$A$6:$A$389,МКД!$D$6:$D$389,Таблица1[[#This Row],[2]])</f>
        <v>43</v>
      </c>
      <c r="B186" s="194">
        <f>SUMIFS(Таблица1[6],Таблица1[2],Таблица1[[#This Row],[2]])+SUMIFS(Таблица1[7],Таблица1[2],Таблица1[[#This Row],[2]])</f>
        <v>168.9</v>
      </c>
      <c r="C186" s="185" t="s">
        <v>508</v>
      </c>
      <c r="D186" s="196"/>
      <c r="E186" s="196"/>
      <c r="F186" s="196"/>
      <c r="G186" s="168"/>
      <c r="H186" s="197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8"/>
    </row>
    <row r="187" spans="1:22" s="19" customFormat="1" ht="15" hidden="1" outlineLevel="2" x14ac:dyDescent="0.25">
      <c r="A187" s="186">
        <f>SUMIFS(МКД!$A$6:$A$389,МКД!$D$6:$D$389,Таблица1[[#This Row],[2]])</f>
        <v>43</v>
      </c>
      <c r="B187" s="196"/>
      <c r="C187" s="182" t="s">
        <v>508</v>
      </c>
      <c r="D187" s="196" t="s">
        <v>1053</v>
      </c>
      <c r="E187" s="167" t="s">
        <v>2752</v>
      </c>
      <c r="F187" s="196"/>
      <c r="G187" s="168">
        <f>SUMIFS(Таблица1[[#This Row],[8]:[19]],$I$5:$T$5,"Выкуп")</f>
        <v>168.9</v>
      </c>
      <c r="H187" s="168">
        <f>SUMIFS(Таблица1[[#This Row],[8]:[19]],$I$5:$T$5,"Аренда")</f>
        <v>0</v>
      </c>
      <c r="I187" s="196"/>
      <c r="J187" s="196"/>
      <c r="K187" s="196"/>
      <c r="L187" s="196"/>
      <c r="M187" s="276">
        <v>168.9</v>
      </c>
      <c r="N187" s="196"/>
      <c r="O187" s="196"/>
      <c r="P187" s="196"/>
      <c r="Q187" s="196"/>
      <c r="R187" s="196"/>
      <c r="S187" s="196"/>
      <c r="T187" s="196"/>
      <c r="U187" s="196"/>
      <c r="V187" s="198"/>
    </row>
    <row r="188" spans="1:22" s="19" customFormat="1" ht="15" outlineLevel="1" collapsed="1" x14ac:dyDescent="0.25">
      <c r="A188" s="186">
        <f>SUMIFS(МКД!$A$6:$A$389,МКД!$D$6:$D$389,Таблица1[[#This Row],[2]])</f>
        <v>44</v>
      </c>
      <c r="B188" s="194">
        <f>SUMIFS(Таблица1[6],Таблица1[2],Таблица1[[#This Row],[2]])+SUMIFS(Таблица1[7],Таблица1[2],Таблица1[[#This Row],[2]])</f>
        <v>452.7</v>
      </c>
      <c r="C188" s="185" t="s">
        <v>509</v>
      </c>
      <c r="D188" s="196"/>
      <c r="E188" s="196"/>
      <c r="F188" s="196"/>
      <c r="G188" s="168"/>
      <c r="H188" s="197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8"/>
    </row>
    <row r="189" spans="1:22" s="19" customFormat="1" hidden="1" outlineLevel="2" x14ac:dyDescent="0.25">
      <c r="A189" s="186">
        <f>SUMIFS(МКД!$A$6:$A$389,МКД!$D$6:$D$389,Таблица1[[#This Row],[2]])</f>
        <v>44</v>
      </c>
      <c r="B189" s="170"/>
      <c r="C189" s="182" t="s">
        <v>509</v>
      </c>
      <c r="D189" s="167" t="s">
        <v>1053</v>
      </c>
      <c r="E189" s="167" t="s">
        <v>762</v>
      </c>
      <c r="F189" s="167">
        <v>1</v>
      </c>
      <c r="G189" s="168">
        <f>SUMIFS(Таблица1[[#This Row],[8]:[19]],$I$5:$T$5,"Выкуп")</f>
        <v>128.4</v>
      </c>
      <c r="H189" s="168">
        <f>SUMIFS(Таблица1[[#This Row],[8]:[19]],$I$5:$T$5,"Аренда")</f>
        <v>0</v>
      </c>
      <c r="I189" s="169">
        <v>128.4</v>
      </c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70"/>
      <c r="V189" s="171"/>
    </row>
    <row r="190" spans="1:22" s="19" customFormat="1" hidden="1" outlineLevel="2" x14ac:dyDescent="0.25">
      <c r="A190" s="186">
        <f>SUMIFS(МКД!$A$6:$A$389,МКД!$D$6:$D$389,Таблица1[[#This Row],[2]])</f>
        <v>44</v>
      </c>
      <c r="B190" s="168"/>
      <c r="C190" s="182" t="s">
        <v>509</v>
      </c>
      <c r="D190" s="167" t="s">
        <v>1593</v>
      </c>
      <c r="E190" s="273" t="s">
        <v>1730</v>
      </c>
      <c r="F190" s="167">
        <v>1</v>
      </c>
      <c r="G190" s="168">
        <f>SUMIFS(Таблица1[[#This Row],[8]:[19]],$I$5:$T$5,"Выкуп")</f>
        <v>66.5</v>
      </c>
      <c r="H190" s="168">
        <f>SUMIFS(Таблица1[[#This Row],[8]:[19]],$I$5:$T$5,"Аренда")</f>
        <v>0</v>
      </c>
      <c r="I190" s="169"/>
      <c r="J190" s="169"/>
      <c r="K190" s="169">
        <v>66.5</v>
      </c>
      <c r="L190" s="169"/>
      <c r="M190" s="169"/>
      <c r="N190" s="169"/>
      <c r="O190" s="169"/>
      <c r="P190" s="169"/>
      <c r="Q190" s="169"/>
      <c r="R190" s="169"/>
      <c r="S190" s="169"/>
      <c r="T190" s="169"/>
      <c r="U190" s="170"/>
      <c r="V190" s="171"/>
    </row>
    <row r="191" spans="1:22" s="19" customFormat="1" hidden="1" outlineLevel="2" x14ac:dyDescent="0.25">
      <c r="A191" s="186">
        <f>SUMIFS(МКД!$A$6:$A$389,МКД!$D$6:$D$389,Таблица1[[#This Row],[2]])</f>
        <v>44</v>
      </c>
      <c r="B191" s="168"/>
      <c r="C191" s="182" t="s">
        <v>509</v>
      </c>
      <c r="D191" s="167" t="s">
        <v>763</v>
      </c>
      <c r="E191" s="167" t="s">
        <v>764</v>
      </c>
      <c r="F191" s="167">
        <v>1</v>
      </c>
      <c r="G191" s="168">
        <f>SUMIFS(Таблица1[[#This Row],[8]:[19]],$I$5:$T$5,"Выкуп")</f>
        <v>30</v>
      </c>
      <c r="H191" s="168">
        <f>SUMIFS(Таблица1[[#This Row],[8]:[19]],$I$5:$T$5,"Аренда")</f>
        <v>0</v>
      </c>
      <c r="I191" s="169">
        <v>30</v>
      </c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70"/>
      <c r="V191" s="171"/>
    </row>
    <row r="192" spans="1:22" s="19" customFormat="1" hidden="1" outlineLevel="2" x14ac:dyDescent="0.25">
      <c r="A192" s="186">
        <f>SUMIFS(МКД!$A$6:$A$389,МКД!$D$6:$D$389,Таблица1[[#This Row],[2]])</f>
        <v>44</v>
      </c>
      <c r="B192" s="168"/>
      <c r="C192" s="182" t="s">
        <v>509</v>
      </c>
      <c r="D192" s="167" t="s">
        <v>765</v>
      </c>
      <c r="E192" s="167" t="s">
        <v>766</v>
      </c>
      <c r="F192" s="167">
        <v>1</v>
      </c>
      <c r="G192" s="168">
        <f>SUMIFS(Таблица1[[#This Row],[8]:[19]],$I$5:$T$5,"Выкуп")</f>
        <v>30.4</v>
      </c>
      <c r="H192" s="168">
        <f>SUMIFS(Таблица1[[#This Row],[8]:[19]],$I$5:$T$5,"Аренда")</f>
        <v>0</v>
      </c>
      <c r="I192" s="169">
        <v>30.4</v>
      </c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70"/>
      <c r="V192" s="171"/>
    </row>
    <row r="193" spans="1:22" s="19" customFormat="1" hidden="1" outlineLevel="2" x14ac:dyDescent="0.25">
      <c r="A193" s="186">
        <f>SUMIFS(МКД!$A$6:$A$389,МКД!$D$6:$D$389,Таблица1[[#This Row],[2]])</f>
        <v>44</v>
      </c>
      <c r="B193" s="168"/>
      <c r="C193" s="182" t="s">
        <v>509</v>
      </c>
      <c r="D193" s="167" t="s">
        <v>2655</v>
      </c>
      <c r="E193" s="167" t="s">
        <v>767</v>
      </c>
      <c r="F193" s="167">
        <v>1</v>
      </c>
      <c r="G193" s="168">
        <f>SUMIFS(Таблица1[[#This Row],[8]:[19]],$I$5:$T$5,"Выкуп")</f>
        <v>27.8</v>
      </c>
      <c r="H193" s="168">
        <f>SUMIFS(Таблица1[[#This Row],[8]:[19]],$I$5:$T$5,"Аренда")</f>
        <v>0</v>
      </c>
      <c r="I193" s="169">
        <v>27.8</v>
      </c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70"/>
      <c r="V193" s="171"/>
    </row>
    <row r="194" spans="1:22" s="19" customFormat="1" hidden="1" outlineLevel="2" x14ac:dyDescent="0.25">
      <c r="A194" s="186">
        <f>SUMIFS(МКД!$A$6:$A$389,МКД!$D$6:$D$389,Таблица1[[#This Row],[2]])</f>
        <v>44</v>
      </c>
      <c r="B194" s="168"/>
      <c r="C194" s="182" t="s">
        <v>509</v>
      </c>
      <c r="D194" s="167" t="s">
        <v>768</v>
      </c>
      <c r="E194" s="167" t="s">
        <v>769</v>
      </c>
      <c r="F194" s="167">
        <v>1</v>
      </c>
      <c r="G194" s="168">
        <f>SUMIFS(Таблица1[[#This Row],[8]:[19]],$I$5:$T$5,"Выкуп")</f>
        <v>16.399999999999999</v>
      </c>
      <c r="H194" s="168">
        <f>SUMIFS(Таблица1[[#This Row],[8]:[19]],$I$5:$T$5,"Аренда")</f>
        <v>0</v>
      </c>
      <c r="I194" s="169">
        <v>16.399999999999999</v>
      </c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70"/>
      <c r="V194" s="171"/>
    </row>
    <row r="195" spans="1:22" s="19" customFormat="1" hidden="1" outlineLevel="2" x14ac:dyDescent="0.25">
      <c r="A195" s="186">
        <f>SUMIFS(МКД!$A$6:$A$389,МКД!$D$6:$D$389,Таблица1[[#This Row],[2]])</f>
        <v>44</v>
      </c>
      <c r="B195" s="168"/>
      <c r="C195" s="182" t="s">
        <v>509</v>
      </c>
      <c r="D195" s="167" t="s">
        <v>1053</v>
      </c>
      <c r="E195" s="167" t="s">
        <v>2752</v>
      </c>
      <c r="F195" s="167">
        <v>1</v>
      </c>
      <c r="G195" s="168">
        <f>SUMIFS(Таблица1[[#This Row],[8]:[19]],$I$5:$T$5,"Выкуп")</f>
        <v>153.19999999999999</v>
      </c>
      <c r="H195" s="168">
        <f>SUMIFS(Таблица1[[#This Row],[8]:[19]],$I$5:$T$5,"Аренда")</f>
        <v>0</v>
      </c>
      <c r="I195" s="169"/>
      <c r="J195" s="169"/>
      <c r="K195" s="169"/>
      <c r="L195" s="169"/>
      <c r="M195" s="169">
        <v>153.19999999999999</v>
      </c>
      <c r="N195" s="169"/>
      <c r="O195" s="169"/>
      <c r="P195" s="169"/>
      <c r="Q195" s="169"/>
      <c r="R195" s="169"/>
      <c r="S195" s="169"/>
      <c r="T195" s="169"/>
      <c r="U195" s="170"/>
      <c r="V195" s="171"/>
    </row>
    <row r="196" spans="1:22" s="19" customFormat="1" ht="15" outlineLevel="1" collapsed="1" x14ac:dyDescent="0.25">
      <c r="A196" s="186">
        <f>SUMIFS(МКД!$A$6:$A$389,МКД!$D$6:$D$389,Таблица1[[#This Row],[2]])</f>
        <v>28</v>
      </c>
      <c r="B196" s="194">
        <f>SUMIFS(Таблица1[6],Таблица1[2],Таблица1[[#This Row],[2]])+SUMIFS(Таблица1[7],Таблица1[2],Таблица1[[#This Row],[2]])</f>
        <v>174.5</v>
      </c>
      <c r="C196" s="185" t="s">
        <v>510</v>
      </c>
      <c r="D196" s="196"/>
      <c r="E196" s="196"/>
      <c r="F196" s="196"/>
      <c r="G196" s="168"/>
      <c r="H196" s="197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8"/>
    </row>
    <row r="197" spans="1:22" hidden="1" outlineLevel="2" x14ac:dyDescent="0.25">
      <c r="A197" s="186">
        <f>SUMIFS(МКД!$A$6:$A$389,МКД!$D$6:$D$389,Таблица1[[#This Row],[2]])</f>
        <v>28</v>
      </c>
      <c r="B197" s="170"/>
      <c r="C197" s="182" t="s">
        <v>510</v>
      </c>
      <c r="D197" s="167" t="s">
        <v>2600</v>
      </c>
      <c r="E197" s="167" t="s">
        <v>1433</v>
      </c>
      <c r="F197" s="167"/>
      <c r="G197" s="168">
        <f>SUMIFS(Таблица1[[#This Row],[8]:[19]],$I$5:$T$5,"Выкуп")</f>
        <v>77.7</v>
      </c>
      <c r="H197" s="168">
        <f>SUMIFS(Таблица1[[#This Row],[8]:[19]],$I$5:$T$5,"Аренда")</f>
        <v>0</v>
      </c>
      <c r="I197" s="169">
        <v>77.7</v>
      </c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70"/>
      <c r="V197" s="171"/>
    </row>
    <row r="198" spans="1:22" hidden="1" outlineLevel="2" x14ac:dyDescent="0.25">
      <c r="A198" s="186">
        <f>SUMIFS(МКД!$A$6:$A$389,МКД!$D$6:$D$389,Таблица1[[#This Row],[2]])</f>
        <v>28</v>
      </c>
      <c r="B198" s="170"/>
      <c r="C198" s="182" t="s">
        <v>510</v>
      </c>
      <c r="D198" s="167" t="s">
        <v>1585</v>
      </c>
      <c r="E198" s="167" t="s">
        <v>1432</v>
      </c>
      <c r="F198" s="167"/>
      <c r="G198" s="168">
        <f>SUMIFS(Таблица1[[#This Row],[8]:[19]],$I$5:$T$5,"Выкуп")</f>
        <v>47.7</v>
      </c>
      <c r="H198" s="168">
        <f>SUMIFS(Таблица1[[#This Row],[8]:[19]],$I$5:$T$5,"Аренда")</f>
        <v>0</v>
      </c>
      <c r="I198" s="169">
        <v>47.7</v>
      </c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70"/>
      <c r="V198" s="171"/>
    </row>
    <row r="199" spans="1:22" hidden="1" outlineLevel="2" x14ac:dyDescent="0.25">
      <c r="A199" s="186">
        <f>SUMIFS(МКД!$A$6:$A$389,МКД!$D$6:$D$389,Таблица1[[#This Row],[2]])</f>
        <v>28</v>
      </c>
      <c r="B199" s="170"/>
      <c r="C199" s="182" t="s">
        <v>510</v>
      </c>
      <c r="D199" s="167" t="s">
        <v>1434</v>
      </c>
      <c r="E199" s="167" t="s">
        <v>1431</v>
      </c>
      <c r="F199" s="167"/>
      <c r="G199" s="168">
        <f>SUMIFS(Таблица1[[#This Row],[8]:[19]],$I$5:$T$5,"Выкуп")</f>
        <v>49.1</v>
      </c>
      <c r="H199" s="168">
        <f>SUMIFS(Таблица1[[#This Row],[8]:[19]],$I$5:$T$5,"Аренда")</f>
        <v>0</v>
      </c>
      <c r="I199" s="169">
        <v>49.1</v>
      </c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70"/>
      <c r="V199" s="171"/>
    </row>
    <row r="200" spans="1:22" ht="15" outlineLevel="1" collapsed="1" x14ac:dyDescent="0.25">
      <c r="A200" s="186">
        <f>SUMIFS(МКД!$A$6:$A$389,МКД!$D$6:$D$389,Таблица1[[#This Row],[2]])</f>
        <v>29</v>
      </c>
      <c r="B200" s="194">
        <f>SUMIFS(Таблица1[6],Таблица1[2],Таблица1[[#This Row],[2]])+SUMIFS(Таблица1[7],Таблица1[2],Таблица1[[#This Row],[2]])</f>
        <v>578.5</v>
      </c>
      <c r="C200" s="185" t="s">
        <v>511</v>
      </c>
      <c r="D200" s="196"/>
      <c r="E200" s="196"/>
      <c r="F200" s="196"/>
      <c r="G200" s="168"/>
      <c r="H200" s="197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8"/>
    </row>
    <row r="201" spans="1:22" hidden="1" outlineLevel="2" x14ac:dyDescent="0.25">
      <c r="A201" s="186">
        <f>SUMIFS(МКД!$A$6:$A$389,МКД!$D$6:$D$389,Таблица1[[#This Row],[2]])</f>
        <v>29</v>
      </c>
      <c r="B201" s="170"/>
      <c r="C201" s="182" t="s">
        <v>511</v>
      </c>
      <c r="D201" s="167" t="s">
        <v>1592</v>
      </c>
      <c r="E201" s="167" t="s">
        <v>1953</v>
      </c>
      <c r="F201" s="167">
        <v>1</v>
      </c>
      <c r="G201" s="168">
        <f>SUMIFS(Таблица1[[#This Row],[8]:[19]],$I$5:$T$5,"Выкуп")</f>
        <v>121.5</v>
      </c>
      <c r="H201" s="168">
        <f>SUMIFS(Таблица1[[#This Row],[8]:[19]],$I$5:$T$5,"Аренда")</f>
        <v>0</v>
      </c>
      <c r="I201" s="169">
        <v>121.5</v>
      </c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70"/>
      <c r="V201" s="171"/>
    </row>
    <row r="202" spans="1:22" hidden="1" outlineLevel="2" x14ac:dyDescent="0.25">
      <c r="A202" s="186">
        <f>SUMIFS(МКД!$A$6:$A$389,МКД!$D$6:$D$389,Таблица1[[#This Row],[2]])</f>
        <v>29</v>
      </c>
      <c r="B202" s="168"/>
      <c r="C202" s="182" t="s">
        <v>511</v>
      </c>
      <c r="D202" s="167" t="s">
        <v>1789</v>
      </c>
      <c r="E202" s="167" t="s">
        <v>1952</v>
      </c>
      <c r="F202" s="167">
        <v>1</v>
      </c>
      <c r="G202" s="168">
        <f>SUMIFS(Таблица1[[#This Row],[8]:[19]],$I$5:$T$5,"Выкуп")</f>
        <v>181.1</v>
      </c>
      <c r="H202" s="168">
        <f>SUMIFS(Таблица1[[#This Row],[8]:[19]],$I$5:$T$5,"Аренда")</f>
        <v>0</v>
      </c>
      <c r="I202" s="169">
        <f>181.1</f>
        <v>181.1</v>
      </c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70"/>
      <c r="V202" s="171"/>
    </row>
    <row r="203" spans="1:22" hidden="1" outlineLevel="2" x14ac:dyDescent="0.25">
      <c r="A203" s="186">
        <f>SUMIFS(МКД!$A$6:$A$389,МКД!$D$6:$D$389,Таблица1[[#This Row],[2]])</f>
        <v>29</v>
      </c>
      <c r="B203" s="168"/>
      <c r="C203" s="182" t="s">
        <v>511</v>
      </c>
      <c r="D203" s="167" t="s">
        <v>2024</v>
      </c>
      <c r="E203" s="167" t="s">
        <v>1633</v>
      </c>
      <c r="F203" s="167">
        <v>1</v>
      </c>
      <c r="G203" s="168">
        <f>SUMIFS(Таблица1[[#This Row],[8]:[19]],$I$5:$T$5,"Выкуп")</f>
        <v>27.8</v>
      </c>
      <c r="H203" s="168">
        <f>SUMIFS(Таблица1[[#This Row],[8]:[19]],$I$5:$T$5,"Аренда")</f>
        <v>0</v>
      </c>
      <c r="I203" s="169">
        <v>27.8</v>
      </c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70"/>
      <c r="V203" s="171"/>
    </row>
    <row r="204" spans="1:22" hidden="1" outlineLevel="2" x14ac:dyDescent="0.25">
      <c r="A204" s="186">
        <f>SUMIFS(МКД!$A$6:$A$389,МКД!$D$6:$D$389,Таблица1[[#This Row],[2]])</f>
        <v>29</v>
      </c>
      <c r="B204" s="168"/>
      <c r="C204" s="182" t="s">
        <v>511</v>
      </c>
      <c r="D204" s="167" t="s">
        <v>1593</v>
      </c>
      <c r="E204" s="273" t="s">
        <v>1728</v>
      </c>
      <c r="F204" s="167">
        <v>1</v>
      </c>
      <c r="G204" s="168">
        <f>SUMIFS(Таблица1[[#This Row],[8]:[19]],$I$5:$T$5,"Выкуп")</f>
        <v>66.7</v>
      </c>
      <c r="H204" s="168">
        <f>SUMIFS(Таблица1[[#This Row],[8]:[19]],$I$5:$T$5,"Аренда")</f>
        <v>0</v>
      </c>
      <c r="I204" s="169"/>
      <c r="J204" s="169"/>
      <c r="K204" s="169">
        <v>66.7</v>
      </c>
      <c r="L204" s="169"/>
      <c r="M204" s="169"/>
      <c r="N204" s="169"/>
      <c r="O204" s="169"/>
      <c r="P204" s="169"/>
      <c r="Q204" s="169"/>
      <c r="R204" s="169"/>
      <c r="S204" s="169"/>
      <c r="T204" s="169"/>
      <c r="U204" s="170"/>
      <c r="V204" s="171"/>
    </row>
    <row r="205" spans="1:22" hidden="1" outlineLevel="2" x14ac:dyDescent="0.25">
      <c r="A205" s="186">
        <f>SUMIFS(МКД!$A$6:$A$389,МКД!$D$6:$D$389,Таблица1[[#This Row],[2]])</f>
        <v>29</v>
      </c>
      <c r="B205" s="168"/>
      <c r="C205" s="182" t="s">
        <v>511</v>
      </c>
      <c r="D205" s="167" t="s">
        <v>1053</v>
      </c>
      <c r="E205" s="167" t="s">
        <v>1949</v>
      </c>
      <c r="F205" s="167">
        <v>1</v>
      </c>
      <c r="G205" s="168">
        <f>SUMIFS(Таблица1[[#This Row],[8]:[19]],$I$5:$T$5,"Выкуп")</f>
        <v>29.2</v>
      </c>
      <c r="H205" s="168">
        <f>SUMIFS(Таблица1[[#This Row],[8]:[19]],$I$5:$T$5,"Аренда")</f>
        <v>0</v>
      </c>
      <c r="I205" s="169">
        <v>29.2</v>
      </c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70"/>
      <c r="V205" s="171"/>
    </row>
    <row r="206" spans="1:22" hidden="1" outlineLevel="2" x14ac:dyDescent="0.25">
      <c r="A206" s="186">
        <f>SUMIFS(МКД!$A$6:$A$389,МКД!$D$6:$D$389,Таблица1[[#This Row],[2]])</f>
        <v>29</v>
      </c>
      <c r="B206" s="168"/>
      <c r="C206" s="182" t="s">
        <v>511</v>
      </c>
      <c r="D206" s="167" t="s">
        <v>1053</v>
      </c>
      <c r="E206" s="167" t="s">
        <v>2752</v>
      </c>
      <c r="F206" s="167">
        <v>1</v>
      </c>
      <c r="G206" s="168">
        <f>SUMIFS(Таблица1[[#This Row],[8]:[19]],$I$5:$T$5,"Выкуп")</f>
        <v>152.19999999999999</v>
      </c>
      <c r="H206" s="168">
        <f>SUMIFS(Таблица1[[#This Row],[8]:[19]],$I$5:$T$5,"Аренда")</f>
        <v>0</v>
      </c>
      <c r="I206" s="169"/>
      <c r="J206" s="169"/>
      <c r="K206" s="169"/>
      <c r="L206" s="169"/>
      <c r="M206" s="169">
        <v>152.19999999999999</v>
      </c>
      <c r="N206" s="169"/>
      <c r="O206" s="169"/>
      <c r="P206" s="169"/>
      <c r="Q206" s="169"/>
      <c r="R206" s="169"/>
      <c r="S206" s="169"/>
      <c r="T206" s="169"/>
      <c r="U206" s="170"/>
      <c r="V206" s="171"/>
    </row>
    <row r="207" spans="1:22" ht="15" outlineLevel="1" collapsed="1" x14ac:dyDescent="0.25">
      <c r="A207" s="186">
        <f>SUMIFS(МКД!$A$6:$A$389,МКД!$D$6:$D$389,Таблица1[[#This Row],[2]])</f>
        <v>30</v>
      </c>
      <c r="B207" s="194">
        <f>SUMIFS(Таблица1[6],Таблица1[2],Таблица1[[#This Row],[2]])+SUMIFS(Таблица1[7],Таблица1[2],Таблица1[[#This Row],[2]])</f>
        <v>212.7</v>
      </c>
      <c r="C207" s="185" t="s">
        <v>512</v>
      </c>
      <c r="D207" s="196"/>
      <c r="E207" s="196"/>
      <c r="F207" s="196"/>
      <c r="G207" s="168"/>
      <c r="H207" s="197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8"/>
    </row>
    <row r="208" spans="1:22" hidden="1" outlineLevel="2" x14ac:dyDescent="0.25">
      <c r="A208" s="186">
        <f>SUMIFS(МКД!$A$6:$A$389,МКД!$D$6:$D$389,Таблица1[[#This Row],[2]])</f>
        <v>30</v>
      </c>
      <c r="B208" s="170"/>
      <c r="C208" s="182" t="s">
        <v>512</v>
      </c>
      <c r="D208" s="167" t="s">
        <v>1811</v>
      </c>
      <c r="E208" s="167" t="s">
        <v>1395</v>
      </c>
      <c r="F208" s="167">
        <v>1</v>
      </c>
      <c r="G208" s="168">
        <f>SUMIFS(Таблица1[[#This Row],[8]:[19]],$I$5:$T$5,"Выкуп")</f>
        <v>82.2</v>
      </c>
      <c r="H208" s="168">
        <f>SUMIFS(Таблица1[[#This Row],[8]:[19]],$I$5:$T$5,"Аренда")</f>
        <v>0</v>
      </c>
      <c r="I208" s="169">
        <f>82.2-13.2</f>
        <v>69</v>
      </c>
      <c r="J208" s="169"/>
      <c r="K208" s="169"/>
      <c r="L208" s="169"/>
      <c r="M208" s="169"/>
      <c r="N208" s="169"/>
      <c r="O208" s="169">
        <v>13.2</v>
      </c>
      <c r="P208" s="169"/>
      <c r="Q208" s="169"/>
      <c r="R208" s="169"/>
      <c r="S208" s="169"/>
      <c r="T208" s="169"/>
      <c r="U208" s="170"/>
      <c r="V208" s="171"/>
    </row>
    <row r="209" spans="1:22" hidden="1" outlineLevel="2" x14ac:dyDescent="0.25">
      <c r="A209" s="186">
        <f>SUMIFS(МКД!$A$6:$A$389,МКД!$D$6:$D$389,Таблица1[[#This Row],[2]])</f>
        <v>30</v>
      </c>
      <c r="B209" s="170"/>
      <c r="C209" s="182" t="s">
        <v>512</v>
      </c>
      <c r="D209" s="167" t="s">
        <v>1053</v>
      </c>
      <c r="E209" s="167" t="s">
        <v>2827</v>
      </c>
      <c r="F209" s="167">
        <v>1</v>
      </c>
      <c r="G209" s="168">
        <f>SUMIFS(Таблица1[[#This Row],[8]:[19]],$I$5:$T$5,"Выкуп")</f>
        <v>130.5</v>
      </c>
      <c r="H209" s="168">
        <f>SUMIFS(Таблица1[[#This Row],[8]:[19]],$I$5:$T$5,"Аренда")</f>
        <v>0</v>
      </c>
      <c r="I209" s="169"/>
      <c r="J209" s="169"/>
      <c r="K209" s="169"/>
      <c r="L209" s="169"/>
      <c r="M209" s="169">
        <v>130.5</v>
      </c>
      <c r="N209" s="169"/>
      <c r="O209" s="169"/>
      <c r="P209" s="169"/>
      <c r="Q209" s="169"/>
      <c r="R209" s="169"/>
      <c r="S209" s="169"/>
      <c r="T209" s="169"/>
      <c r="U209" s="170"/>
      <c r="V209" s="171"/>
    </row>
    <row r="210" spans="1:22" ht="15" outlineLevel="1" collapsed="1" x14ac:dyDescent="0.25">
      <c r="A210" s="186">
        <f>SUMIFS(МКД!$A$6:$A$389,МКД!$D$6:$D$389,Таблица1[[#This Row],[2]])</f>
        <v>31</v>
      </c>
      <c r="B210" s="194">
        <f>SUMIFS(Таблица1[6],Таблица1[2],Таблица1[[#This Row],[2]])+SUMIFS(Таблица1[7],Таблица1[2],Таблица1[[#This Row],[2]])</f>
        <v>251.2</v>
      </c>
      <c r="C210" s="185" t="s">
        <v>513</v>
      </c>
      <c r="D210" s="196"/>
      <c r="E210" s="196"/>
      <c r="F210" s="196"/>
      <c r="G210" s="168"/>
      <c r="H210" s="197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8"/>
    </row>
    <row r="211" spans="1:22" hidden="1" outlineLevel="2" x14ac:dyDescent="0.25">
      <c r="A211" s="186">
        <f>SUMIFS(МКД!$A$6:$A$389,МКД!$D$6:$D$389,Таблица1[[#This Row],[2]])</f>
        <v>31</v>
      </c>
      <c r="B211" s="170"/>
      <c r="C211" s="182" t="s">
        <v>513</v>
      </c>
      <c r="D211" s="167" t="s">
        <v>770</v>
      </c>
      <c r="E211" s="167" t="s">
        <v>1205</v>
      </c>
      <c r="F211" s="167">
        <v>1</v>
      </c>
      <c r="G211" s="168">
        <f>SUMIFS(Таблица1[[#This Row],[8]:[19]],$I$5:$T$5,"Выкуп")</f>
        <v>68.7</v>
      </c>
      <c r="H211" s="168">
        <f>SUMIFS(Таблица1[[#This Row],[8]:[19]],$I$5:$T$5,"Аренда")</f>
        <v>0</v>
      </c>
      <c r="I211" s="169">
        <v>68.7</v>
      </c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70"/>
      <c r="V211" s="171"/>
    </row>
    <row r="212" spans="1:22" hidden="1" outlineLevel="2" x14ac:dyDescent="0.25">
      <c r="A212" s="186">
        <f>SUMIFS(МКД!$A$6:$A$389,МКД!$D$6:$D$389,Таблица1[[#This Row],[2]])</f>
        <v>31</v>
      </c>
      <c r="B212" s="168"/>
      <c r="C212" s="182" t="s">
        <v>513</v>
      </c>
      <c r="D212" s="167" t="s">
        <v>770</v>
      </c>
      <c r="E212" s="167" t="s">
        <v>2</v>
      </c>
      <c r="F212" s="167">
        <v>1</v>
      </c>
      <c r="G212" s="168">
        <f>SUMIFS(Таблица1[[#This Row],[8]:[19]],$I$5:$T$5,"Выкуп")</f>
        <v>0</v>
      </c>
      <c r="H212" s="168">
        <f>SUMIFS(Таблица1[[#This Row],[8]:[19]],$I$5:$T$5,"Аренда")</f>
        <v>10.8</v>
      </c>
      <c r="I212" s="169"/>
      <c r="J212" s="169"/>
      <c r="K212" s="169"/>
      <c r="L212" s="169"/>
      <c r="M212" s="169"/>
      <c r="N212" s="169"/>
      <c r="O212" s="169"/>
      <c r="P212" s="169">
        <v>10.8</v>
      </c>
      <c r="Q212" s="169"/>
      <c r="R212" s="169"/>
      <c r="S212" s="169"/>
      <c r="T212" s="169"/>
      <c r="U212" s="170"/>
      <c r="V212" s="171"/>
    </row>
    <row r="213" spans="1:22" hidden="1" outlineLevel="2" x14ac:dyDescent="0.25">
      <c r="A213" s="186">
        <f>SUMIFS(МКД!$A$6:$A$389,МКД!$D$6:$D$389,Таблица1[[#This Row],[2]])</f>
        <v>31</v>
      </c>
      <c r="B213" s="168"/>
      <c r="C213" s="182" t="s">
        <v>513</v>
      </c>
      <c r="D213" s="167" t="s">
        <v>770</v>
      </c>
      <c r="E213" s="167" t="s">
        <v>1206</v>
      </c>
      <c r="F213" s="167">
        <v>1</v>
      </c>
      <c r="G213" s="168">
        <f>SUMIFS(Таблица1[[#This Row],[8]:[19]],$I$5:$T$5,"Выкуп")</f>
        <v>171.7</v>
      </c>
      <c r="H213" s="168">
        <f>SUMIFS(Таблица1[[#This Row],[8]:[19]],$I$5:$T$5,"Аренда")</f>
        <v>0</v>
      </c>
      <c r="I213" s="169">
        <v>171.7</v>
      </c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70"/>
      <c r="V213" s="171"/>
    </row>
    <row r="214" spans="1:22" ht="15" outlineLevel="1" collapsed="1" x14ac:dyDescent="0.25">
      <c r="A214" s="186">
        <f>SUMIFS(МКД!$A$6:$A$389,МКД!$D$6:$D$389,Таблица1[[#This Row],[2]])</f>
        <v>32</v>
      </c>
      <c r="B214" s="194">
        <f>SUMIFS(Таблица1[6],Таблица1[2],Таблица1[[#This Row],[2]])+SUMIFS(Таблица1[7],Таблица1[2],Таблица1[[#This Row],[2]])</f>
        <v>401</v>
      </c>
      <c r="C214" s="185" t="s">
        <v>435</v>
      </c>
      <c r="D214" s="196"/>
      <c r="E214" s="196"/>
      <c r="F214" s="196"/>
      <c r="G214" s="168"/>
      <c r="H214" s="197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8"/>
    </row>
    <row r="215" spans="1:22" hidden="1" outlineLevel="2" x14ac:dyDescent="0.25">
      <c r="A215" s="186">
        <f>SUMIFS(МКД!$A$6:$A$389,МКД!$D$6:$D$389,Таблица1[[#This Row],[2]])</f>
        <v>32</v>
      </c>
      <c r="B215" s="170"/>
      <c r="C215" s="182" t="s">
        <v>435</v>
      </c>
      <c r="D215" s="167" t="s">
        <v>771</v>
      </c>
      <c r="E215" s="167" t="s">
        <v>1189</v>
      </c>
      <c r="F215" s="167">
        <v>1</v>
      </c>
      <c r="G215" s="168">
        <f>SUMIFS(Таблица1[[#This Row],[8]:[19]],$I$5:$T$5,"Выкуп")</f>
        <v>67.900000000000006</v>
      </c>
      <c r="H215" s="168">
        <f>SUMIFS(Таблица1[[#This Row],[8]:[19]],$I$5:$T$5,"Аренда")</f>
        <v>0</v>
      </c>
      <c r="I215" s="169">
        <v>67.900000000000006</v>
      </c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70"/>
      <c r="V215" s="171"/>
    </row>
    <row r="216" spans="1:22" hidden="1" outlineLevel="2" x14ac:dyDescent="0.25">
      <c r="A216" s="186">
        <f>SUMIFS(МКД!$A$6:$A$389,МКД!$D$6:$D$389,Таблица1[[#This Row],[2]])</f>
        <v>32</v>
      </c>
      <c r="B216" s="168"/>
      <c r="C216" s="182" t="s">
        <v>435</v>
      </c>
      <c r="D216" s="167" t="s">
        <v>2797</v>
      </c>
      <c r="E216" s="167" t="s">
        <v>952</v>
      </c>
      <c r="F216" s="167">
        <v>1</v>
      </c>
      <c r="G216" s="168">
        <f>SUMIFS(Таблица1[[#This Row],[8]:[19]],$I$5:$T$5,"Выкуп")</f>
        <v>127.1</v>
      </c>
      <c r="H216" s="168">
        <f>SUMIFS(Таблица1[[#This Row],[8]:[19]],$I$5:$T$5,"Аренда")</f>
        <v>0</v>
      </c>
      <c r="I216" s="169">
        <v>127.1</v>
      </c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70"/>
      <c r="V216" s="171"/>
    </row>
    <row r="217" spans="1:22" hidden="1" outlineLevel="2" x14ac:dyDescent="0.25">
      <c r="A217" s="186">
        <f>SUMIFS(МКД!$A$6:$A$389,МКД!$D$6:$D$389,Таблица1[[#This Row],[2]])</f>
        <v>32</v>
      </c>
      <c r="B217" s="168"/>
      <c r="C217" s="182" t="s">
        <v>435</v>
      </c>
      <c r="D217" s="167" t="s">
        <v>2797</v>
      </c>
      <c r="E217" s="167" t="s">
        <v>1812</v>
      </c>
      <c r="F217" s="167">
        <v>1</v>
      </c>
      <c r="G217" s="168">
        <f>SUMIFS(Таблица1[[#This Row],[8]:[19]],$I$5:$T$5,"Выкуп")</f>
        <v>0</v>
      </c>
      <c r="H217" s="168">
        <f>SUMIFS(Таблица1[[#This Row],[8]:[19]],$I$5:$T$5,"Аренда")</f>
        <v>11</v>
      </c>
      <c r="I217" s="169"/>
      <c r="J217" s="169"/>
      <c r="K217" s="169"/>
      <c r="L217" s="169"/>
      <c r="M217" s="169"/>
      <c r="N217" s="169"/>
      <c r="O217" s="167"/>
      <c r="P217" s="169">
        <v>11</v>
      </c>
      <c r="Q217" s="169"/>
      <c r="R217" s="169"/>
      <c r="S217" s="169"/>
      <c r="T217" s="169"/>
      <c r="U217" s="170"/>
      <c r="V217" s="171"/>
    </row>
    <row r="218" spans="1:22" hidden="1" outlineLevel="2" x14ac:dyDescent="0.25">
      <c r="A218" s="186">
        <f>SUMIFS(МКД!$A$6:$A$389,МКД!$D$6:$D$389,Таблица1[[#This Row],[2]])</f>
        <v>32</v>
      </c>
      <c r="B218" s="168"/>
      <c r="C218" s="182" t="s">
        <v>435</v>
      </c>
      <c r="D218" s="167" t="s">
        <v>1053</v>
      </c>
      <c r="E218" s="167" t="s">
        <v>2752</v>
      </c>
      <c r="F218" s="167">
        <v>1</v>
      </c>
      <c r="G218" s="168">
        <f>SUMIFS(Таблица1[[#This Row],[8]:[19]],$I$5:$T$5,"Выкуп")</f>
        <v>195</v>
      </c>
      <c r="H218" s="168">
        <f>SUMIFS(Таблица1[[#This Row],[8]:[19]],$I$5:$T$5,"Аренда")</f>
        <v>0</v>
      </c>
      <c r="I218" s="169"/>
      <c r="J218" s="169"/>
      <c r="K218" s="169"/>
      <c r="L218" s="169"/>
      <c r="M218" s="169">
        <v>195</v>
      </c>
      <c r="N218" s="169"/>
      <c r="O218" s="169"/>
      <c r="P218" s="169"/>
      <c r="Q218" s="169"/>
      <c r="R218" s="169"/>
      <c r="S218" s="169"/>
      <c r="T218" s="169"/>
      <c r="U218" s="170"/>
      <c r="V218" s="171"/>
    </row>
    <row r="219" spans="1:22" ht="15" outlineLevel="1" collapsed="1" x14ac:dyDescent="0.25">
      <c r="A219" s="186">
        <f>SUMIFS(МКД!$A$6:$A$389,МКД!$D$6:$D$389,Таблица1[[#This Row],[2]])</f>
        <v>33</v>
      </c>
      <c r="B219" s="194">
        <f>SUMIFS(Таблица1[6],Таблица1[2],Таблица1[[#This Row],[2]])+SUMIFS(Таблица1[7],Таблица1[2],Таблица1[[#This Row],[2]])</f>
        <v>321.8</v>
      </c>
      <c r="C219" s="185" t="s">
        <v>436</v>
      </c>
      <c r="D219" s="196"/>
      <c r="E219" s="196"/>
      <c r="F219" s="196"/>
      <c r="G219" s="168"/>
      <c r="H219" s="197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8"/>
    </row>
    <row r="220" spans="1:22" hidden="1" outlineLevel="2" x14ac:dyDescent="0.25">
      <c r="A220" s="186">
        <f>SUMIFS(МКД!$A$6:$A$389,МКД!$D$6:$D$389,Таблица1[[#This Row],[2]])</f>
        <v>33</v>
      </c>
      <c r="B220" s="168"/>
      <c r="C220" s="182" t="s">
        <v>436</v>
      </c>
      <c r="D220" s="167" t="s">
        <v>1401</v>
      </c>
      <c r="E220" s="167" t="s">
        <v>764</v>
      </c>
      <c r="F220" s="167"/>
      <c r="G220" s="168">
        <f>SUMIFS(Таблица1[[#This Row],[8]:[19]],$I$5:$T$5,"Выкуп")</f>
        <v>14.1</v>
      </c>
      <c r="H220" s="168">
        <f>SUMIFS(Таблица1[[#This Row],[8]:[19]],$I$5:$T$5,"Аренда")</f>
        <v>0</v>
      </c>
      <c r="I220" s="169">
        <v>14.1</v>
      </c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70"/>
      <c r="V220" s="171"/>
    </row>
    <row r="221" spans="1:22" hidden="1" outlineLevel="2" x14ac:dyDescent="0.25">
      <c r="A221" s="186">
        <f>SUMIFS(МКД!$A$6:$A$389,МКД!$D$6:$D$389,Таблица1[[#This Row],[2]])</f>
        <v>33</v>
      </c>
      <c r="B221" s="168"/>
      <c r="C221" s="182" t="s">
        <v>436</v>
      </c>
      <c r="D221" s="167" t="s">
        <v>2626</v>
      </c>
      <c r="E221" s="167" t="s">
        <v>2624</v>
      </c>
      <c r="F221" s="167"/>
      <c r="G221" s="168">
        <f>SUMIFS(Таблица1[[#This Row],[8]:[19]],$I$5:$T$5,"Выкуп")</f>
        <v>6</v>
      </c>
      <c r="H221" s="168">
        <f>SUMIFS(Таблица1[[#This Row],[8]:[19]],$I$5:$T$5,"Аренда")</f>
        <v>0</v>
      </c>
      <c r="I221" s="169">
        <v>6</v>
      </c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70"/>
      <c r="V221" s="171"/>
    </row>
    <row r="222" spans="1:22" hidden="1" outlineLevel="2" x14ac:dyDescent="0.25">
      <c r="A222" s="186">
        <f>SUMIFS(МКД!$A$6:$A$389,МКД!$D$6:$D$389,Таблица1[[#This Row],[2]])</f>
        <v>33</v>
      </c>
      <c r="B222" s="168"/>
      <c r="C222" s="182" t="s">
        <v>436</v>
      </c>
      <c r="D222" s="167" t="s">
        <v>2626</v>
      </c>
      <c r="E222" s="167" t="s">
        <v>2625</v>
      </c>
      <c r="F222" s="167"/>
      <c r="G222" s="168">
        <f>SUMIFS(Таблица1[[#This Row],[8]:[19]],$I$5:$T$5,"Выкуп")</f>
        <v>6</v>
      </c>
      <c r="H222" s="168">
        <f>SUMIFS(Таблица1[[#This Row],[8]:[19]],$I$5:$T$5,"Аренда")</f>
        <v>0</v>
      </c>
      <c r="I222" s="169">
        <v>6</v>
      </c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70"/>
      <c r="V222" s="171"/>
    </row>
    <row r="223" spans="1:22" hidden="1" outlineLevel="2" x14ac:dyDescent="0.25">
      <c r="A223" s="186">
        <f>SUMIFS(МКД!$A$6:$A$389,МКД!$D$6:$D$389,Таблица1[[#This Row],[2]])</f>
        <v>33</v>
      </c>
      <c r="B223" s="168"/>
      <c r="C223" s="182" t="s">
        <v>436</v>
      </c>
      <c r="D223" s="167" t="s">
        <v>1593</v>
      </c>
      <c r="E223" s="273" t="s">
        <v>1729</v>
      </c>
      <c r="F223" s="167"/>
      <c r="G223" s="168">
        <f>SUMIFS(Таблица1[[#This Row],[8]:[19]],$I$5:$T$5,"Выкуп")</f>
        <v>65.7</v>
      </c>
      <c r="H223" s="168">
        <f>SUMIFS(Таблица1[[#This Row],[8]:[19]],$I$5:$T$5,"Аренда")</f>
        <v>0</v>
      </c>
      <c r="I223" s="169"/>
      <c r="J223" s="169"/>
      <c r="K223" s="169">
        <v>65.7</v>
      </c>
      <c r="L223" s="169"/>
      <c r="M223" s="169"/>
      <c r="N223" s="169"/>
      <c r="O223" s="169"/>
      <c r="P223" s="169"/>
      <c r="Q223" s="169"/>
      <c r="R223" s="169"/>
      <c r="S223" s="169"/>
      <c r="T223" s="169"/>
      <c r="U223" s="170"/>
      <c r="V223" s="171"/>
    </row>
    <row r="224" spans="1:22" hidden="1" outlineLevel="2" x14ac:dyDescent="0.25">
      <c r="A224" s="186">
        <f>SUMIFS(МКД!$A$6:$A$389,МКД!$D$6:$D$389,Таблица1[[#This Row],[2]])</f>
        <v>33</v>
      </c>
      <c r="B224" s="168"/>
      <c r="C224" s="182" t="s">
        <v>436</v>
      </c>
      <c r="D224" s="167" t="s">
        <v>1053</v>
      </c>
      <c r="E224" s="167" t="s">
        <v>1949</v>
      </c>
      <c r="F224" s="167"/>
      <c r="G224" s="168">
        <f>SUMIFS(Таблица1[[#This Row],[8]:[19]],$I$5:$T$5,"Выкуп")</f>
        <v>27.7</v>
      </c>
      <c r="H224" s="168">
        <f>SUMIFS(Таблица1[[#This Row],[8]:[19]],$I$5:$T$5,"Аренда")</f>
        <v>0</v>
      </c>
      <c r="I224" s="169">
        <v>27.7</v>
      </c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70"/>
      <c r="V224" s="171"/>
    </row>
    <row r="225" spans="1:22" hidden="1" outlineLevel="2" x14ac:dyDescent="0.25">
      <c r="A225" s="186">
        <f>SUMIFS(МКД!$A$6:$A$389,МКД!$D$6:$D$389,Таблица1[[#This Row],[2]])</f>
        <v>33</v>
      </c>
      <c r="B225" s="194"/>
      <c r="C225" s="182" t="s">
        <v>436</v>
      </c>
      <c r="D225" s="167" t="s">
        <v>189</v>
      </c>
      <c r="E225" s="167" t="s">
        <v>115</v>
      </c>
      <c r="F225" s="167"/>
      <c r="G225" s="168">
        <f>SUMIFS(Таблица1[[#This Row],[8]:[19]],$I$5:$T$5,"Выкуп")</f>
        <v>0</v>
      </c>
      <c r="H225" s="168">
        <f>SUMIFS(Таблица1[[#This Row],[8]:[19]],$I$5:$T$5,"Аренда")</f>
        <v>49.5</v>
      </c>
      <c r="I225" s="167"/>
      <c r="J225" s="169">
        <v>49.5</v>
      </c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70"/>
      <c r="V225" s="171"/>
    </row>
    <row r="226" spans="1:22" hidden="1" outlineLevel="2" x14ac:dyDescent="0.25">
      <c r="A226" s="186">
        <f>SUMIFS(МКД!$A$6:$A$389,МКД!$D$6:$D$389,Таблица1[[#This Row],[2]])</f>
        <v>33</v>
      </c>
      <c r="B226" s="194"/>
      <c r="C226" s="182" t="s">
        <v>436</v>
      </c>
      <c r="D226" s="167" t="s">
        <v>1394</v>
      </c>
      <c r="E226" s="167" t="s">
        <v>2752</v>
      </c>
      <c r="F226" s="167"/>
      <c r="G226" s="168">
        <f>SUMIFS(Таблица1[[#This Row],[8]:[19]],$I$5:$T$5,"Выкуп")</f>
        <v>152.80000000000001</v>
      </c>
      <c r="H226" s="168">
        <f>SUMIFS(Таблица1[[#This Row],[8]:[19]],$I$5:$T$5,"Аренда")</f>
        <v>0</v>
      </c>
      <c r="I226" s="167"/>
      <c r="J226" s="169"/>
      <c r="K226" s="169"/>
      <c r="L226" s="169"/>
      <c r="M226" s="278">
        <v>152.80000000000001</v>
      </c>
      <c r="N226" s="169"/>
      <c r="O226" s="169"/>
      <c r="P226" s="169"/>
      <c r="Q226" s="169"/>
      <c r="R226" s="169"/>
      <c r="S226" s="169"/>
      <c r="T226" s="169"/>
      <c r="U226" s="170"/>
      <c r="V226" s="171"/>
    </row>
    <row r="227" spans="1:22" outlineLevel="1" collapsed="1" x14ac:dyDescent="0.25">
      <c r="A227" s="186">
        <f>SUMIFS(МКД!$A$6:$A$389,МКД!$D$6:$D$389,Таблица1[[#This Row],[2]])</f>
        <v>34</v>
      </c>
      <c r="B227" s="194">
        <f>SUMIFS(Таблица1[6],Таблица1[2],Таблица1[[#This Row],[2]])+SUMIFS(Таблица1[7],Таблица1[2],Таблица1[[#This Row],[2]])</f>
        <v>552.30000000000007</v>
      </c>
      <c r="C227" s="185" t="s">
        <v>437</v>
      </c>
      <c r="D227" s="167"/>
      <c r="E227" s="167"/>
      <c r="F227" s="167"/>
      <c r="G227" s="168"/>
      <c r="H227" s="168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70"/>
      <c r="V227" s="171"/>
    </row>
    <row r="228" spans="1:22" hidden="1" outlineLevel="2" x14ac:dyDescent="0.25">
      <c r="A228" s="186">
        <f>SUMIFS(МКД!$A$6:$A$389,МКД!$D$6:$D$389,Таблица1[[#This Row],[2]])</f>
        <v>34</v>
      </c>
      <c r="B228" s="168"/>
      <c r="C228" s="182" t="s">
        <v>437</v>
      </c>
      <c r="D228" s="167" t="s">
        <v>1838</v>
      </c>
      <c r="E228" s="167" t="s">
        <v>206</v>
      </c>
      <c r="F228" s="167">
        <v>1</v>
      </c>
      <c r="G228" s="168">
        <f>SUMIFS(Таблица1[[#This Row],[8]:[19]],$I$5:$T$5,"Выкуп")</f>
        <v>114.8</v>
      </c>
      <c r="H228" s="168">
        <f>SUMIFS(Таблица1[[#This Row],[8]:[19]],$I$5:$T$5,"Аренда")</f>
        <v>0</v>
      </c>
      <c r="I228" s="169"/>
      <c r="J228" s="169"/>
      <c r="K228" s="169">
        <v>114.8</v>
      </c>
      <c r="L228" s="169"/>
      <c r="M228" s="169"/>
      <c r="N228" s="169"/>
      <c r="O228" s="169"/>
      <c r="P228" s="169"/>
      <c r="Q228" s="169"/>
      <c r="R228" s="169"/>
      <c r="S228" s="169"/>
      <c r="T228" s="169"/>
      <c r="U228" s="170"/>
      <c r="V228" s="171"/>
    </row>
    <row r="229" spans="1:22" hidden="1" outlineLevel="2" x14ac:dyDescent="0.25">
      <c r="A229" s="186">
        <f>SUMIFS(МКД!$A$6:$A$389,МКД!$D$6:$D$389,Таблица1[[#This Row],[2]])</f>
        <v>34</v>
      </c>
      <c r="B229" s="168"/>
      <c r="C229" s="182" t="s">
        <v>437</v>
      </c>
      <c r="D229" s="167" t="s">
        <v>1696</v>
      </c>
      <c r="E229" s="167" t="s">
        <v>731</v>
      </c>
      <c r="F229" s="167">
        <v>1</v>
      </c>
      <c r="G229" s="168">
        <f>SUMIFS(Таблица1[[#This Row],[8]:[19]],$I$5:$T$5,"Выкуп")</f>
        <v>97.5</v>
      </c>
      <c r="H229" s="168">
        <f>SUMIFS(Таблица1[[#This Row],[8]:[19]],$I$5:$T$5,"Аренда")</f>
        <v>0</v>
      </c>
      <c r="I229" s="169"/>
      <c r="J229" s="169"/>
      <c r="K229" s="169">
        <v>97.5</v>
      </c>
      <c r="L229" s="169"/>
      <c r="M229" s="169"/>
      <c r="N229" s="169"/>
      <c r="O229" s="169"/>
      <c r="P229" s="169"/>
      <c r="Q229" s="169"/>
      <c r="R229" s="169"/>
      <c r="S229" s="169"/>
      <c r="T229" s="169"/>
      <c r="U229" s="170"/>
      <c r="V229" s="171"/>
    </row>
    <row r="230" spans="1:22" hidden="1" outlineLevel="2" x14ac:dyDescent="0.25">
      <c r="A230" s="186">
        <f>SUMIFS(МКД!$A$6:$A$389,МКД!$D$6:$D$389,Таблица1[[#This Row],[2]])</f>
        <v>34</v>
      </c>
      <c r="B230" s="168"/>
      <c r="C230" s="182" t="s">
        <v>437</v>
      </c>
      <c r="D230" s="167" t="s">
        <v>1784</v>
      </c>
      <c r="E230" s="167" t="s">
        <v>1783</v>
      </c>
      <c r="F230" s="167">
        <v>1</v>
      </c>
      <c r="G230" s="168">
        <f>SUMIFS(Таблица1[[#This Row],[8]:[19]],$I$5:$T$5,"Выкуп")</f>
        <v>225</v>
      </c>
      <c r="H230" s="168">
        <f>SUMIFS(Таблица1[[#This Row],[8]:[19]],$I$5:$T$5,"Аренда")</f>
        <v>0</v>
      </c>
      <c r="I230" s="169"/>
      <c r="J230" s="169"/>
      <c r="K230" s="169">
        <v>225</v>
      </c>
      <c r="L230" s="169"/>
      <c r="M230" s="169"/>
      <c r="N230" s="169"/>
      <c r="O230" s="169"/>
      <c r="P230" s="169"/>
      <c r="Q230" s="169"/>
      <c r="R230" s="169"/>
      <c r="S230" s="169"/>
      <c r="T230" s="169"/>
      <c r="U230" s="170"/>
      <c r="V230" s="171"/>
    </row>
    <row r="231" spans="1:22" hidden="1" outlineLevel="2" x14ac:dyDescent="0.25">
      <c r="A231" s="186">
        <f>SUMIFS(МКД!$A$6:$A$389,МКД!$D$6:$D$389,Таблица1[[#This Row],[2]])</f>
        <v>34</v>
      </c>
      <c r="B231" s="168"/>
      <c r="C231" s="182" t="s">
        <v>437</v>
      </c>
      <c r="D231" s="167" t="s">
        <v>1696</v>
      </c>
      <c r="E231" s="167" t="s">
        <v>1921</v>
      </c>
      <c r="F231" s="167">
        <v>1</v>
      </c>
      <c r="G231" s="168">
        <f>SUMIFS(Таблица1[[#This Row],[8]:[19]],$I$5:$T$5,"Выкуп")</f>
        <v>64.8</v>
      </c>
      <c r="H231" s="168">
        <f>SUMIFS(Таблица1[[#This Row],[8]:[19]],$I$5:$T$5,"Аренда")</f>
        <v>0</v>
      </c>
      <c r="I231" s="169"/>
      <c r="J231" s="169"/>
      <c r="K231" s="169">
        <v>64.8</v>
      </c>
      <c r="L231" s="169"/>
      <c r="M231" s="169"/>
      <c r="N231" s="169"/>
      <c r="O231" s="169"/>
      <c r="P231" s="169"/>
      <c r="Q231" s="169"/>
      <c r="R231" s="169"/>
      <c r="S231" s="169"/>
      <c r="T231" s="169"/>
      <c r="U231" s="170"/>
      <c r="V231" s="171"/>
    </row>
    <row r="232" spans="1:22" hidden="1" outlineLevel="2" x14ac:dyDescent="0.25">
      <c r="A232" s="186">
        <f>SUMIFS(МКД!$A$6:$A$389,МКД!$D$6:$D$389,Таблица1[[#This Row],[2]])</f>
        <v>34</v>
      </c>
      <c r="B232" s="168"/>
      <c r="C232" s="182" t="s">
        <v>437</v>
      </c>
      <c r="D232" s="167" t="s">
        <v>1053</v>
      </c>
      <c r="E232" s="167" t="s">
        <v>1207</v>
      </c>
      <c r="F232" s="167">
        <v>1</v>
      </c>
      <c r="G232" s="168">
        <f>SUMIFS(Таблица1[[#This Row],[8]:[19]],$I$5:$T$5,"Выкуп")</f>
        <v>50.2</v>
      </c>
      <c r="H232" s="168">
        <f>SUMIFS(Таблица1[[#This Row],[8]:[19]],$I$5:$T$5,"Аренда")</f>
        <v>0</v>
      </c>
      <c r="I232" s="169"/>
      <c r="J232" s="169"/>
      <c r="K232" s="169">
        <v>50.2</v>
      </c>
      <c r="L232" s="169"/>
      <c r="M232" s="169"/>
      <c r="N232" s="169"/>
      <c r="O232" s="169"/>
      <c r="P232" s="169"/>
      <c r="Q232" s="169"/>
      <c r="R232" s="169"/>
      <c r="S232" s="169"/>
      <c r="T232" s="169"/>
      <c r="U232" s="170"/>
      <c r="V232" s="171"/>
    </row>
    <row r="233" spans="1:22" ht="15" outlineLevel="1" collapsed="1" x14ac:dyDescent="0.25">
      <c r="A233" s="186">
        <f>SUMIFS(МКД!$A$6:$A$389,МКД!$D$6:$D$389,Таблица1[[#This Row],[2]])</f>
        <v>35</v>
      </c>
      <c r="B233" s="194">
        <f>SUMIFS(Таблица1[6],Таблица1[2],Таблица1[[#This Row],[2]])+SUMIFS(Таблица1[7],Таблица1[2],Таблица1[[#This Row],[2]])</f>
        <v>1826.4</v>
      </c>
      <c r="C233" s="185" t="s">
        <v>561</v>
      </c>
      <c r="D233" s="196"/>
      <c r="E233" s="196"/>
      <c r="F233" s="196"/>
      <c r="G233" s="168"/>
      <c r="H233" s="197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8"/>
    </row>
    <row r="234" spans="1:22" hidden="1" outlineLevel="2" x14ac:dyDescent="0.25">
      <c r="A234" s="186">
        <f>SUMIFS(МКД!$A$6:$A$389,МКД!$D$6:$D$389,Таблица1[[#This Row],[2]])</f>
        <v>35</v>
      </c>
      <c r="B234" s="170"/>
      <c r="C234" s="182" t="s">
        <v>561</v>
      </c>
      <c r="D234" s="167" t="s">
        <v>774</v>
      </c>
      <c r="E234" s="167" t="s">
        <v>1209</v>
      </c>
      <c r="F234" s="167">
        <v>1</v>
      </c>
      <c r="G234" s="168">
        <f>SUMIFS(Таблица1[[#This Row],[8]:[19]],$I$5:$T$5,"Выкуп")</f>
        <v>250.6</v>
      </c>
      <c r="H234" s="168">
        <f>SUMIFS(Таблица1[[#This Row],[8]:[19]],$I$5:$T$5,"Аренда")</f>
        <v>0</v>
      </c>
      <c r="I234" s="169">
        <v>250.6</v>
      </c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70"/>
      <c r="V234" s="171"/>
    </row>
    <row r="235" spans="1:22" hidden="1" outlineLevel="2" x14ac:dyDescent="0.25">
      <c r="A235" s="186">
        <f>SUMIFS(МКД!$A$6:$A$389,МКД!$D$6:$D$389,Таблица1[[#This Row],[2]])</f>
        <v>35</v>
      </c>
      <c r="B235" s="168"/>
      <c r="C235" s="182" t="s">
        <v>561</v>
      </c>
      <c r="D235" s="167" t="s">
        <v>775</v>
      </c>
      <c r="E235" s="167" t="s">
        <v>1359</v>
      </c>
      <c r="F235" s="167">
        <v>1</v>
      </c>
      <c r="G235" s="168">
        <f>SUMIFS(Таблица1[[#This Row],[8]:[19]],$I$5:$T$5,"Выкуп")</f>
        <v>105.5</v>
      </c>
      <c r="H235" s="168">
        <f>SUMIFS(Таблица1[[#This Row],[8]:[19]],$I$5:$T$5,"Аренда")</f>
        <v>0</v>
      </c>
      <c r="I235" s="169">
        <v>105.5</v>
      </c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70"/>
      <c r="V235" s="171"/>
    </row>
    <row r="236" spans="1:22" hidden="1" outlineLevel="2" x14ac:dyDescent="0.25">
      <c r="A236" s="186">
        <f>SUMIFS(МКД!$A$6:$A$389,МКД!$D$6:$D$389,Таблица1[[#This Row],[2]])</f>
        <v>35</v>
      </c>
      <c r="B236" s="168"/>
      <c r="C236" s="182" t="s">
        <v>561</v>
      </c>
      <c r="D236" s="167" t="s">
        <v>776</v>
      </c>
      <c r="E236" s="167" t="s">
        <v>2101</v>
      </c>
      <c r="F236" s="167">
        <v>1</v>
      </c>
      <c r="G236" s="168">
        <f>SUMIFS(Таблица1[[#This Row],[8]:[19]],$I$5:$T$5,"Выкуп")</f>
        <v>117.2</v>
      </c>
      <c r="H236" s="168">
        <f>SUMIFS(Таблица1[[#This Row],[8]:[19]],$I$5:$T$5,"Аренда")</f>
        <v>0</v>
      </c>
      <c r="I236" s="169">
        <v>117.2</v>
      </c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70"/>
      <c r="V236" s="171"/>
    </row>
    <row r="237" spans="1:22" hidden="1" outlineLevel="2" x14ac:dyDescent="0.25">
      <c r="A237" s="186">
        <f>SUMIFS(МКД!$A$6:$A$389,МКД!$D$6:$D$389,Таблица1[[#This Row],[2]])</f>
        <v>35</v>
      </c>
      <c r="B237" s="168"/>
      <c r="C237" s="182" t="s">
        <v>561</v>
      </c>
      <c r="D237" s="167" t="s">
        <v>777</v>
      </c>
      <c r="E237" s="167" t="s">
        <v>1210</v>
      </c>
      <c r="F237" s="167">
        <v>1</v>
      </c>
      <c r="G237" s="168">
        <f>SUMIFS(Таблица1[[#This Row],[8]:[19]],$I$5:$T$5,"Выкуп")</f>
        <v>231.2</v>
      </c>
      <c r="H237" s="168">
        <f>SUMIFS(Таблица1[[#This Row],[8]:[19]],$I$5:$T$5,"Аренда")</f>
        <v>0</v>
      </c>
      <c r="I237" s="169">
        <v>231.2</v>
      </c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70"/>
      <c r="V237" s="171"/>
    </row>
    <row r="238" spans="1:22" hidden="1" outlineLevel="2" x14ac:dyDescent="0.25">
      <c r="A238" s="186">
        <f>SUMIFS(МКД!$A$6:$A$389,МКД!$D$6:$D$389,Таблица1[[#This Row],[2]])</f>
        <v>35</v>
      </c>
      <c r="B238" s="168"/>
      <c r="C238" s="182" t="s">
        <v>561</v>
      </c>
      <c r="D238" s="167" t="s">
        <v>1522</v>
      </c>
      <c r="E238" s="167" t="s">
        <v>1211</v>
      </c>
      <c r="F238" s="167">
        <v>1</v>
      </c>
      <c r="G238" s="168">
        <f>SUMIFS(Таблица1[[#This Row],[8]:[19]],$I$5:$T$5,"Выкуп")</f>
        <v>127.3</v>
      </c>
      <c r="H238" s="168">
        <f>SUMIFS(Таблица1[[#This Row],[8]:[19]],$I$5:$T$5,"Аренда")</f>
        <v>0</v>
      </c>
      <c r="I238" s="169">
        <v>127.3</v>
      </c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70"/>
      <c r="V238" s="171"/>
    </row>
    <row r="239" spans="1:22" hidden="1" outlineLevel="2" x14ac:dyDescent="0.25">
      <c r="A239" s="186">
        <f>SUMIFS(МКД!$A$6:$A$389,МКД!$D$6:$D$389,Таблица1[[#This Row],[2]])</f>
        <v>35</v>
      </c>
      <c r="B239" s="168"/>
      <c r="C239" s="182" t="s">
        <v>561</v>
      </c>
      <c r="D239" s="167" t="s">
        <v>779</v>
      </c>
      <c r="E239" s="167" t="s">
        <v>1212</v>
      </c>
      <c r="F239" s="167">
        <v>1</v>
      </c>
      <c r="G239" s="168">
        <f>SUMIFS(Таблица1[[#This Row],[8]:[19]],$I$5:$T$5,"Выкуп")</f>
        <v>240.8</v>
      </c>
      <c r="H239" s="168">
        <f>SUMIFS(Таблица1[[#This Row],[8]:[19]],$I$5:$T$5,"Аренда")</f>
        <v>0</v>
      </c>
      <c r="I239" s="169">
        <v>240.8</v>
      </c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70"/>
      <c r="V239" s="171"/>
    </row>
    <row r="240" spans="1:22" hidden="1" outlineLevel="2" x14ac:dyDescent="0.25">
      <c r="A240" s="186">
        <f>SUMIFS(МКД!$A$6:$A$389,МКД!$D$6:$D$389,Таблица1[[#This Row],[2]])</f>
        <v>35</v>
      </c>
      <c r="B240" s="168"/>
      <c r="C240" s="182" t="s">
        <v>561</v>
      </c>
      <c r="D240" s="167" t="s">
        <v>780</v>
      </c>
      <c r="E240" s="167" t="s">
        <v>1213</v>
      </c>
      <c r="F240" s="167">
        <v>1</v>
      </c>
      <c r="G240" s="168">
        <f>SUMIFS(Таблица1[[#This Row],[8]:[19]],$I$5:$T$5,"Выкуп")</f>
        <v>175.9</v>
      </c>
      <c r="H240" s="168">
        <f>SUMIFS(Таблица1[[#This Row],[8]:[19]],$I$5:$T$5,"Аренда")</f>
        <v>0</v>
      </c>
      <c r="I240" s="169">
        <v>175.9</v>
      </c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70"/>
      <c r="V240" s="171"/>
    </row>
    <row r="241" spans="1:22" hidden="1" outlineLevel="2" x14ac:dyDescent="0.25">
      <c r="A241" s="186">
        <f>SUMIFS(МКД!$A$6:$A$389,МКД!$D$6:$D$389,Таблица1[[#This Row],[2]])</f>
        <v>35</v>
      </c>
      <c r="B241" s="168"/>
      <c r="C241" s="182" t="s">
        <v>561</v>
      </c>
      <c r="D241" s="167" t="s">
        <v>1337</v>
      </c>
      <c r="E241" s="167" t="s">
        <v>1214</v>
      </c>
      <c r="F241" s="167">
        <v>1</v>
      </c>
      <c r="G241" s="168">
        <f>SUMIFS(Таблица1[[#This Row],[8]:[19]],$I$5:$T$5,"Выкуп")</f>
        <v>49.4</v>
      </c>
      <c r="H241" s="168">
        <f>SUMIFS(Таблица1[[#This Row],[8]:[19]],$I$5:$T$5,"Аренда")</f>
        <v>0</v>
      </c>
      <c r="I241" s="169">
        <v>49.4</v>
      </c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70"/>
      <c r="V241" s="171"/>
    </row>
    <row r="242" spans="1:22" hidden="1" outlineLevel="2" x14ac:dyDescent="0.25">
      <c r="A242" s="186">
        <f>SUMIFS(МКД!$A$6:$A$389,МКД!$D$6:$D$389,Таблица1[[#This Row],[2]])</f>
        <v>35</v>
      </c>
      <c r="B242" s="168"/>
      <c r="C242" s="182" t="s">
        <v>561</v>
      </c>
      <c r="D242" s="167" t="s">
        <v>1394</v>
      </c>
      <c r="E242" s="167" t="s">
        <v>2752</v>
      </c>
      <c r="F242" s="167">
        <v>1</v>
      </c>
      <c r="G242" s="168">
        <f>SUMIFS(Таблица1[[#This Row],[8]:[19]],$I$5:$T$5,"Выкуп")</f>
        <v>396.2</v>
      </c>
      <c r="H242" s="168">
        <f>SUMIFS(Таблица1[[#This Row],[8]:[19]],$I$5:$T$5,"Аренда")</f>
        <v>0</v>
      </c>
      <c r="I242" s="169"/>
      <c r="J242" s="169"/>
      <c r="K242" s="169"/>
      <c r="L242" s="169"/>
      <c r="M242" s="169">
        <v>396.2</v>
      </c>
      <c r="N242" s="169"/>
      <c r="O242" s="169"/>
      <c r="P242" s="169"/>
      <c r="Q242" s="169"/>
      <c r="R242" s="169"/>
      <c r="S242" s="169"/>
      <c r="T242" s="169"/>
      <c r="U242" s="170"/>
      <c r="V242" s="171"/>
    </row>
    <row r="243" spans="1:22" hidden="1" outlineLevel="2" x14ac:dyDescent="0.25">
      <c r="A243" s="186">
        <f>SUMIFS(МКД!$A$6:$A$389,МКД!$D$6:$D$389,Таблица1[[#This Row],[2]])</f>
        <v>35</v>
      </c>
      <c r="B243" s="168"/>
      <c r="C243" s="182" t="s">
        <v>561</v>
      </c>
      <c r="D243" s="167" t="s">
        <v>781</v>
      </c>
      <c r="E243" s="167" t="s">
        <v>1215</v>
      </c>
      <c r="F243" s="167">
        <v>1</v>
      </c>
      <c r="G243" s="168">
        <f>SUMIFS(Таблица1[[#This Row],[8]:[19]],$I$5:$T$5,"Выкуп")</f>
        <v>123.3</v>
      </c>
      <c r="H243" s="168">
        <f>SUMIFS(Таблица1[[#This Row],[8]:[19]],$I$5:$T$5,"Аренда")</f>
        <v>0</v>
      </c>
      <c r="I243" s="169">
        <v>123.3</v>
      </c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70"/>
      <c r="V243" s="171"/>
    </row>
    <row r="244" spans="1:22" hidden="1" outlineLevel="2" x14ac:dyDescent="0.25">
      <c r="A244" s="186">
        <f>SUMIFS(МКД!$A$6:$A$389,МКД!$D$6:$D$389,Таблица1[[#This Row],[2]])</f>
        <v>35</v>
      </c>
      <c r="B244" s="168"/>
      <c r="C244" s="182" t="s">
        <v>561</v>
      </c>
      <c r="D244" s="167" t="s">
        <v>781</v>
      </c>
      <c r="E244" s="167" t="s">
        <v>2102</v>
      </c>
      <c r="F244" s="167">
        <v>1</v>
      </c>
      <c r="G244" s="168">
        <f>SUMIFS(Таблица1[[#This Row],[8]:[19]],$I$5:$T$5,"Выкуп")</f>
        <v>0</v>
      </c>
      <c r="H244" s="168">
        <f>SUMIFS(Таблица1[[#This Row],[8]:[19]],$I$5:$T$5,"Аренда")</f>
        <v>9</v>
      </c>
      <c r="I244" s="169"/>
      <c r="J244" s="169"/>
      <c r="K244" s="169"/>
      <c r="L244" s="169"/>
      <c r="M244" s="169"/>
      <c r="N244" s="169"/>
      <c r="O244" s="169"/>
      <c r="P244" s="169">
        <v>9</v>
      </c>
      <c r="Q244" s="169"/>
      <c r="R244" s="169"/>
      <c r="S244" s="169"/>
      <c r="T244" s="169"/>
      <c r="U244" s="170"/>
      <c r="V244" s="171"/>
    </row>
    <row r="245" spans="1:22" ht="15" outlineLevel="1" collapsed="1" x14ac:dyDescent="0.25">
      <c r="A245" s="186">
        <f>SUMIFS(МКД!$A$6:$A$389,МКД!$D$6:$D$389,Таблица1[[#This Row],[2]])</f>
        <v>36</v>
      </c>
      <c r="B245" s="194">
        <f>SUMIFS(Таблица1[6],Таблица1[2],Таблица1[[#This Row],[2]])+SUMIFS(Таблица1[7],Таблица1[2],Таблица1[[#This Row],[2]])</f>
        <v>608.1</v>
      </c>
      <c r="C245" s="185" t="s">
        <v>438</v>
      </c>
      <c r="D245" s="196"/>
      <c r="E245" s="196"/>
      <c r="F245" s="196"/>
      <c r="G245" s="168"/>
      <c r="H245" s="197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8"/>
    </row>
    <row r="246" spans="1:22" hidden="1" outlineLevel="2" x14ac:dyDescent="0.25">
      <c r="A246" s="186">
        <f>SUMIFS(МКД!$A$6:$A$389,МКД!$D$6:$D$389,Таблица1[[#This Row],[2]])</f>
        <v>36</v>
      </c>
      <c r="B246" s="170"/>
      <c r="C246" s="182" t="s">
        <v>438</v>
      </c>
      <c r="D246" s="167" t="s">
        <v>782</v>
      </c>
      <c r="E246" s="167" t="s">
        <v>1216</v>
      </c>
      <c r="F246" s="167">
        <v>1</v>
      </c>
      <c r="G246" s="168">
        <f>SUMIFS(Таблица1[[#This Row],[8]:[19]],$I$5:$T$5,"Выкуп")</f>
        <v>73.3</v>
      </c>
      <c r="H246" s="168">
        <f>SUMIFS(Таблица1[[#This Row],[8]:[19]],$I$5:$T$5,"Аренда")</f>
        <v>0</v>
      </c>
      <c r="I246" s="169">
        <v>73.3</v>
      </c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70"/>
      <c r="V246" s="171"/>
    </row>
    <row r="247" spans="1:22" hidden="1" outlineLevel="2" x14ac:dyDescent="0.25">
      <c r="A247" s="186">
        <f>SUMIFS(МКД!$A$6:$A$389,МКД!$D$6:$D$389,Таблица1[[#This Row],[2]])</f>
        <v>36</v>
      </c>
      <c r="B247" s="168"/>
      <c r="C247" s="182" t="s">
        <v>438</v>
      </c>
      <c r="D247" s="167" t="s">
        <v>782</v>
      </c>
      <c r="E247" s="167" t="s">
        <v>4</v>
      </c>
      <c r="F247" s="167">
        <v>1</v>
      </c>
      <c r="G247" s="168">
        <f>SUMIFS(Таблица1[[#This Row],[8]:[19]],$I$5:$T$5,"Выкуп")</f>
        <v>0</v>
      </c>
      <c r="H247" s="168">
        <f>SUMIFS(Таблица1[[#This Row],[8]:[19]],$I$5:$T$5,"Аренда")</f>
        <v>67.2</v>
      </c>
      <c r="I247" s="169"/>
      <c r="J247" s="169"/>
      <c r="K247" s="167"/>
      <c r="L247" s="169">
        <v>67.2</v>
      </c>
      <c r="M247" s="169"/>
      <c r="N247" s="169"/>
      <c r="O247" s="169"/>
      <c r="P247" s="169"/>
      <c r="Q247" s="169"/>
      <c r="R247" s="169"/>
      <c r="S247" s="169"/>
      <c r="T247" s="169"/>
      <c r="U247" s="170"/>
      <c r="V247" s="171"/>
    </row>
    <row r="248" spans="1:22" hidden="1" outlineLevel="2" x14ac:dyDescent="0.25">
      <c r="A248" s="186">
        <f>SUMIFS(МКД!$A$6:$A$389,МКД!$D$6:$D$389,Таблица1[[#This Row],[2]])</f>
        <v>36</v>
      </c>
      <c r="B248" s="168"/>
      <c r="C248" s="182" t="s">
        <v>438</v>
      </c>
      <c r="D248" s="167" t="s">
        <v>1839</v>
      </c>
      <c r="E248" s="167" t="s">
        <v>1840</v>
      </c>
      <c r="F248" s="167">
        <v>1</v>
      </c>
      <c r="G248" s="168">
        <f>SUMIFS(Таблица1[[#This Row],[8]:[19]],$I$5:$T$5,"Выкуп")</f>
        <v>51.6</v>
      </c>
      <c r="H248" s="168">
        <f>SUMIFS(Таблица1[[#This Row],[8]:[19]],$I$5:$T$5,"Аренда")</f>
        <v>0</v>
      </c>
      <c r="I248" s="169">
        <v>51.6</v>
      </c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70"/>
      <c r="V248" s="171"/>
    </row>
    <row r="249" spans="1:22" hidden="1" outlineLevel="2" x14ac:dyDescent="0.25">
      <c r="A249" s="186">
        <f>SUMIFS(МКД!$A$6:$A$389,МКД!$D$6:$D$389,Таблица1[[#This Row],[2]])</f>
        <v>36</v>
      </c>
      <c r="B249" s="168"/>
      <c r="C249" s="182" t="s">
        <v>438</v>
      </c>
      <c r="D249" s="167" t="s">
        <v>2717</v>
      </c>
      <c r="E249" s="167" t="s">
        <v>1217</v>
      </c>
      <c r="F249" s="167">
        <v>1</v>
      </c>
      <c r="G249" s="168">
        <f>SUMIFS(Таблица1[[#This Row],[8]:[19]],$I$5:$T$5,"Выкуп")</f>
        <v>102.3</v>
      </c>
      <c r="H249" s="168">
        <f>SUMIFS(Таблица1[[#This Row],[8]:[19]],$I$5:$T$5,"Аренда")</f>
        <v>0</v>
      </c>
      <c r="I249" s="169">
        <v>102.3</v>
      </c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70"/>
      <c r="V249" s="171"/>
    </row>
    <row r="250" spans="1:22" hidden="1" outlineLevel="2" x14ac:dyDescent="0.25">
      <c r="A250" s="186">
        <f>SUMIFS(МКД!$A$6:$A$389,МКД!$D$6:$D$389,Таблица1[[#This Row],[2]])</f>
        <v>36</v>
      </c>
      <c r="B250" s="168"/>
      <c r="C250" s="182" t="s">
        <v>438</v>
      </c>
      <c r="D250" s="167" t="s">
        <v>1509</v>
      </c>
      <c r="E250" s="167" t="s">
        <v>1476</v>
      </c>
      <c r="F250" s="167">
        <v>1</v>
      </c>
      <c r="G250" s="168">
        <f>SUMIFS(Таблица1[[#This Row],[8]:[19]],$I$5:$T$5,"Выкуп")</f>
        <v>41.6</v>
      </c>
      <c r="H250" s="168">
        <f>SUMIFS(Таблица1[[#This Row],[8]:[19]],$I$5:$T$5,"Аренда")</f>
        <v>0</v>
      </c>
      <c r="I250" s="169"/>
      <c r="J250" s="169"/>
      <c r="K250" s="169">
        <v>41.6</v>
      </c>
      <c r="L250" s="169"/>
      <c r="M250" s="169"/>
      <c r="N250" s="169"/>
      <c r="O250" s="169"/>
      <c r="P250" s="169"/>
      <c r="Q250" s="169"/>
      <c r="R250" s="169"/>
      <c r="S250" s="169"/>
      <c r="T250" s="169"/>
      <c r="U250" s="170"/>
      <c r="V250" s="171"/>
    </row>
    <row r="251" spans="1:22" hidden="1" outlineLevel="2" x14ac:dyDescent="0.25">
      <c r="A251" s="186">
        <f>SUMIFS(МКД!$A$6:$A$389,МКД!$D$6:$D$389,Таблица1[[#This Row],[2]])</f>
        <v>36</v>
      </c>
      <c r="B251" s="168"/>
      <c r="C251" s="182" t="s">
        <v>438</v>
      </c>
      <c r="D251" s="167" t="s">
        <v>737</v>
      </c>
      <c r="E251" s="167" t="s">
        <v>1218</v>
      </c>
      <c r="F251" s="167">
        <v>1</v>
      </c>
      <c r="G251" s="168">
        <f>SUMIFS(Таблица1[[#This Row],[8]:[19]],$I$5:$T$5,"Выкуп")</f>
        <v>47.9</v>
      </c>
      <c r="H251" s="168">
        <f>SUMIFS(Таблица1[[#This Row],[8]:[19]],$I$5:$T$5,"Аренда")</f>
        <v>0</v>
      </c>
      <c r="I251" s="169">
        <v>47.9</v>
      </c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70"/>
      <c r="V251" s="171"/>
    </row>
    <row r="252" spans="1:22" hidden="1" outlineLevel="2" x14ac:dyDescent="0.25">
      <c r="A252" s="186">
        <f>SUMIFS(МКД!$A$6:$A$389,МКД!$D$6:$D$389,Таблица1[[#This Row],[2]])</f>
        <v>36</v>
      </c>
      <c r="B252" s="168"/>
      <c r="C252" s="182" t="s">
        <v>438</v>
      </c>
      <c r="D252" s="167" t="s">
        <v>1354</v>
      </c>
      <c r="E252" s="167" t="s">
        <v>1355</v>
      </c>
      <c r="F252" s="167">
        <v>1</v>
      </c>
      <c r="G252" s="168">
        <f>SUMIFS(Таблица1[[#This Row],[8]:[19]],$I$5:$T$5,"Выкуп")</f>
        <v>80</v>
      </c>
      <c r="H252" s="168">
        <f>SUMIFS(Таблица1[[#This Row],[8]:[19]],$I$5:$T$5,"Аренда")</f>
        <v>0</v>
      </c>
      <c r="I252" s="169">
        <v>80</v>
      </c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70"/>
      <c r="V252" s="171"/>
    </row>
    <row r="253" spans="1:22" hidden="1" outlineLevel="2" x14ac:dyDescent="0.25">
      <c r="A253" s="186">
        <f>SUMIFS(МКД!$A$6:$A$389,МКД!$D$6:$D$389,Таблица1[[#This Row],[2]])</f>
        <v>36</v>
      </c>
      <c r="B253" s="168"/>
      <c r="C253" s="182" t="s">
        <v>438</v>
      </c>
      <c r="D253" s="167" t="s">
        <v>189</v>
      </c>
      <c r="E253" s="167" t="s">
        <v>114</v>
      </c>
      <c r="F253" s="167">
        <v>1</v>
      </c>
      <c r="G253" s="168">
        <f>SUMIFS(Таблица1[[#This Row],[8]:[19]],$I$5:$T$5,"Выкуп")</f>
        <v>97.8</v>
      </c>
      <c r="H253" s="168">
        <f>SUMIFS(Таблица1[[#This Row],[8]:[19]],$I$5:$T$5,"Аренда")</f>
        <v>0</v>
      </c>
      <c r="I253" s="169"/>
      <c r="J253" s="169"/>
      <c r="K253" s="169">
        <v>97.8</v>
      </c>
      <c r="L253" s="169"/>
      <c r="M253" s="169"/>
      <c r="N253" s="169"/>
      <c r="O253" s="169"/>
      <c r="P253" s="169"/>
      <c r="Q253" s="169"/>
      <c r="R253" s="169"/>
      <c r="S253" s="169"/>
      <c r="T253" s="169"/>
      <c r="U253" s="170"/>
      <c r="V253" s="171"/>
    </row>
    <row r="254" spans="1:22" hidden="1" outlineLevel="2" x14ac:dyDescent="0.25">
      <c r="A254" s="186">
        <f>SUMIFS(МКД!$A$6:$A$389,МКД!$D$6:$D$389,Таблица1[[#This Row],[2]])</f>
        <v>36</v>
      </c>
      <c r="B254" s="168"/>
      <c r="C254" s="182" t="s">
        <v>438</v>
      </c>
      <c r="D254" s="167" t="s">
        <v>1944</v>
      </c>
      <c r="E254" s="167" t="s">
        <v>1219</v>
      </c>
      <c r="F254" s="167"/>
      <c r="G254" s="168">
        <f>SUMIFS(Таблица1[[#This Row],[8]:[19]],$I$5:$T$5,"Выкуп")</f>
        <v>46.4</v>
      </c>
      <c r="H254" s="168">
        <f>SUMIFS(Таблица1[[#This Row],[8]:[19]],$I$5:$T$5,"Аренда")</f>
        <v>0</v>
      </c>
      <c r="I254" s="169">
        <v>46.4</v>
      </c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70"/>
      <c r="V254" s="171"/>
    </row>
    <row r="255" spans="1:22" ht="15" outlineLevel="1" collapsed="1" x14ac:dyDescent="0.25">
      <c r="A255" s="186">
        <f>SUMIFS(МКД!$A$6:$A$389,МКД!$D$6:$D$389,Таблица1[[#This Row],[2]])</f>
        <v>37</v>
      </c>
      <c r="B255" s="194">
        <f>SUMIFS(Таблица1[6],Таблица1[2],Таблица1[[#This Row],[2]])+SUMIFS(Таблица1[7],Таблица1[2],Таблица1[[#This Row],[2]])</f>
        <v>446</v>
      </c>
      <c r="C255" s="185" t="s">
        <v>562</v>
      </c>
      <c r="D255" s="196"/>
      <c r="E255" s="196"/>
      <c r="F255" s="196"/>
      <c r="G255" s="168"/>
      <c r="H255" s="197"/>
      <c r="I255" s="196"/>
      <c r="J255" s="196"/>
      <c r="K255" s="196"/>
      <c r="L255" s="196"/>
      <c r="M255" s="196"/>
      <c r="N255" s="196"/>
      <c r="O255" s="196"/>
      <c r="P255" s="196"/>
      <c r="Q255" s="196"/>
      <c r="R255" s="196"/>
      <c r="S255" s="196"/>
      <c r="T255" s="196"/>
      <c r="U255" s="196"/>
      <c r="V255" s="198"/>
    </row>
    <row r="256" spans="1:22" hidden="1" outlineLevel="2" x14ac:dyDescent="0.25">
      <c r="A256" s="186">
        <f>SUMIFS(МКД!$A$6:$A$389,МКД!$D$6:$D$389,Таблица1[[#This Row],[2]])</f>
        <v>37</v>
      </c>
      <c r="B256" s="170"/>
      <c r="C256" s="182" t="s">
        <v>562</v>
      </c>
      <c r="D256" s="167" t="s">
        <v>2601</v>
      </c>
      <c r="E256" s="167" t="s">
        <v>1220</v>
      </c>
      <c r="F256" s="167">
        <v>1</v>
      </c>
      <c r="G256" s="168">
        <f>SUMIFS(Таблица1[[#This Row],[8]:[19]],$I$5:$T$5,"Выкуп")</f>
        <v>126.6</v>
      </c>
      <c r="H256" s="168">
        <f>SUMIFS(Таблица1[[#This Row],[8]:[19]],$I$5:$T$5,"Аренда")</f>
        <v>0</v>
      </c>
      <c r="I256" s="278">
        <v>126.6</v>
      </c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70"/>
      <c r="V256" s="171"/>
    </row>
    <row r="257" spans="1:22" hidden="1" outlineLevel="2" x14ac:dyDescent="0.25">
      <c r="A257" s="186">
        <f>SUMIFS(МКД!$A$6:$A$389,МКД!$D$6:$D$389,Таблица1[[#This Row],[2]])</f>
        <v>37</v>
      </c>
      <c r="B257" s="168"/>
      <c r="C257" s="182" t="s">
        <v>562</v>
      </c>
      <c r="D257" s="167" t="s">
        <v>2813</v>
      </c>
      <c r="E257" s="167" t="s">
        <v>1201</v>
      </c>
      <c r="F257" s="167">
        <v>1</v>
      </c>
      <c r="G257" s="168">
        <f>SUMIFS(Таблица1[[#This Row],[8]:[19]],$I$5:$T$5,"Выкуп")</f>
        <v>119.4</v>
      </c>
      <c r="H257" s="168">
        <f>SUMIFS(Таблица1[[#This Row],[8]:[19]],$I$5:$T$5,"Аренда")</f>
        <v>0</v>
      </c>
      <c r="I257" s="169">
        <v>119.4</v>
      </c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70"/>
      <c r="V257" s="171"/>
    </row>
    <row r="258" spans="1:22" hidden="1" outlineLevel="2" x14ac:dyDescent="0.25">
      <c r="A258" s="186">
        <f>SUMIFS(МКД!$A$6:$A$389,МКД!$D$6:$D$389,Таблица1[[#This Row],[2]])</f>
        <v>37</v>
      </c>
      <c r="B258" s="168"/>
      <c r="C258" s="182" t="s">
        <v>562</v>
      </c>
      <c r="D258" s="167" t="s">
        <v>1053</v>
      </c>
      <c r="E258" s="167" t="s">
        <v>2827</v>
      </c>
      <c r="F258" s="167">
        <v>1</v>
      </c>
      <c r="G258" s="168">
        <f>SUMIFS(Таблица1[[#This Row],[8]:[19]],$I$5:$T$5,"Выкуп")</f>
        <v>200</v>
      </c>
      <c r="H258" s="168">
        <f>SUMIFS(Таблица1[[#This Row],[8]:[19]],$I$5:$T$5,"Аренда")</f>
        <v>0</v>
      </c>
      <c r="I258" s="169"/>
      <c r="J258" s="169"/>
      <c r="K258" s="169"/>
      <c r="L258" s="169"/>
      <c r="M258" s="169">
        <v>200</v>
      </c>
      <c r="N258" s="169"/>
      <c r="O258" s="169"/>
      <c r="P258" s="169"/>
      <c r="Q258" s="169"/>
      <c r="R258" s="169"/>
      <c r="S258" s="169"/>
      <c r="T258" s="169"/>
      <c r="U258" s="170"/>
      <c r="V258" s="171"/>
    </row>
    <row r="259" spans="1:22" ht="15" outlineLevel="1" collapsed="1" x14ac:dyDescent="0.25">
      <c r="A259" s="186">
        <f>SUMIFS(МКД!$A$6:$A$389,МКД!$D$6:$D$389,Таблица1[[#This Row],[2]])</f>
        <v>38</v>
      </c>
      <c r="B259" s="194">
        <f>SUMIFS(Таблица1[6],Таблица1[2],Таблица1[[#This Row],[2]])+SUMIFS(Таблица1[7],Таблица1[2],Таблица1[[#This Row],[2]])</f>
        <v>486.69999999999993</v>
      </c>
      <c r="C259" s="185" t="s">
        <v>563</v>
      </c>
      <c r="D259" s="196"/>
      <c r="E259" s="196"/>
      <c r="F259" s="196"/>
      <c r="G259" s="168"/>
      <c r="H259" s="197"/>
      <c r="I259" s="196"/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8"/>
    </row>
    <row r="260" spans="1:22" hidden="1" outlineLevel="2" x14ac:dyDescent="0.25">
      <c r="A260" s="186">
        <f>SUMIFS(МКД!$A$6:$A$389,МКД!$D$6:$D$389,Таблица1[[#This Row],[2]])</f>
        <v>38</v>
      </c>
      <c r="B260" s="170"/>
      <c r="C260" s="182" t="s">
        <v>563</v>
      </c>
      <c r="D260" s="167" t="s">
        <v>249</v>
      </c>
      <c r="E260" s="167" t="s">
        <v>109</v>
      </c>
      <c r="F260" s="167">
        <v>1</v>
      </c>
      <c r="G260" s="168">
        <f>SUMIFS(Таблица1[[#This Row],[8]:[19]],$I$5:$T$5,"Выкуп")</f>
        <v>102.3</v>
      </c>
      <c r="H260" s="168">
        <f>SUMIFS(Таблица1[[#This Row],[8]:[19]],$I$5:$T$5,"Аренда")</f>
        <v>0</v>
      </c>
      <c r="I260" s="169">
        <v>102.3</v>
      </c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70"/>
      <c r="V260" s="171"/>
    </row>
    <row r="261" spans="1:22" hidden="1" outlineLevel="2" x14ac:dyDescent="0.25">
      <c r="A261" s="186">
        <f>SUMIFS(МКД!$A$6:$A$389,МКД!$D$6:$D$389,Таблица1[[#This Row],[2]])</f>
        <v>38</v>
      </c>
      <c r="B261" s="168"/>
      <c r="C261" s="182" t="s">
        <v>563</v>
      </c>
      <c r="D261" s="167" t="s">
        <v>1854</v>
      </c>
      <c r="E261" s="167" t="s">
        <v>1221</v>
      </c>
      <c r="F261" s="167">
        <v>1</v>
      </c>
      <c r="G261" s="168">
        <f>SUMIFS(Таблица1[[#This Row],[8]:[19]],$I$5:$T$5,"Выкуп")</f>
        <v>116.9</v>
      </c>
      <c r="H261" s="168">
        <f>SUMIFS(Таблица1[[#This Row],[8]:[19]],$I$5:$T$5,"Аренда")</f>
        <v>0</v>
      </c>
      <c r="I261" s="169">
        <v>116.9</v>
      </c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70"/>
      <c r="V261" s="171"/>
    </row>
    <row r="262" spans="1:22" hidden="1" outlineLevel="2" x14ac:dyDescent="0.25">
      <c r="A262" s="186">
        <f>SUMIFS(МКД!$A$6:$A$389,МКД!$D$6:$D$389,Таблица1[[#This Row],[2]])</f>
        <v>38</v>
      </c>
      <c r="B262" s="168"/>
      <c r="C262" s="182" t="s">
        <v>563</v>
      </c>
      <c r="D262" s="167" t="s">
        <v>785</v>
      </c>
      <c r="E262" s="167" t="s">
        <v>1222</v>
      </c>
      <c r="F262" s="167">
        <v>1</v>
      </c>
      <c r="G262" s="168">
        <f>SUMIFS(Таблица1[[#This Row],[8]:[19]],$I$5:$T$5,"Выкуп")</f>
        <v>66.099999999999994</v>
      </c>
      <c r="H262" s="168">
        <f>SUMIFS(Таблица1[[#This Row],[8]:[19]],$I$5:$T$5,"Аренда")</f>
        <v>0</v>
      </c>
      <c r="I262" s="169">
        <v>66.099999999999994</v>
      </c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70"/>
      <c r="V262" s="171"/>
    </row>
    <row r="263" spans="1:22" hidden="1" outlineLevel="2" x14ac:dyDescent="0.25">
      <c r="A263" s="186">
        <f>SUMIFS(МКД!$A$6:$A$389,МКД!$D$6:$D$389,Таблица1[[#This Row],[2]])</f>
        <v>38</v>
      </c>
      <c r="B263" s="168"/>
      <c r="C263" s="182" t="s">
        <v>563</v>
      </c>
      <c r="D263" s="167" t="s">
        <v>1053</v>
      </c>
      <c r="E263" s="167" t="s">
        <v>2752</v>
      </c>
      <c r="F263" s="167">
        <v>1</v>
      </c>
      <c r="G263" s="168">
        <f>SUMIFS(Таблица1[[#This Row],[8]:[19]],$I$5:$T$5,"Выкуп")</f>
        <v>201.4</v>
      </c>
      <c r="H263" s="168">
        <f>SUMIFS(Таблица1[[#This Row],[8]:[19]],$I$5:$T$5,"Аренда")</f>
        <v>0</v>
      </c>
      <c r="I263" s="169"/>
      <c r="J263" s="169"/>
      <c r="K263" s="169"/>
      <c r="L263" s="169"/>
      <c r="M263" s="169">
        <v>201.4</v>
      </c>
      <c r="N263" s="169"/>
      <c r="O263" s="169"/>
      <c r="P263" s="169"/>
      <c r="Q263" s="169"/>
      <c r="R263" s="169"/>
      <c r="S263" s="169"/>
      <c r="T263" s="169"/>
      <c r="U263" s="170"/>
      <c r="V263" s="171"/>
    </row>
    <row r="264" spans="1:22" ht="15" outlineLevel="1" collapsed="1" x14ac:dyDescent="0.25">
      <c r="A264" s="186">
        <f>SUMIFS(МКД!$A$6:$A$389,МКД!$D$6:$D$389,Таблица1[[#This Row],[2]])</f>
        <v>45</v>
      </c>
      <c r="B264" s="194">
        <f>SUMIFS(Таблица1[6],Таблица1[2],Таблица1[[#This Row],[2]])+SUMIFS(Таблица1[7],Таблица1[2],Таблица1[[#This Row],[2]])</f>
        <v>897.8</v>
      </c>
      <c r="C264" s="185" t="s">
        <v>439</v>
      </c>
      <c r="D264" s="196"/>
      <c r="E264" s="196"/>
      <c r="F264" s="196"/>
      <c r="G264" s="168"/>
      <c r="H264" s="197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8"/>
    </row>
    <row r="265" spans="1:22" hidden="1" outlineLevel="2" x14ac:dyDescent="0.25">
      <c r="A265" s="186">
        <f>SUMIFS(МКД!$A$6:$A$389,МКД!$D$6:$D$389,Таблица1[[#This Row],[2]])</f>
        <v>45</v>
      </c>
      <c r="B265" s="170"/>
      <c r="C265" s="182" t="s">
        <v>439</v>
      </c>
      <c r="D265" s="167" t="s">
        <v>1226</v>
      </c>
      <c r="E265" s="167" t="s">
        <v>731</v>
      </c>
      <c r="F265" s="167">
        <v>1</v>
      </c>
      <c r="G265" s="168">
        <f>SUMIFS(Таблица1[[#This Row],[8]:[19]],$I$5:$T$5,"Выкуп")</f>
        <v>136.30000000000001</v>
      </c>
      <c r="H265" s="168">
        <f>SUMIFS(Таблица1[[#This Row],[8]:[19]],$I$5:$T$5,"Аренда")</f>
        <v>0</v>
      </c>
      <c r="I265" s="169">
        <v>136.30000000000001</v>
      </c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70"/>
      <c r="V265" s="171"/>
    </row>
    <row r="266" spans="1:22" hidden="1" outlineLevel="2" x14ac:dyDescent="0.25">
      <c r="A266" s="186">
        <f>SUMIFS(МКД!$A$6:$A$389,МКД!$D$6:$D$389,Таблица1[[#This Row],[2]])</f>
        <v>45</v>
      </c>
      <c r="B266" s="168"/>
      <c r="C266" s="182" t="s">
        <v>439</v>
      </c>
      <c r="D266" s="167" t="s">
        <v>2732</v>
      </c>
      <c r="E266" s="167" t="s">
        <v>1225</v>
      </c>
      <c r="F266" s="167">
        <v>1</v>
      </c>
      <c r="G266" s="168">
        <f>SUMIFS(Таблица1[[#This Row],[8]:[19]],$I$5:$T$5,"Выкуп")</f>
        <v>52.9</v>
      </c>
      <c r="H266" s="168">
        <f>SUMIFS(Таблица1[[#This Row],[8]:[19]],$I$5:$T$5,"Аренда")</f>
        <v>0</v>
      </c>
      <c r="I266" s="169">
        <v>52.9</v>
      </c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70"/>
      <c r="V266" s="171"/>
    </row>
    <row r="267" spans="1:22" hidden="1" outlineLevel="2" x14ac:dyDescent="0.25">
      <c r="A267" s="186">
        <f>SUMIFS(МКД!$A$6:$A$389,МКД!$D$6:$D$389,Таблица1[[#This Row],[2]])</f>
        <v>45</v>
      </c>
      <c r="B267" s="168"/>
      <c r="C267" s="182" t="s">
        <v>439</v>
      </c>
      <c r="D267" s="167" t="s">
        <v>786</v>
      </c>
      <c r="E267" s="167" t="s">
        <v>1553</v>
      </c>
      <c r="F267" s="167">
        <v>1</v>
      </c>
      <c r="G267" s="168">
        <f>SUMIFS(Таблица1[[#This Row],[8]:[19]],$I$5:$T$5,"Выкуп")</f>
        <v>109.5</v>
      </c>
      <c r="H267" s="168">
        <f>SUMIFS(Таблица1[[#This Row],[8]:[19]],$I$5:$T$5,"Аренда")</f>
        <v>0</v>
      </c>
      <c r="I267" s="169"/>
      <c r="J267" s="169"/>
      <c r="K267" s="169">
        <v>109.5</v>
      </c>
      <c r="L267" s="169"/>
      <c r="M267" s="169"/>
      <c r="N267" s="169"/>
      <c r="O267" s="169"/>
      <c r="P267" s="169"/>
      <c r="Q267" s="169"/>
      <c r="R267" s="169"/>
      <c r="S267" s="169"/>
      <c r="T267" s="169"/>
      <c r="U267" s="170"/>
      <c r="V267" s="171"/>
    </row>
    <row r="268" spans="1:22" hidden="1" outlineLevel="2" x14ac:dyDescent="0.25">
      <c r="A268" s="186">
        <f>SUMIFS(МКД!$A$6:$A$389,МКД!$D$6:$D$389,Таблица1[[#This Row],[2]])</f>
        <v>45</v>
      </c>
      <c r="B268" s="168"/>
      <c r="C268" s="182" t="s">
        <v>439</v>
      </c>
      <c r="D268" s="167" t="s">
        <v>787</v>
      </c>
      <c r="E268" s="167" t="s">
        <v>1224</v>
      </c>
      <c r="F268" s="167">
        <v>1</v>
      </c>
      <c r="G268" s="168">
        <f>SUMIFS(Таблица1[[#This Row],[8]:[19]],$I$5:$T$5,"Выкуп")</f>
        <v>90</v>
      </c>
      <c r="H268" s="168">
        <f>SUMIFS(Таблица1[[#This Row],[8]:[19]],$I$5:$T$5,"Аренда")</f>
        <v>0</v>
      </c>
      <c r="I268" s="169">
        <v>90</v>
      </c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70"/>
      <c r="V268" s="171"/>
    </row>
    <row r="269" spans="1:22" hidden="1" outlineLevel="2" x14ac:dyDescent="0.25">
      <c r="A269" s="186">
        <f>SUMIFS(МКД!$A$6:$A$389,МКД!$D$6:$D$389,Таблица1[[#This Row],[2]])</f>
        <v>45</v>
      </c>
      <c r="B269" s="168"/>
      <c r="C269" s="182" t="s">
        <v>439</v>
      </c>
      <c r="D269" s="167" t="s">
        <v>1954</v>
      </c>
      <c r="E269" s="167" t="s">
        <v>1158</v>
      </c>
      <c r="F269" s="167">
        <v>1</v>
      </c>
      <c r="G269" s="168">
        <f>SUMIFS(Таблица1[[#This Row],[8]:[19]],$I$5:$T$5,"Выкуп")</f>
        <v>47.9</v>
      </c>
      <c r="H269" s="168">
        <f>SUMIFS(Таблица1[[#This Row],[8]:[19]],$I$5:$T$5,"Аренда")</f>
        <v>0</v>
      </c>
      <c r="I269" s="169">
        <v>47.9</v>
      </c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70"/>
      <c r="V269" s="171"/>
    </row>
    <row r="270" spans="1:22" hidden="1" outlineLevel="2" x14ac:dyDescent="0.25">
      <c r="A270" s="186">
        <f>SUMIFS(МКД!$A$6:$A$389,МКД!$D$6:$D$389,Таблица1[[#This Row],[2]])</f>
        <v>45</v>
      </c>
      <c r="B270" s="168"/>
      <c r="C270" s="182" t="s">
        <v>439</v>
      </c>
      <c r="D270" s="167" t="s">
        <v>788</v>
      </c>
      <c r="E270" s="167" t="s">
        <v>984</v>
      </c>
      <c r="F270" s="167">
        <v>1</v>
      </c>
      <c r="G270" s="168">
        <f>SUMIFS(Таблица1[[#This Row],[8]:[19]],$I$5:$T$5,"Выкуп")</f>
        <v>73.8</v>
      </c>
      <c r="H270" s="168">
        <f>SUMIFS(Таблица1[[#This Row],[8]:[19]],$I$5:$T$5,"Аренда")</f>
        <v>0</v>
      </c>
      <c r="I270" s="169">
        <v>73.8</v>
      </c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70"/>
      <c r="V270" s="171"/>
    </row>
    <row r="271" spans="1:22" hidden="1" outlineLevel="2" x14ac:dyDescent="0.25">
      <c r="A271" s="186">
        <f>SUMIFS(МКД!$A$6:$A$389,МКД!$D$6:$D$389,Таблица1[[#This Row],[2]])</f>
        <v>45</v>
      </c>
      <c r="B271" s="168"/>
      <c r="C271" s="182" t="s">
        <v>439</v>
      </c>
      <c r="D271" s="167" t="s">
        <v>789</v>
      </c>
      <c r="E271" s="167" t="s">
        <v>1223</v>
      </c>
      <c r="F271" s="167">
        <v>1</v>
      </c>
      <c r="G271" s="168">
        <f>SUMIFS(Таблица1[[#This Row],[8]:[19]],$I$5:$T$5,"Выкуп")</f>
        <v>52.8</v>
      </c>
      <c r="H271" s="168">
        <f>SUMIFS(Таблица1[[#This Row],[8]:[19]],$I$5:$T$5,"Аренда")</f>
        <v>0</v>
      </c>
      <c r="I271" s="169">
        <v>52.8</v>
      </c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70"/>
      <c r="V271" s="171"/>
    </row>
    <row r="272" spans="1:22" hidden="1" outlineLevel="2" x14ac:dyDescent="0.25">
      <c r="A272" s="186">
        <f>SUMIFS(МКД!$A$6:$A$389,МКД!$D$6:$D$389,Таблица1[[#This Row],[2]])</f>
        <v>45</v>
      </c>
      <c r="B272" s="168"/>
      <c r="C272" s="182" t="s">
        <v>439</v>
      </c>
      <c r="D272" s="167" t="s">
        <v>1593</v>
      </c>
      <c r="E272" s="273" t="s">
        <v>1731</v>
      </c>
      <c r="F272" s="167">
        <v>1</v>
      </c>
      <c r="G272" s="168">
        <f>SUMIFS(Таблица1[[#This Row],[8]:[19]],$I$5:$T$5,"Выкуп")</f>
        <v>93.4</v>
      </c>
      <c r="H272" s="168">
        <f>SUMIFS(Таблица1[[#This Row],[8]:[19]],$I$5:$T$5,"Аренда")</f>
        <v>0</v>
      </c>
      <c r="I272" s="169"/>
      <c r="J272" s="169"/>
      <c r="K272" s="169">
        <v>93.4</v>
      </c>
      <c r="L272" s="169"/>
      <c r="M272" s="169"/>
      <c r="N272" s="169"/>
      <c r="O272" s="169"/>
      <c r="P272" s="169"/>
      <c r="Q272" s="169"/>
      <c r="R272" s="169"/>
      <c r="S272" s="169"/>
      <c r="T272" s="169"/>
      <c r="U272" s="170"/>
      <c r="V272" s="171"/>
    </row>
    <row r="273" spans="1:22" hidden="1" outlineLevel="2" x14ac:dyDescent="0.25">
      <c r="A273" s="186">
        <f>SUMIFS(МКД!$A$6:$A$389,МКД!$D$6:$D$389,Таблица1[[#This Row],[2]])</f>
        <v>45</v>
      </c>
      <c r="B273" s="168"/>
      <c r="C273" s="182" t="s">
        <v>439</v>
      </c>
      <c r="D273" s="167" t="s">
        <v>1053</v>
      </c>
      <c r="E273" s="167" t="s">
        <v>2752</v>
      </c>
      <c r="F273" s="167">
        <v>1</v>
      </c>
      <c r="G273" s="168">
        <f>SUMIFS(Таблица1[[#This Row],[8]:[19]],$I$5:$T$5,"Выкуп")</f>
        <v>241.2</v>
      </c>
      <c r="H273" s="168">
        <f>SUMIFS(Таблица1[[#This Row],[8]:[19]],$I$5:$T$5,"Аренда")</f>
        <v>0</v>
      </c>
      <c r="I273" s="169"/>
      <c r="J273" s="169"/>
      <c r="K273" s="169"/>
      <c r="L273" s="169"/>
      <c r="M273" s="199">
        <v>241.2</v>
      </c>
      <c r="N273" s="169"/>
      <c r="O273" s="169"/>
      <c r="P273" s="169"/>
      <c r="Q273" s="169"/>
      <c r="R273" s="169"/>
      <c r="S273" s="169"/>
      <c r="T273" s="169"/>
      <c r="U273" s="170"/>
      <c r="V273" s="171"/>
    </row>
    <row r="274" spans="1:22" ht="15" outlineLevel="1" collapsed="1" x14ac:dyDescent="0.25">
      <c r="A274" s="186">
        <f>SUMIFS(МКД!$A$6:$A$389,МКД!$D$6:$D$389,Таблица1[[#This Row],[2]])</f>
        <v>46</v>
      </c>
      <c r="B274" s="194">
        <f>SUMIFS(Таблица1[6],Таблица1[2],Таблица1[[#This Row],[2]])+SUMIFS(Таблица1[7],Таблица1[2],Таблица1[[#This Row],[2]])</f>
        <v>680.40000000000009</v>
      </c>
      <c r="C274" s="185" t="s">
        <v>440</v>
      </c>
      <c r="D274" s="196"/>
      <c r="E274" s="196"/>
      <c r="F274" s="196"/>
      <c r="G274" s="168"/>
      <c r="H274" s="197"/>
      <c r="I274" s="196"/>
      <c r="J274" s="196"/>
      <c r="K274" s="196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  <c r="V274" s="198"/>
    </row>
    <row r="275" spans="1:22" hidden="1" outlineLevel="2" x14ac:dyDescent="0.25">
      <c r="A275" s="186">
        <f>SUMIFS(МКД!$A$6:$A$389,МКД!$D$6:$D$389,Таблица1[[#This Row],[2]])</f>
        <v>46</v>
      </c>
      <c r="B275" s="170"/>
      <c r="C275" s="182" t="s">
        <v>440</v>
      </c>
      <c r="D275" s="167" t="s">
        <v>790</v>
      </c>
      <c r="E275" s="167" t="s">
        <v>1227</v>
      </c>
      <c r="F275" s="167">
        <v>1</v>
      </c>
      <c r="G275" s="168">
        <f>SUMIFS(Таблица1[[#This Row],[8]:[19]],$I$5:$T$5,"Выкуп")</f>
        <v>197.6</v>
      </c>
      <c r="H275" s="168">
        <f>SUMIFS(Таблица1[[#This Row],[8]:[19]],$I$5:$T$5,"Аренда")</f>
        <v>0</v>
      </c>
      <c r="I275" s="169">
        <v>197.6</v>
      </c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70"/>
      <c r="V275" s="171"/>
    </row>
    <row r="276" spans="1:22" hidden="1" outlineLevel="2" x14ac:dyDescent="0.25">
      <c r="A276" s="186">
        <f>SUMIFS(МКД!$A$6:$A$389,МКД!$D$6:$D$389,Таблица1[[#This Row],[2]])</f>
        <v>46</v>
      </c>
      <c r="B276" s="168"/>
      <c r="C276" s="182" t="s">
        <v>440</v>
      </c>
      <c r="D276" s="167" t="s">
        <v>791</v>
      </c>
      <c r="E276" s="167" t="s">
        <v>1230</v>
      </c>
      <c r="F276" s="167">
        <v>1</v>
      </c>
      <c r="G276" s="168">
        <f>SUMIFS(Таблица1[[#This Row],[8]:[19]],$I$5:$T$5,"Выкуп")</f>
        <v>120.4</v>
      </c>
      <c r="H276" s="168">
        <f>SUMIFS(Таблица1[[#This Row],[8]:[19]],$I$5:$T$5,"Аренда")</f>
        <v>0</v>
      </c>
      <c r="I276" s="169">
        <v>120.4</v>
      </c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70"/>
      <c r="V276" s="171"/>
    </row>
    <row r="277" spans="1:22" s="154" customFormat="1" hidden="1" outlineLevel="2" x14ac:dyDescent="0.25">
      <c r="A277" s="186">
        <f>SUMIFS(МКД!$A$6:$A$389,МКД!$D$6:$D$389,Таблица1[[#This Row],[2]])</f>
        <v>46</v>
      </c>
      <c r="B277" s="168"/>
      <c r="C277" s="182" t="s">
        <v>440</v>
      </c>
      <c r="D277" s="167" t="s">
        <v>792</v>
      </c>
      <c r="E277" s="167" t="s">
        <v>1229</v>
      </c>
      <c r="F277" s="167">
        <v>1</v>
      </c>
      <c r="G277" s="168">
        <f>SUMIFS(Таблица1[[#This Row],[8]:[19]],$I$5:$T$5,"Выкуп")</f>
        <v>102.1</v>
      </c>
      <c r="H277" s="168">
        <f>SUMIFS(Таблица1[[#This Row],[8]:[19]],$I$5:$T$5,"Аренда")</f>
        <v>0</v>
      </c>
      <c r="I277" s="169">
        <v>102.1</v>
      </c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70"/>
      <c r="V277" s="171"/>
    </row>
    <row r="278" spans="1:22" hidden="1" outlineLevel="2" x14ac:dyDescent="0.25">
      <c r="A278" s="186">
        <f>SUMIFS(МКД!$A$6:$A$389,МКД!$D$6:$D$389,Таблица1[[#This Row],[2]])</f>
        <v>46</v>
      </c>
      <c r="B278" s="168"/>
      <c r="C278" s="182" t="s">
        <v>440</v>
      </c>
      <c r="D278" s="167" t="s">
        <v>1394</v>
      </c>
      <c r="E278" s="167" t="s">
        <v>2753</v>
      </c>
      <c r="F278" s="167">
        <v>1</v>
      </c>
      <c r="G278" s="168">
        <f>SUMIFS(Таблица1[[#This Row],[8]:[19]],$I$5:$T$5,"Выкуп")</f>
        <v>67.800000000000011</v>
      </c>
      <c r="H278" s="168">
        <f>SUMIFS(Таблица1[[#This Row],[8]:[19]],$I$5:$T$5,"Аренда")</f>
        <v>0</v>
      </c>
      <c r="I278" s="169"/>
      <c r="J278" s="169"/>
      <c r="K278" s="169"/>
      <c r="L278" s="169"/>
      <c r="M278" s="169">
        <f>105.7-37.9</f>
        <v>67.800000000000011</v>
      </c>
      <c r="N278" s="169"/>
      <c r="O278" s="169"/>
      <c r="P278" s="169"/>
      <c r="Q278" s="169"/>
      <c r="R278" s="169"/>
      <c r="S278" s="169"/>
      <c r="T278" s="169"/>
      <c r="U278" s="170"/>
      <c r="V278" s="171"/>
    </row>
    <row r="279" spans="1:22" hidden="1" outlineLevel="2" x14ac:dyDescent="0.25">
      <c r="A279" s="186">
        <f>SUMIFS(МКД!$A$6:$A$389,МКД!$D$6:$D$389,Таблица1[[#This Row],[2]])</f>
        <v>46</v>
      </c>
      <c r="B279" s="168"/>
      <c r="C279" s="182" t="s">
        <v>440</v>
      </c>
      <c r="D279" s="167" t="s">
        <v>1053</v>
      </c>
      <c r="E279" s="167" t="s">
        <v>2753</v>
      </c>
      <c r="F279" s="167">
        <v>1</v>
      </c>
      <c r="G279" s="168">
        <f>SUMIFS(Таблица1[[#This Row],[8]:[19]],$I$5:$T$5,"Выкуп")</f>
        <v>37.9</v>
      </c>
      <c r="H279" s="168">
        <f>SUMIFS(Таблица1[[#This Row],[8]:[19]],$I$5:$T$5,"Аренда")</f>
        <v>0</v>
      </c>
      <c r="I279" s="169"/>
      <c r="J279" s="169"/>
      <c r="K279" s="169"/>
      <c r="L279" s="169"/>
      <c r="M279" s="169">
        <v>37.9</v>
      </c>
      <c r="N279" s="169"/>
      <c r="O279" s="169"/>
      <c r="P279" s="169"/>
      <c r="Q279" s="169"/>
      <c r="R279" s="169"/>
      <c r="S279" s="169"/>
      <c r="T279" s="169"/>
      <c r="U279" s="170"/>
      <c r="V279" s="171"/>
    </row>
    <row r="280" spans="1:22" hidden="1" outlineLevel="2" x14ac:dyDescent="0.25">
      <c r="A280" s="186">
        <f>SUMIFS(МКД!$A$6:$A$389,МКД!$D$6:$D$389,Таблица1[[#This Row],[2]])</f>
        <v>46</v>
      </c>
      <c r="B280" s="168"/>
      <c r="C280" s="182" t="s">
        <v>440</v>
      </c>
      <c r="D280" s="167" t="s">
        <v>1510</v>
      </c>
      <c r="E280" s="167" t="s">
        <v>1817</v>
      </c>
      <c r="F280" s="167">
        <v>1</v>
      </c>
      <c r="G280" s="168">
        <f>SUMIFS(Таблица1[[#This Row],[8]:[19]],$I$5:$T$5,"Выкуп")</f>
        <v>0</v>
      </c>
      <c r="H280" s="168">
        <f>SUMIFS(Таблица1[[#This Row],[8]:[19]],$I$5:$T$5,"Аренда")</f>
        <v>12.4</v>
      </c>
      <c r="I280" s="169"/>
      <c r="J280" s="169"/>
      <c r="K280" s="169"/>
      <c r="L280" s="169"/>
      <c r="M280" s="169"/>
      <c r="N280" s="169"/>
      <c r="O280" s="167"/>
      <c r="P280" s="169">
        <v>12.4</v>
      </c>
      <c r="Q280" s="169"/>
      <c r="R280" s="169"/>
      <c r="S280" s="169"/>
      <c r="T280" s="169"/>
      <c r="U280" s="170"/>
      <c r="V280" s="171"/>
    </row>
    <row r="281" spans="1:22" hidden="1" outlineLevel="2" x14ac:dyDescent="0.25">
      <c r="A281" s="186">
        <f>SUMIFS(МКД!$A$6:$A$389,МКД!$D$6:$D$389,Таблица1[[#This Row],[2]])</f>
        <v>46</v>
      </c>
      <c r="B281" s="168"/>
      <c r="C281" s="182" t="s">
        <v>440</v>
      </c>
      <c r="D281" s="167" t="s">
        <v>793</v>
      </c>
      <c r="E281" s="167" t="s">
        <v>1074</v>
      </c>
      <c r="F281" s="167">
        <v>1</v>
      </c>
      <c r="G281" s="168">
        <f>SUMIFS(Таблица1[[#This Row],[8]:[19]],$I$5:$T$5,"Выкуп")</f>
        <v>48.5</v>
      </c>
      <c r="H281" s="168">
        <f>SUMIFS(Таблица1[[#This Row],[8]:[19]],$I$5:$T$5,"Аренда")</f>
        <v>0</v>
      </c>
      <c r="I281" s="169">
        <v>48.5</v>
      </c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70"/>
      <c r="V281" s="171"/>
    </row>
    <row r="282" spans="1:22" s="20" customFormat="1" hidden="1" outlineLevel="2" x14ac:dyDescent="0.25">
      <c r="A282" s="186">
        <f>SUMIFS(МКД!$A$6:$A$389,МКД!$D$6:$D$389,Таблица1[[#This Row],[2]])</f>
        <v>46</v>
      </c>
      <c r="B282" s="168"/>
      <c r="C282" s="182" t="s">
        <v>440</v>
      </c>
      <c r="D282" s="167" t="s">
        <v>1634</v>
      </c>
      <c r="E282" s="167" t="s">
        <v>1228</v>
      </c>
      <c r="F282" s="167">
        <v>1</v>
      </c>
      <c r="G282" s="168">
        <f>SUMIFS(Таблица1[[#This Row],[8]:[19]],$I$5:$T$5,"Выкуп")</f>
        <v>93.7</v>
      </c>
      <c r="H282" s="168">
        <f>SUMIFS(Таблица1[[#This Row],[8]:[19]],$I$5:$T$5,"Аренда")</f>
        <v>0</v>
      </c>
      <c r="I282" s="169">
        <v>93.7</v>
      </c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70"/>
      <c r="V282" s="171"/>
    </row>
    <row r="283" spans="1:22" s="20" customFormat="1" ht="15" outlineLevel="1" collapsed="1" x14ac:dyDescent="0.25">
      <c r="A283" s="186">
        <f>SUMIFS(МКД!$A$6:$A$389,МКД!$D$6:$D$389,Таблица1[[#This Row],[2]])</f>
        <v>47</v>
      </c>
      <c r="B283" s="194">
        <f>SUMIFS(Таблица1[6],Таблица1[2],Таблица1[[#This Row],[2]])+SUMIFS(Таблица1[7],Таблица1[2],Таблица1[[#This Row],[2]])</f>
        <v>60.9</v>
      </c>
      <c r="C283" s="185" t="s">
        <v>441</v>
      </c>
      <c r="D283" s="196"/>
      <c r="E283" s="196"/>
      <c r="F283" s="196"/>
      <c r="G283" s="168"/>
      <c r="H283" s="197"/>
      <c r="I283" s="196"/>
      <c r="J283" s="196"/>
      <c r="K283" s="196"/>
      <c r="L283" s="196"/>
      <c r="M283" s="196"/>
      <c r="N283" s="196"/>
      <c r="O283" s="196"/>
      <c r="P283" s="196"/>
      <c r="Q283" s="196"/>
      <c r="R283" s="196"/>
      <c r="S283" s="196"/>
      <c r="T283" s="196"/>
      <c r="U283" s="196"/>
      <c r="V283" s="198"/>
    </row>
    <row r="284" spans="1:22" hidden="1" outlineLevel="2" x14ac:dyDescent="0.25">
      <c r="A284" s="186">
        <f>SUMIFS(МКД!$A$6:$A$389,МКД!$D$6:$D$389,Таблица1[[#This Row],[2]])</f>
        <v>47</v>
      </c>
      <c r="B284" s="170"/>
      <c r="C284" s="182" t="s">
        <v>441</v>
      </c>
      <c r="D284" s="167" t="s">
        <v>2091</v>
      </c>
      <c r="E284" s="167" t="s">
        <v>988</v>
      </c>
      <c r="F284" s="167">
        <v>1</v>
      </c>
      <c r="G284" s="168">
        <f>SUMIFS(Таблица1[[#This Row],[8]:[19]],$I$5:$T$5,"Выкуп")</f>
        <v>60.9</v>
      </c>
      <c r="H284" s="168">
        <f>SUMIFS(Таблица1[[#This Row],[8]:[19]],$I$5:$T$5,"Аренда")</f>
        <v>0</v>
      </c>
      <c r="I284" s="169">
        <v>60.9</v>
      </c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70"/>
      <c r="V284" s="171"/>
    </row>
    <row r="285" spans="1:22" ht="15" outlineLevel="1" collapsed="1" x14ac:dyDescent="0.25">
      <c r="A285" s="186">
        <f>SUMIFS(МКД!$A$6:$A$389,МКД!$D$6:$D$389,Таблица1[[#This Row],[2]])</f>
        <v>48</v>
      </c>
      <c r="B285" s="194">
        <f>SUMIFS(Таблица1[6],Таблица1[2],Таблица1[[#This Row],[2]])+SUMIFS(Таблица1[7],Таблица1[2],Таблица1[[#This Row],[2]])</f>
        <v>290.3</v>
      </c>
      <c r="C285" s="185" t="s">
        <v>442</v>
      </c>
      <c r="D285" s="196"/>
      <c r="E285" s="196"/>
      <c r="F285" s="196"/>
      <c r="G285" s="168"/>
      <c r="H285" s="197"/>
      <c r="I285" s="196"/>
      <c r="J285" s="196"/>
      <c r="K285" s="196"/>
      <c r="L285" s="196"/>
      <c r="M285" s="196"/>
      <c r="N285" s="196"/>
      <c r="O285" s="196"/>
      <c r="P285" s="196"/>
      <c r="Q285" s="196"/>
      <c r="R285" s="196"/>
      <c r="S285" s="196"/>
      <c r="T285" s="196"/>
      <c r="U285" s="196"/>
      <c r="V285" s="198"/>
    </row>
    <row r="286" spans="1:22" hidden="1" outlineLevel="2" x14ac:dyDescent="0.25">
      <c r="A286" s="186">
        <f>SUMIFS(МКД!$A$6:$A$389,МКД!$D$6:$D$389,Таблица1[[#This Row],[2]])</f>
        <v>48</v>
      </c>
      <c r="B286" s="170"/>
      <c r="C286" s="182" t="s">
        <v>442</v>
      </c>
      <c r="D286" s="167" t="s">
        <v>2672</v>
      </c>
      <c r="E286" s="167" t="s">
        <v>828</v>
      </c>
      <c r="F286" s="167">
        <v>1</v>
      </c>
      <c r="G286" s="168">
        <f>SUMIFS(Таблица1[[#This Row],[8]:[19]],$I$5:$T$5,"Выкуп")</f>
        <v>122.7</v>
      </c>
      <c r="H286" s="168">
        <f>SUMIFS(Таблица1[[#This Row],[8]:[19]],$I$5:$T$5,"Аренда")</f>
        <v>0</v>
      </c>
      <c r="I286" s="169">
        <v>122.7</v>
      </c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70"/>
      <c r="V286" s="171"/>
    </row>
    <row r="287" spans="1:22" hidden="1" outlineLevel="2" x14ac:dyDescent="0.25">
      <c r="A287" s="186">
        <f>SUMIFS(МКД!$A$6:$A$389,МКД!$D$6:$D$389,Таблица1[[#This Row],[2]])</f>
        <v>48</v>
      </c>
      <c r="B287" s="170"/>
      <c r="C287" s="182" t="s">
        <v>442</v>
      </c>
      <c r="D287" s="167" t="s">
        <v>2672</v>
      </c>
      <c r="E287" s="167" t="s">
        <v>330</v>
      </c>
      <c r="F287" s="167">
        <v>1</v>
      </c>
      <c r="G287" s="168">
        <f>SUMIFS(Таблица1[[#This Row],[8]:[19]],$I$5:$T$5,"Выкуп")</f>
        <v>167.6</v>
      </c>
      <c r="H287" s="168">
        <f>SUMIFS(Таблица1[[#This Row],[8]:[19]],$I$5:$T$5,"Аренда")</f>
        <v>0</v>
      </c>
      <c r="I287" s="169">
        <v>167.6</v>
      </c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70"/>
      <c r="V287" s="171"/>
    </row>
    <row r="288" spans="1:22" ht="15" outlineLevel="1" collapsed="1" x14ac:dyDescent="0.25">
      <c r="A288" s="186">
        <f>SUMIFS(МКД!$A$6:$A$389,МКД!$D$6:$D$389,Таблица1[[#This Row],[2]])</f>
        <v>49</v>
      </c>
      <c r="B288" s="194">
        <f>SUMIFS(Таблица1[6],Таблица1[2],Таблица1[[#This Row],[2]])+SUMIFS(Таблица1[7],Таблица1[2],Таблица1[[#This Row],[2]])</f>
        <v>567.80000000000007</v>
      </c>
      <c r="C288" s="185" t="s">
        <v>443</v>
      </c>
      <c r="D288" s="196"/>
      <c r="E288" s="196"/>
      <c r="F288" s="196"/>
      <c r="G288" s="168"/>
      <c r="H288" s="197"/>
      <c r="I288" s="196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98"/>
    </row>
    <row r="289" spans="1:22" hidden="1" outlineLevel="2" x14ac:dyDescent="0.25">
      <c r="A289" s="186">
        <f>SUMIFS(МКД!$A$6:$A$389,МКД!$D$6:$D$389,Таблица1[[#This Row],[2]])</f>
        <v>49</v>
      </c>
      <c r="B289" s="170"/>
      <c r="C289" s="182" t="s">
        <v>443</v>
      </c>
      <c r="D289" s="167" t="s">
        <v>1870</v>
      </c>
      <c r="E289" s="167" t="s">
        <v>109</v>
      </c>
      <c r="F289" s="167">
        <v>1</v>
      </c>
      <c r="G289" s="168">
        <f>SUMIFS(Таблица1[[#This Row],[8]:[19]],$I$5:$T$5,"Выкуп")</f>
        <v>97.5</v>
      </c>
      <c r="H289" s="168">
        <f>SUMIFS(Таблица1[[#This Row],[8]:[19]],$I$5:$T$5,"Аренда")</f>
        <v>0</v>
      </c>
      <c r="I289" s="169">
        <v>97.5</v>
      </c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70"/>
      <c r="V289" s="171"/>
    </row>
    <row r="290" spans="1:22" hidden="1" outlineLevel="2" x14ac:dyDescent="0.25">
      <c r="A290" s="186">
        <f>SUMIFS(МКД!$A$6:$A$389,МКД!$D$6:$D$389,Таблица1[[#This Row],[2]])</f>
        <v>49</v>
      </c>
      <c r="B290" s="168"/>
      <c r="C290" s="182" t="s">
        <v>443</v>
      </c>
      <c r="D290" s="167" t="s">
        <v>1870</v>
      </c>
      <c r="E290" s="167" t="s">
        <v>739</v>
      </c>
      <c r="F290" s="167">
        <v>1</v>
      </c>
      <c r="G290" s="168">
        <f>SUMIFS(Таблица1[[#This Row],[8]:[19]],$I$5:$T$5,"Выкуп")</f>
        <v>0</v>
      </c>
      <c r="H290" s="168">
        <f>SUMIFS(Таблица1[[#This Row],[8]:[19]],$I$5:$T$5,"Аренда")</f>
        <v>11.7</v>
      </c>
      <c r="I290" s="169"/>
      <c r="J290" s="169"/>
      <c r="K290" s="169"/>
      <c r="L290" s="169"/>
      <c r="M290" s="169"/>
      <c r="N290" s="169"/>
      <c r="O290" s="167"/>
      <c r="P290" s="169">
        <v>11.7</v>
      </c>
      <c r="Q290" s="169"/>
      <c r="R290" s="169"/>
      <c r="S290" s="169"/>
      <c r="T290" s="169"/>
      <c r="U290" s="170"/>
      <c r="V290" s="171"/>
    </row>
    <row r="291" spans="1:22" hidden="1" outlineLevel="2" x14ac:dyDescent="0.25">
      <c r="A291" s="186">
        <f>SUMIFS(МКД!$A$6:$A$389,МКД!$D$6:$D$389,Таблица1[[#This Row],[2]])</f>
        <v>49</v>
      </c>
      <c r="B291" s="168"/>
      <c r="C291" s="182" t="s">
        <v>443</v>
      </c>
      <c r="D291" s="167" t="s">
        <v>742</v>
      </c>
      <c r="E291" s="167" t="s">
        <v>1899</v>
      </c>
      <c r="F291" s="167">
        <v>1</v>
      </c>
      <c r="G291" s="168">
        <f>SUMIFS(Таблица1[[#This Row],[8]:[19]],$I$5:$T$5,"Выкуп")</f>
        <v>102.5</v>
      </c>
      <c r="H291" s="168">
        <f>SUMIFS(Таблица1[[#This Row],[8]:[19]],$I$5:$T$5,"Аренда")</f>
        <v>0</v>
      </c>
      <c r="I291" s="169"/>
      <c r="J291" s="169"/>
      <c r="K291" s="169"/>
      <c r="L291" s="169"/>
      <c r="M291" s="169">
        <v>102.5</v>
      </c>
      <c r="N291" s="169"/>
      <c r="O291" s="169"/>
      <c r="P291" s="169"/>
      <c r="Q291" s="169"/>
      <c r="R291" s="169"/>
      <c r="S291" s="169"/>
      <c r="T291" s="169"/>
      <c r="U291" s="170"/>
      <c r="V291" s="171"/>
    </row>
    <row r="292" spans="1:22" hidden="1" outlineLevel="2" x14ac:dyDescent="0.25">
      <c r="A292" s="186">
        <f>SUMIFS(МКД!$A$6:$A$389,МКД!$D$6:$D$389,Таблица1[[#This Row],[2]])</f>
        <v>49</v>
      </c>
      <c r="B292" s="168"/>
      <c r="C292" s="182" t="s">
        <v>443</v>
      </c>
      <c r="D292" s="167" t="s">
        <v>742</v>
      </c>
      <c r="E292" s="167" t="s">
        <v>731</v>
      </c>
      <c r="F292" s="167">
        <v>1</v>
      </c>
      <c r="G292" s="168">
        <f>SUMIFS(Таблица1[[#This Row],[8]:[19]],$I$5:$T$5,"Выкуп")</f>
        <v>58.2</v>
      </c>
      <c r="H292" s="168">
        <f>SUMIFS(Таблица1[[#This Row],[8]:[19]],$I$5:$T$5,"Аренда")</f>
        <v>0</v>
      </c>
      <c r="I292" s="169"/>
      <c r="J292" s="169"/>
      <c r="K292" s="169">
        <v>58.2</v>
      </c>
      <c r="L292" s="169"/>
      <c r="M292" s="169"/>
      <c r="N292" s="169"/>
      <c r="O292" s="169"/>
      <c r="P292" s="169"/>
      <c r="Q292" s="169"/>
      <c r="R292" s="169"/>
      <c r="S292" s="169"/>
      <c r="T292" s="169"/>
      <c r="U292" s="170"/>
      <c r="V292" s="171"/>
    </row>
    <row r="293" spans="1:22" hidden="1" outlineLevel="2" x14ac:dyDescent="0.25">
      <c r="A293" s="186">
        <f>SUMIFS(МКД!$A$6:$A$389,МКД!$D$6:$D$389,Таблица1[[#This Row],[2]])</f>
        <v>49</v>
      </c>
      <c r="B293" s="168"/>
      <c r="C293" s="182" t="s">
        <v>443</v>
      </c>
      <c r="D293" s="167" t="s">
        <v>794</v>
      </c>
      <c r="E293" s="167" t="s">
        <v>1231</v>
      </c>
      <c r="F293" s="167">
        <v>1</v>
      </c>
      <c r="G293" s="168">
        <f>SUMIFS(Таблица1[[#This Row],[8]:[19]],$I$5:$T$5,"Выкуп")</f>
        <v>150</v>
      </c>
      <c r="H293" s="168">
        <f>SUMIFS(Таблица1[[#This Row],[8]:[19]],$I$5:$T$5,"Аренда")</f>
        <v>0</v>
      </c>
      <c r="I293" s="169">
        <v>150</v>
      </c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70"/>
      <c r="V293" s="171"/>
    </row>
    <row r="294" spans="1:22" s="20" customFormat="1" hidden="1" outlineLevel="2" x14ac:dyDescent="0.25">
      <c r="A294" s="186">
        <f>SUMIFS(МКД!$A$6:$A$389,МКД!$D$6:$D$389,Таблица1[[#This Row],[2]])</f>
        <v>49</v>
      </c>
      <c r="B294" s="168"/>
      <c r="C294" s="182" t="s">
        <v>443</v>
      </c>
      <c r="D294" s="167" t="s">
        <v>795</v>
      </c>
      <c r="E294" s="167" t="s">
        <v>1232</v>
      </c>
      <c r="F294" s="167">
        <v>1</v>
      </c>
      <c r="G294" s="168">
        <f>SUMIFS(Таблица1[[#This Row],[8]:[19]],$I$5:$T$5,"Выкуп")</f>
        <v>57.8</v>
      </c>
      <c r="H294" s="168">
        <f>SUMIFS(Таблица1[[#This Row],[8]:[19]],$I$5:$T$5,"Аренда")</f>
        <v>0</v>
      </c>
      <c r="I294" s="169">
        <v>57.8</v>
      </c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70"/>
      <c r="V294" s="171"/>
    </row>
    <row r="295" spans="1:22" s="20" customFormat="1" hidden="1" outlineLevel="2" x14ac:dyDescent="0.25">
      <c r="A295" s="186">
        <f>SUMIFS(МКД!$A$6:$A$389,МКД!$D$6:$D$389,Таблица1[[#This Row],[2]])</f>
        <v>49</v>
      </c>
      <c r="B295" s="168"/>
      <c r="C295" s="182" t="s">
        <v>443</v>
      </c>
      <c r="D295" s="167" t="s">
        <v>1593</v>
      </c>
      <c r="E295" s="273" t="s">
        <v>1732</v>
      </c>
      <c r="F295" s="167">
        <v>1</v>
      </c>
      <c r="G295" s="168">
        <f>SUMIFS(Таблица1[[#This Row],[8]:[19]],$I$5:$T$5,"Выкуп")</f>
        <v>90.1</v>
      </c>
      <c r="H295" s="168">
        <f>SUMIFS(Таблица1[[#This Row],[8]:[19]],$I$5:$T$5,"Аренда")</f>
        <v>0</v>
      </c>
      <c r="I295" s="169"/>
      <c r="J295" s="169"/>
      <c r="K295" s="169">
        <v>90.1</v>
      </c>
      <c r="L295" s="169"/>
      <c r="M295" s="169"/>
      <c r="N295" s="169"/>
      <c r="O295" s="169"/>
      <c r="P295" s="169"/>
      <c r="Q295" s="169"/>
      <c r="R295" s="169"/>
      <c r="S295" s="169"/>
      <c r="T295" s="169"/>
      <c r="U295" s="170"/>
      <c r="V295" s="171"/>
    </row>
    <row r="296" spans="1:22" hidden="1" outlineLevel="2" x14ac:dyDescent="0.25">
      <c r="A296" s="186">
        <f>SUMIFS(МКД!$A$6:$A$389,МКД!$D$6:$D$389,Таблица1[[#This Row],[2]])</f>
        <v>49</v>
      </c>
      <c r="B296" s="168"/>
      <c r="C296" s="182" t="s">
        <v>443</v>
      </c>
      <c r="D296" s="167" t="s">
        <v>1394</v>
      </c>
      <c r="E296" s="167" t="s">
        <v>1898</v>
      </c>
      <c r="F296" s="167"/>
      <c r="G296" s="320">
        <f>SUMIFS(Таблица1[[#This Row],[8]:[19]],$I$5:$T$5,"Выкуп")</f>
        <v>0</v>
      </c>
      <c r="H296" s="320">
        <f>SUMIFS(Таблица1[[#This Row],[8]:[19]],$I$5:$T$5,"Аренда")</f>
        <v>0</v>
      </c>
      <c r="I296" s="319"/>
      <c r="J296" s="319"/>
      <c r="K296" s="278"/>
      <c r="L296" s="278"/>
      <c r="M296" s="278">
        <f>5.4*0</f>
        <v>0</v>
      </c>
      <c r="N296" s="169"/>
      <c r="O296" s="169"/>
      <c r="P296" s="169"/>
      <c r="Q296" s="169"/>
      <c r="R296" s="169"/>
      <c r="S296" s="169"/>
      <c r="T296" s="169"/>
      <c r="U296" s="170"/>
      <c r="V296" s="171"/>
    </row>
    <row r="297" spans="1:22" ht="15" outlineLevel="1" collapsed="1" x14ac:dyDescent="0.25">
      <c r="A297" s="186">
        <f>SUMIFS(МКД!$A$6:$A$389,МКД!$D$6:$D$389,Таблица1[[#This Row],[2]])</f>
        <v>50</v>
      </c>
      <c r="B297" s="194">
        <f>SUMIFS(Таблица1[6],Таблица1[2],Таблица1[[#This Row],[2]])+SUMIFS(Таблица1[7],Таблица1[2],Таблица1[[#This Row],[2]])</f>
        <v>949.40000000000009</v>
      </c>
      <c r="C297" s="185" t="s">
        <v>564</v>
      </c>
      <c r="D297" s="196"/>
      <c r="E297" s="196"/>
      <c r="F297" s="196"/>
      <c r="G297" s="168"/>
      <c r="H297" s="197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8"/>
    </row>
    <row r="298" spans="1:22" hidden="1" outlineLevel="2" x14ac:dyDescent="0.25">
      <c r="A298" s="186">
        <f>SUMIFS(МКД!$A$6:$A$389,МКД!$D$6:$D$389,Таблица1[[#This Row],[2]])</f>
        <v>50</v>
      </c>
      <c r="B298" s="170"/>
      <c r="C298" s="182" t="s">
        <v>564</v>
      </c>
      <c r="D298" s="167" t="s">
        <v>796</v>
      </c>
      <c r="E298" s="167" t="s">
        <v>1233</v>
      </c>
      <c r="F298" s="167">
        <v>1</v>
      </c>
      <c r="G298" s="168">
        <f>SUMIFS(Таблица1[[#This Row],[8]:[19]],$I$5:$T$5,"Выкуп")</f>
        <v>141.1</v>
      </c>
      <c r="H298" s="168">
        <f>SUMIFS(Таблица1[[#This Row],[8]:[19]],$I$5:$T$5,"Аренда")</f>
        <v>0</v>
      </c>
      <c r="I298" s="169">
        <v>141.1</v>
      </c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70"/>
      <c r="V298" s="171"/>
    </row>
    <row r="299" spans="1:22" hidden="1" outlineLevel="2" x14ac:dyDescent="0.25">
      <c r="A299" s="186">
        <f>SUMIFS(МКД!$A$6:$A$389,МКД!$D$6:$D$389,Таблица1[[#This Row],[2]])</f>
        <v>50</v>
      </c>
      <c r="B299" s="168"/>
      <c r="C299" s="182" t="s">
        <v>564</v>
      </c>
      <c r="D299" s="167" t="s">
        <v>1967</v>
      </c>
      <c r="E299" s="167" t="s">
        <v>1234</v>
      </c>
      <c r="F299" s="167">
        <v>1</v>
      </c>
      <c r="G299" s="168">
        <f>SUMIFS(Таблица1[[#This Row],[8]:[19]],$I$5:$T$5,"Выкуп")</f>
        <v>72.5</v>
      </c>
      <c r="H299" s="168">
        <f>SUMIFS(Таблица1[[#This Row],[8]:[19]],$I$5:$T$5,"Аренда")</f>
        <v>0</v>
      </c>
      <c r="I299" s="169">
        <v>72.5</v>
      </c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70"/>
      <c r="V299" s="171"/>
    </row>
    <row r="300" spans="1:22" hidden="1" outlineLevel="2" x14ac:dyDescent="0.25">
      <c r="A300" s="186">
        <f>SUMIFS(МКД!$A$6:$A$389,МКД!$D$6:$D$389,Таблица1[[#This Row],[2]])</f>
        <v>50</v>
      </c>
      <c r="B300" s="168"/>
      <c r="C300" s="182" t="s">
        <v>564</v>
      </c>
      <c r="D300" s="167" t="s">
        <v>1554</v>
      </c>
      <c r="E300" s="167" t="s">
        <v>1236</v>
      </c>
      <c r="F300" s="167">
        <v>1</v>
      </c>
      <c r="G300" s="168">
        <f>SUMIFS(Таблица1[[#This Row],[8]:[19]],$I$5:$T$5,"Выкуп")</f>
        <v>54.8</v>
      </c>
      <c r="H300" s="168">
        <f>SUMIFS(Таблица1[[#This Row],[8]:[19]],$I$5:$T$5,"Аренда")</f>
        <v>0</v>
      </c>
      <c r="I300" s="169">
        <v>54.8</v>
      </c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70"/>
      <c r="V300" s="171"/>
    </row>
    <row r="301" spans="1:22" hidden="1" outlineLevel="2" x14ac:dyDescent="0.25">
      <c r="A301" s="186">
        <f>SUMIFS(МКД!$A$6:$A$389,МКД!$D$6:$D$389,Таблица1[[#This Row],[2]])</f>
        <v>50</v>
      </c>
      <c r="B301" s="168"/>
      <c r="C301" s="182" t="s">
        <v>564</v>
      </c>
      <c r="D301" s="167" t="s">
        <v>797</v>
      </c>
      <c r="E301" s="167" t="s">
        <v>1235</v>
      </c>
      <c r="F301" s="167">
        <v>1</v>
      </c>
      <c r="G301" s="168">
        <f>SUMIFS(Таблица1[[#This Row],[8]:[19]],$I$5:$T$5,"Выкуп")</f>
        <v>84.3</v>
      </c>
      <c r="H301" s="168">
        <f>SUMIFS(Таблица1[[#This Row],[8]:[19]],$I$5:$T$5,"Аренда")</f>
        <v>0</v>
      </c>
      <c r="I301" s="169">
        <v>84.3</v>
      </c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70"/>
      <c r="V301" s="171"/>
    </row>
    <row r="302" spans="1:22" hidden="1" outlineLevel="2" x14ac:dyDescent="0.25">
      <c r="A302" s="186">
        <f>SUMIFS(МКД!$A$6:$A$389,МКД!$D$6:$D$389,Таблица1[[#This Row],[2]])</f>
        <v>50</v>
      </c>
      <c r="B302" s="168"/>
      <c r="C302" s="182" t="s">
        <v>564</v>
      </c>
      <c r="D302" s="167" t="s">
        <v>798</v>
      </c>
      <c r="E302" s="167" t="s">
        <v>1169</v>
      </c>
      <c r="F302" s="167">
        <v>1</v>
      </c>
      <c r="G302" s="168">
        <f>SUMIFS(Таблица1[[#This Row],[8]:[19]],$I$5:$T$5,"Выкуп")</f>
        <v>79.400000000000006</v>
      </c>
      <c r="H302" s="168">
        <f>SUMIFS(Таблица1[[#This Row],[8]:[19]],$I$5:$T$5,"Аренда")</f>
        <v>0</v>
      </c>
      <c r="I302" s="169">
        <v>79.400000000000006</v>
      </c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70"/>
      <c r="V302" s="171"/>
    </row>
    <row r="303" spans="1:22" hidden="1" outlineLevel="2" x14ac:dyDescent="0.25">
      <c r="A303" s="186">
        <f>SUMIFS(МКД!$A$6:$A$389,МКД!$D$6:$D$389,Таблица1[[#This Row],[2]])</f>
        <v>50</v>
      </c>
      <c r="B303" s="168"/>
      <c r="C303" s="182" t="s">
        <v>564</v>
      </c>
      <c r="D303" s="167" t="s">
        <v>1555</v>
      </c>
      <c r="E303" s="167" t="s">
        <v>1237</v>
      </c>
      <c r="F303" s="167">
        <v>1</v>
      </c>
      <c r="G303" s="168">
        <f>SUMIFS(Таблица1[[#This Row],[8]:[19]],$I$5:$T$5,"Выкуп")</f>
        <v>87.1</v>
      </c>
      <c r="H303" s="168">
        <f>SUMIFS(Таблица1[[#This Row],[8]:[19]],$I$5:$T$5,"Аренда")</f>
        <v>0</v>
      </c>
      <c r="I303" s="169">
        <v>87.1</v>
      </c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70"/>
      <c r="V303" s="171"/>
    </row>
    <row r="304" spans="1:22" hidden="1" outlineLevel="2" x14ac:dyDescent="0.25">
      <c r="A304" s="186">
        <f>SUMIFS(МКД!$A$6:$A$389,МКД!$D$6:$D$389,Таблица1[[#This Row],[2]])</f>
        <v>50</v>
      </c>
      <c r="B304" s="168"/>
      <c r="C304" s="182" t="s">
        <v>564</v>
      </c>
      <c r="D304" s="167" t="s">
        <v>1394</v>
      </c>
      <c r="E304" s="167" t="s">
        <v>2754</v>
      </c>
      <c r="F304" s="167">
        <v>1</v>
      </c>
      <c r="G304" s="168">
        <f>SUMIFS(Таблица1[[#This Row],[8]:[19]],$I$5:$T$5,"Выкуп")</f>
        <v>248.2</v>
      </c>
      <c r="H304" s="168">
        <f>SUMIFS(Таблица1[[#This Row],[8]:[19]],$I$5:$T$5,"Аренда")</f>
        <v>0</v>
      </c>
      <c r="I304" s="169"/>
      <c r="J304" s="169"/>
      <c r="K304" s="169"/>
      <c r="L304" s="169"/>
      <c r="M304" s="169">
        <v>248.2</v>
      </c>
      <c r="N304" s="169"/>
      <c r="O304" s="169"/>
      <c r="P304" s="169"/>
      <c r="Q304" s="169"/>
      <c r="R304" s="169"/>
      <c r="S304" s="169"/>
      <c r="T304" s="169"/>
      <c r="U304" s="170"/>
      <c r="V304" s="171"/>
    </row>
    <row r="305" spans="1:22" hidden="1" outlineLevel="2" x14ac:dyDescent="0.25">
      <c r="A305" s="186">
        <f>SUMIFS(МКД!$A$6:$A$389,МКД!$D$6:$D$389,Таблица1[[#This Row],[2]])</f>
        <v>50</v>
      </c>
      <c r="B305" s="168"/>
      <c r="C305" s="182" t="s">
        <v>564</v>
      </c>
      <c r="D305" s="167" t="s">
        <v>799</v>
      </c>
      <c r="E305" s="167" t="s">
        <v>1061</v>
      </c>
      <c r="F305" s="167">
        <v>1</v>
      </c>
      <c r="G305" s="168">
        <f>SUMIFS(Таблица1[[#This Row],[8]:[19]],$I$5:$T$5,"Выкуп")</f>
        <v>81.599999999999994</v>
      </c>
      <c r="H305" s="168">
        <f>SUMIFS(Таблица1[[#This Row],[8]:[19]],$I$5:$T$5,"Аренда")</f>
        <v>0</v>
      </c>
      <c r="I305" s="169">
        <v>81.599999999999994</v>
      </c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70"/>
      <c r="V305" s="171"/>
    </row>
    <row r="306" spans="1:22" hidden="1" outlineLevel="2" x14ac:dyDescent="0.25">
      <c r="A306" s="186">
        <f>SUMIFS(МКД!$A$6:$A$389,МКД!$D$6:$D$389,Таблица1[[#This Row],[2]])</f>
        <v>50</v>
      </c>
      <c r="B306" s="168"/>
      <c r="C306" s="182" t="s">
        <v>564</v>
      </c>
      <c r="D306" s="167" t="s">
        <v>1123</v>
      </c>
      <c r="E306" s="167" t="s">
        <v>1238</v>
      </c>
      <c r="F306" s="167">
        <v>1</v>
      </c>
      <c r="G306" s="168">
        <f>SUMIFS(Таблица1[[#This Row],[8]:[19]],$I$5:$T$5,"Выкуп")</f>
        <v>100.4</v>
      </c>
      <c r="H306" s="168">
        <f>SUMIFS(Таблица1[[#This Row],[8]:[19]],$I$5:$T$5,"Аренда")</f>
        <v>0</v>
      </c>
      <c r="I306" s="169">
        <v>100.4</v>
      </c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70"/>
      <c r="V306" s="171"/>
    </row>
    <row r="307" spans="1:22" ht="15" outlineLevel="1" collapsed="1" x14ac:dyDescent="0.25">
      <c r="A307" s="186">
        <f>SUMIFS(МКД!$A$6:$A$389,МКД!$D$6:$D$389,Таблица1[[#This Row],[2]])</f>
        <v>51</v>
      </c>
      <c r="B307" s="194">
        <f>SUMIFS(Таблица1[6],Таблица1[2],Таблица1[[#This Row],[2]])+SUMIFS(Таблица1[7],Таблица1[2],Таблица1[[#This Row],[2]])</f>
        <v>682.7</v>
      </c>
      <c r="C307" s="185" t="s">
        <v>565</v>
      </c>
      <c r="D307" s="196"/>
      <c r="E307" s="196"/>
      <c r="F307" s="196"/>
      <c r="G307" s="168"/>
      <c r="H307" s="197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V307" s="198"/>
    </row>
    <row r="308" spans="1:22" hidden="1" outlineLevel="2" x14ac:dyDescent="0.25">
      <c r="A308" s="186">
        <f>SUMIFS(МКД!$A$6:$A$389,МКД!$D$6:$D$389,Таблица1[[#This Row],[2]])</f>
        <v>51</v>
      </c>
      <c r="B308" s="170"/>
      <c r="C308" s="182" t="s">
        <v>565</v>
      </c>
      <c r="D308" s="167" t="s">
        <v>800</v>
      </c>
      <c r="E308" s="167" t="s">
        <v>1239</v>
      </c>
      <c r="F308" s="167">
        <v>1</v>
      </c>
      <c r="G308" s="168">
        <f>SUMIFS(Таблица1[[#This Row],[8]:[19]],$I$5:$T$5,"Выкуп")</f>
        <v>133.9</v>
      </c>
      <c r="H308" s="168">
        <f>SUMIFS(Таблица1[[#This Row],[8]:[19]],$I$5:$T$5,"Аренда")</f>
        <v>0</v>
      </c>
      <c r="I308" s="169">
        <v>133.9</v>
      </c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70"/>
      <c r="V308" s="171"/>
    </row>
    <row r="309" spans="1:22" hidden="1" outlineLevel="2" x14ac:dyDescent="0.25">
      <c r="A309" s="186">
        <f>SUMIFS(МКД!$A$6:$A$389,МКД!$D$6:$D$389,Таблица1[[#This Row],[2]])</f>
        <v>51</v>
      </c>
      <c r="B309" s="168"/>
      <c r="C309" s="182" t="s">
        <v>565</v>
      </c>
      <c r="D309" s="167" t="s">
        <v>68</v>
      </c>
      <c r="E309" s="167" t="s">
        <v>986</v>
      </c>
      <c r="F309" s="167">
        <v>1</v>
      </c>
      <c r="G309" s="168">
        <f>SUMIFS(Таблица1[[#This Row],[8]:[19]],$I$5:$T$5,"Выкуп")</f>
        <v>58.9</v>
      </c>
      <c r="H309" s="168">
        <f>SUMIFS(Таблица1[[#This Row],[8]:[19]],$I$5:$T$5,"Аренда")</f>
        <v>0</v>
      </c>
      <c r="I309" s="169">
        <v>58.9</v>
      </c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70"/>
      <c r="V309" s="171"/>
    </row>
    <row r="310" spans="1:22" hidden="1" outlineLevel="2" x14ac:dyDescent="0.25">
      <c r="A310" s="186">
        <f>SUMIFS(МКД!$A$6:$A$389,МКД!$D$6:$D$389,Таблица1[[#This Row],[2]])</f>
        <v>51</v>
      </c>
      <c r="B310" s="168"/>
      <c r="C310" s="182" t="s">
        <v>565</v>
      </c>
      <c r="D310" s="167" t="s">
        <v>2092</v>
      </c>
      <c r="E310" s="167" t="s">
        <v>920</v>
      </c>
      <c r="F310" s="167">
        <v>1</v>
      </c>
      <c r="G310" s="168">
        <f>SUMIFS(Таблица1[[#This Row],[8]:[19]],$I$5:$T$5,"Выкуп")</f>
        <v>72.7</v>
      </c>
      <c r="H310" s="168">
        <f>SUMIFS(Таблица1[[#This Row],[8]:[19]],$I$5:$T$5,"Аренда")</f>
        <v>0</v>
      </c>
      <c r="I310" s="169">
        <v>72.7</v>
      </c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70"/>
      <c r="V310" s="171"/>
    </row>
    <row r="311" spans="1:22" hidden="1" outlineLevel="2" x14ac:dyDescent="0.25">
      <c r="A311" s="186">
        <f>SUMIFS(МКД!$A$6:$A$389,МКД!$D$6:$D$389,Таблица1[[#This Row],[2]])</f>
        <v>51</v>
      </c>
      <c r="B311" s="168"/>
      <c r="C311" s="182" t="s">
        <v>565</v>
      </c>
      <c r="D311" s="167" t="s">
        <v>922</v>
      </c>
      <c r="E311" s="167" t="s">
        <v>986</v>
      </c>
      <c r="F311" s="167">
        <v>1</v>
      </c>
      <c r="G311" s="168">
        <f>SUMIFS(Таблица1[[#This Row],[8]:[19]],$I$5:$T$5,"Выкуп")</f>
        <v>0</v>
      </c>
      <c r="H311" s="168">
        <f>SUMIFS(Таблица1[[#This Row],[8]:[19]],$I$5:$T$5,"Аренда")</f>
        <v>15.1</v>
      </c>
      <c r="I311" s="193"/>
      <c r="J311" s="193"/>
      <c r="K311" s="193"/>
      <c r="L311" s="193"/>
      <c r="M311" s="193"/>
      <c r="N311" s="193"/>
      <c r="O311" s="167"/>
      <c r="P311" s="193">
        <v>15.1</v>
      </c>
      <c r="Q311" s="193"/>
      <c r="R311" s="193"/>
      <c r="S311" s="193"/>
      <c r="T311" s="193"/>
      <c r="U311" s="170"/>
      <c r="V311" s="171"/>
    </row>
    <row r="312" spans="1:22" hidden="1" outlineLevel="2" x14ac:dyDescent="0.25">
      <c r="A312" s="186">
        <f>SUMIFS(МКД!$A$6:$A$389,МКД!$D$6:$D$389,Таблица1[[#This Row],[2]])</f>
        <v>51</v>
      </c>
      <c r="B312" s="168"/>
      <c r="C312" s="182" t="s">
        <v>565</v>
      </c>
      <c r="D312" s="167" t="s">
        <v>922</v>
      </c>
      <c r="E312" s="167" t="s">
        <v>921</v>
      </c>
      <c r="F312" s="167">
        <v>1</v>
      </c>
      <c r="G312" s="168">
        <f>SUMIFS(Таблица1[[#This Row],[8]:[19]],$I$5:$T$5,"Выкуп")</f>
        <v>58.3</v>
      </c>
      <c r="H312" s="168">
        <f>SUMIFS(Таблица1[[#This Row],[8]:[19]],$I$5:$T$5,"Аренда")</f>
        <v>0</v>
      </c>
      <c r="I312" s="193">
        <v>58.3</v>
      </c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70"/>
      <c r="V312" s="171"/>
    </row>
    <row r="313" spans="1:22" hidden="1" outlineLevel="2" x14ac:dyDescent="0.25">
      <c r="A313" s="186">
        <f>SUMIFS(МКД!$A$6:$A$389,МКД!$D$6:$D$389,Таблица1[[#This Row],[2]])</f>
        <v>51</v>
      </c>
      <c r="B313" s="168"/>
      <c r="C313" s="182" t="s">
        <v>565</v>
      </c>
      <c r="D313" s="167" t="s">
        <v>69</v>
      </c>
      <c r="E313" s="167" t="s">
        <v>1240</v>
      </c>
      <c r="F313" s="167">
        <v>1</v>
      </c>
      <c r="G313" s="168">
        <f>SUMIFS(Таблица1[[#This Row],[8]:[19]],$I$5:$T$5,"Выкуп")</f>
        <v>51.6</v>
      </c>
      <c r="H313" s="168">
        <f>SUMIFS(Таблица1[[#This Row],[8]:[19]],$I$5:$T$5,"Аренда")</f>
        <v>0</v>
      </c>
      <c r="I313" s="169">
        <v>51.6</v>
      </c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70"/>
      <c r="V313" s="171"/>
    </row>
    <row r="314" spans="1:22" hidden="1" outlineLevel="2" x14ac:dyDescent="0.25">
      <c r="A314" s="186">
        <f>SUMIFS(МКД!$A$6:$A$389,МКД!$D$6:$D$389,Таблица1[[#This Row],[2]])</f>
        <v>51</v>
      </c>
      <c r="B314" s="168"/>
      <c r="C314" s="182" t="s">
        <v>565</v>
      </c>
      <c r="D314" s="167" t="s">
        <v>70</v>
      </c>
      <c r="E314" s="167" t="s">
        <v>1068</v>
      </c>
      <c r="F314" s="167">
        <v>1</v>
      </c>
      <c r="G314" s="168">
        <f>SUMIFS(Таблица1[[#This Row],[8]:[19]],$I$5:$T$5,"Выкуп")</f>
        <v>52.7</v>
      </c>
      <c r="H314" s="168">
        <f>SUMIFS(Таблица1[[#This Row],[8]:[19]],$I$5:$T$5,"Аренда")</f>
        <v>0</v>
      </c>
      <c r="I314" s="169">
        <v>52.7</v>
      </c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70"/>
      <c r="V314" s="171"/>
    </row>
    <row r="315" spans="1:22" hidden="1" outlineLevel="2" x14ac:dyDescent="0.25">
      <c r="A315" s="186">
        <f>SUMIFS(МКД!$A$6:$A$389,МКД!$D$6:$D$389,Таблица1[[#This Row],[2]])</f>
        <v>51</v>
      </c>
      <c r="B315" s="168"/>
      <c r="C315" s="182" t="s">
        <v>565</v>
      </c>
      <c r="D315" s="167" t="s">
        <v>71</v>
      </c>
      <c r="E315" s="167" t="s">
        <v>1241</v>
      </c>
      <c r="F315" s="167">
        <v>1</v>
      </c>
      <c r="G315" s="168">
        <f>SUMIFS(Таблица1[[#This Row],[8]:[19]],$I$5:$T$5,"Выкуп")</f>
        <v>48.1</v>
      </c>
      <c r="H315" s="168">
        <f>SUMIFS(Таблица1[[#This Row],[8]:[19]],$I$5:$T$5,"Аренда")</f>
        <v>0</v>
      </c>
      <c r="I315" s="169">
        <v>48.1</v>
      </c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70"/>
      <c r="V315" s="171"/>
    </row>
    <row r="316" spans="1:22" hidden="1" outlineLevel="2" x14ac:dyDescent="0.25">
      <c r="A316" s="186">
        <f>SUMIFS(МКД!$A$6:$A$389,МКД!$D$6:$D$389,Таблица1[[#This Row],[2]])</f>
        <v>51</v>
      </c>
      <c r="B316" s="168"/>
      <c r="C316" s="182" t="s">
        <v>565</v>
      </c>
      <c r="D316" s="167" t="s">
        <v>1053</v>
      </c>
      <c r="E316" s="167" t="s">
        <v>2752</v>
      </c>
      <c r="F316" s="167">
        <v>1</v>
      </c>
      <c r="G316" s="168">
        <f>SUMIFS(Таблица1[[#This Row],[8]:[19]],$I$5:$T$5,"Выкуп")</f>
        <v>191.4</v>
      </c>
      <c r="H316" s="168">
        <f>SUMIFS(Таблица1[[#This Row],[8]:[19]],$I$5:$T$5,"Аренда")</f>
        <v>0</v>
      </c>
      <c r="I316" s="169"/>
      <c r="J316" s="169"/>
      <c r="K316" s="169"/>
      <c r="L316" s="169"/>
      <c r="M316" s="169">
        <v>191.4</v>
      </c>
      <c r="N316" s="169"/>
      <c r="O316" s="169"/>
      <c r="P316" s="169"/>
      <c r="Q316" s="169"/>
      <c r="R316" s="169"/>
      <c r="S316" s="169"/>
      <c r="T316" s="169"/>
      <c r="U316" s="170"/>
      <c r="V316" s="171"/>
    </row>
    <row r="317" spans="1:22" ht="15" outlineLevel="1" collapsed="1" x14ac:dyDescent="0.25">
      <c r="A317" s="186">
        <f>SUMIFS(МКД!$A$6:$A$389,МКД!$D$6:$D$389,Таблица1[[#This Row],[2]])</f>
        <v>52</v>
      </c>
      <c r="B317" s="194">
        <f>SUMIFS(Таблица1[6],Таблица1[2],Таблица1[[#This Row],[2]])+SUMIFS(Таблица1[7],Таблица1[2],Таблица1[[#This Row],[2]])</f>
        <v>0</v>
      </c>
      <c r="C317" s="185" t="s">
        <v>566</v>
      </c>
      <c r="D317" s="196"/>
      <c r="E317" s="196"/>
      <c r="F317" s="196"/>
      <c r="G317" s="168"/>
      <c r="H317" s="197"/>
      <c r="I317" s="196"/>
      <c r="J317" s="196"/>
      <c r="K317" s="196"/>
      <c r="L317" s="196"/>
      <c r="M317" s="196"/>
      <c r="N317" s="196"/>
      <c r="O317" s="196"/>
      <c r="P317" s="196"/>
      <c r="Q317" s="196"/>
      <c r="R317" s="196"/>
      <c r="S317" s="196"/>
      <c r="T317" s="196"/>
      <c r="U317" s="196"/>
      <c r="V317" s="198"/>
    </row>
    <row r="318" spans="1:22" ht="15" hidden="1" outlineLevel="2" x14ac:dyDescent="0.25">
      <c r="A318" s="186">
        <f>SUMIFS(МКД!$A$6:$A$389,МКД!$D$6:$D$389,Таблица1[[#This Row],[2]])</f>
        <v>52</v>
      </c>
      <c r="B318" s="196"/>
      <c r="C318" s="182" t="s">
        <v>566</v>
      </c>
      <c r="D318" s="196"/>
      <c r="E318" s="196"/>
      <c r="F318" s="196"/>
      <c r="G318" s="168">
        <f>SUMIFS(Таблица1[[#This Row],[8]:[19]],$I$5:$T$5,"Выкуп")</f>
        <v>0</v>
      </c>
      <c r="H318" s="168">
        <f>SUMIFS(Таблица1[[#This Row],[8]:[19]],$I$5:$T$5,"Аренда")</f>
        <v>0</v>
      </c>
      <c r="I318" s="196"/>
      <c r="J318" s="196"/>
      <c r="K318" s="196"/>
      <c r="L318" s="196"/>
      <c r="M318" s="196"/>
      <c r="N318" s="196"/>
      <c r="O318" s="196"/>
      <c r="P318" s="196"/>
      <c r="Q318" s="196"/>
      <c r="R318" s="196"/>
      <c r="S318" s="196"/>
      <c r="T318" s="196"/>
      <c r="U318" s="196"/>
      <c r="V318" s="198"/>
    </row>
    <row r="319" spans="1:22" ht="15" outlineLevel="1" collapsed="1" x14ac:dyDescent="0.25">
      <c r="A319" s="186">
        <f>SUMIFS(МКД!$A$6:$A$389,МКД!$D$6:$D$389,Таблица1[[#This Row],[2]])</f>
        <v>53</v>
      </c>
      <c r="B319" s="194">
        <f>SUMIFS(Таблица1[6],Таблица1[2],Таблица1[[#This Row],[2]])+SUMIFS(Таблица1[7],Таблица1[2],Таблица1[[#This Row],[2]])</f>
        <v>0</v>
      </c>
      <c r="C319" s="185" t="s">
        <v>567</v>
      </c>
      <c r="D319" s="196"/>
      <c r="E319" s="196"/>
      <c r="F319" s="196"/>
      <c r="G319" s="168"/>
      <c r="H319" s="197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  <c r="V319" s="198"/>
    </row>
    <row r="320" spans="1:22" ht="15" hidden="1" outlineLevel="2" x14ac:dyDescent="0.25">
      <c r="A320" s="186">
        <f>SUMIFS(МКД!$A$6:$A$389,МКД!$D$6:$D$389,Таблица1[[#This Row],[2]])</f>
        <v>53</v>
      </c>
      <c r="B320" s="196"/>
      <c r="C320" s="182" t="s">
        <v>567</v>
      </c>
      <c r="D320" s="196"/>
      <c r="E320" s="196"/>
      <c r="F320" s="196"/>
      <c r="G320" s="168">
        <f>SUMIFS(Таблица1[[#This Row],[8]:[19]],$I$5:$T$5,"Выкуп")</f>
        <v>0</v>
      </c>
      <c r="H320" s="168">
        <f>SUMIFS(Таблица1[[#This Row],[8]:[19]],$I$5:$T$5,"Аренда")</f>
        <v>0</v>
      </c>
      <c r="I320" s="196"/>
      <c r="J320" s="196"/>
      <c r="K320" s="196"/>
      <c r="L320" s="196"/>
      <c r="M320" s="196"/>
      <c r="N320" s="196"/>
      <c r="O320" s="196"/>
      <c r="P320" s="196"/>
      <c r="Q320" s="196"/>
      <c r="R320" s="196"/>
      <c r="S320" s="196"/>
      <c r="T320" s="196"/>
      <c r="U320" s="196"/>
      <c r="V320" s="198"/>
    </row>
    <row r="321" spans="1:22" ht="15" outlineLevel="1" collapsed="1" x14ac:dyDescent="0.25">
      <c r="A321" s="186">
        <f>SUMIFS(МКД!$A$6:$A$389,МКД!$D$6:$D$389,Таблица1[[#This Row],[2]])</f>
        <v>54</v>
      </c>
      <c r="B321" s="194">
        <f>SUMIFS(Таблица1[6],Таблица1[2],Таблица1[[#This Row],[2]])+SUMIFS(Таблица1[7],Таблица1[2],Таблица1[[#This Row],[2]])</f>
        <v>462.2999999999999</v>
      </c>
      <c r="C321" s="185" t="s">
        <v>568</v>
      </c>
      <c r="D321" s="196"/>
      <c r="E321" s="196"/>
      <c r="F321" s="196"/>
      <c r="G321" s="168"/>
      <c r="H321" s="197"/>
      <c r="I321" s="196"/>
      <c r="J321" s="196"/>
      <c r="K321" s="196"/>
      <c r="L321" s="196"/>
      <c r="M321" s="196"/>
      <c r="N321" s="196"/>
      <c r="O321" s="196"/>
      <c r="P321" s="196"/>
      <c r="Q321" s="196"/>
      <c r="R321" s="196"/>
      <c r="S321" s="196"/>
      <c r="T321" s="196"/>
      <c r="U321" s="196"/>
      <c r="V321" s="198"/>
    </row>
    <row r="322" spans="1:22" hidden="1" outlineLevel="2" x14ac:dyDescent="0.25">
      <c r="A322" s="186">
        <f>SUMIFS(МКД!$A$6:$A$389,МКД!$D$6:$D$389,Таблица1[[#This Row],[2]])</f>
        <v>54</v>
      </c>
      <c r="B322" s="170"/>
      <c r="C322" s="182" t="s">
        <v>568</v>
      </c>
      <c r="D322" s="167" t="s">
        <v>1593</v>
      </c>
      <c r="E322" s="167" t="s">
        <v>1782</v>
      </c>
      <c r="F322" s="167">
        <v>1</v>
      </c>
      <c r="G322" s="168">
        <f>SUMIFS(Таблица1[[#This Row],[8]:[19]],$I$5:$T$5,"Выкуп")</f>
        <v>201.7</v>
      </c>
      <c r="H322" s="168">
        <f>SUMIFS(Таблица1[[#This Row],[8]:[19]],$I$5:$T$5,"Аренда")</f>
        <v>0</v>
      </c>
      <c r="I322" s="169"/>
      <c r="J322" s="169"/>
      <c r="K322" s="169">
        <v>201.7</v>
      </c>
      <c r="L322" s="169"/>
      <c r="M322" s="169"/>
      <c r="N322" s="169"/>
      <c r="O322" s="169"/>
      <c r="P322" s="169"/>
      <c r="Q322" s="169"/>
      <c r="R322" s="169"/>
      <c r="S322" s="169"/>
      <c r="T322" s="169"/>
      <c r="U322" s="170"/>
      <c r="V322" s="171"/>
    </row>
    <row r="323" spans="1:22" hidden="1" outlineLevel="2" x14ac:dyDescent="0.25">
      <c r="A323" s="186">
        <f>SUMIFS(МКД!$A$6:$A$389,МКД!$D$6:$D$389,Таблица1[[#This Row],[2]])</f>
        <v>54</v>
      </c>
      <c r="B323" s="168"/>
      <c r="C323" s="182" t="s">
        <v>568</v>
      </c>
      <c r="D323" s="167" t="s">
        <v>73</v>
      </c>
      <c r="E323" s="167" t="s">
        <v>979</v>
      </c>
      <c r="F323" s="167">
        <v>1</v>
      </c>
      <c r="G323" s="168">
        <f>SUMIFS(Таблица1[[#This Row],[8]:[19]],$I$5:$T$5,"Выкуп")</f>
        <v>73.099999999999994</v>
      </c>
      <c r="H323" s="168">
        <f>SUMIFS(Таблица1[[#This Row],[8]:[19]],$I$5:$T$5,"Аренда")</f>
        <v>0</v>
      </c>
      <c r="I323" s="169">
        <v>73.099999999999994</v>
      </c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70"/>
      <c r="V323" s="171"/>
    </row>
    <row r="324" spans="1:22" hidden="1" outlineLevel="2" x14ac:dyDescent="0.25">
      <c r="A324" s="186">
        <f>SUMIFS(МКД!$A$6:$A$389,МКД!$D$6:$D$389,Таблица1[[#This Row],[2]])</f>
        <v>54</v>
      </c>
      <c r="B324" s="168"/>
      <c r="C324" s="182" t="s">
        <v>568</v>
      </c>
      <c r="D324" s="167" t="s">
        <v>1243</v>
      </c>
      <c r="E324" s="167" t="s">
        <v>1242</v>
      </c>
      <c r="F324" s="167">
        <v>1</v>
      </c>
      <c r="G324" s="168">
        <f>SUMIFS(Таблица1[[#This Row],[8]:[19]],$I$5:$T$5,"Выкуп")</f>
        <v>42.4</v>
      </c>
      <c r="H324" s="168">
        <f>SUMIFS(Таблица1[[#This Row],[8]:[19]],$I$5:$T$5,"Аренда")</f>
        <v>0</v>
      </c>
      <c r="I324" s="169">
        <v>42.4</v>
      </c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70"/>
      <c r="V324" s="171"/>
    </row>
    <row r="325" spans="1:22" hidden="1" outlineLevel="2" x14ac:dyDescent="0.25">
      <c r="A325" s="186">
        <f>SUMIFS(МКД!$A$6:$A$389,МКД!$D$6:$D$389,Таблица1[[#This Row],[2]])</f>
        <v>54</v>
      </c>
      <c r="B325" s="168"/>
      <c r="C325" s="182" t="s">
        <v>568</v>
      </c>
      <c r="D325" s="167" t="s">
        <v>1586</v>
      </c>
      <c r="E325" s="167" t="s">
        <v>1244</v>
      </c>
      <c r="F325" s="167">
        <v>1</v>
      </c>
      <c r="G325" s="168">
        <f>SUMIFS(Таблица1[[#This Row],[8]:[19]],$I$5:$T$5,"Выкуп")</f>
        <v>41.8</v>
      </c>
      <c r="H325" s="168">
        <f>SUMIFS(Таблица1[[#This Row],[8]:[19]],$I$5:$T$5,"Аренда")</f>
        <v>0</v>
      </c>
      <c r="I325" s="169">
        <v>41.8</v>
      </c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70"/>
      <c r="V325" s="171"/>
    </row>
    <row r="326" spans="1:22" hidden="1" outlineLevel="2" x14ac:dyDescent="0.25">
      <c r="A326" s="186">
        <f>SUMIFS(МКД!$A$6:$A$389,МКД!$D$6:$D$389,Таблица1[[#This Row],[2]])</f>
        <v>54</v>
      </c>
      <c r="B326" s="168"/>
      <c r="C326" s="182" t="s">
        <v>568</v>
      </c>
      <c r="D326" s="167" t="s">
        <v>2524</v>
      </c>
      <c r="E326" s="167" t="s">
        <v>1245</v>
      </c>
      <c r="F326" s="167">
        <v>1</v>
      </c>
      <c r="G326" s="168">
        <f>SUMIFS(Таблица1[[#This Row],[8]:[19]],$I$5:$T$5,"Выкуп")</f>
        <v>56.9</v>
      </c>
      <c r="H326" s="168">
        <f>SUMIFS(Таблица1[[#This Row],[8]:[19]],$I$5:$T$5,"Аренда")</f>
        <v>0</v>
      </c>
      <c r="I326" s="169">
        <v>56.9</v>
      </c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70"/>
      <c r="V326" s="171"/>
    </row>
    <row r="327" spans="1:22" hidden="1" outlineLevel="2" x14ac:dyDescent="0.25">
      <c r="A327" s="186">
        <f>SUMIFS(МКД!$A$6:$A$389,МКД!$D$6:$D$389,Таблица1[[#This Row],[2]])</f>
        <v>54</v>
      </c>
      <c r="B327" s="168"/>
      <c r="C327" s="182" t="s">
        <v>568</v>
      </c>
      <c r="D327" s="167" t="s">
        <v>1793</v>
      </c>
      <c r="E327" s="167" t="s">
        <v>1246</v>
      </c>
      <c r="F327" s="167">
        <v>1</v>
      </c>
      <c r="G327" s="168">
        <f>SUMIFS(Таблица1[[#This Row],[8]:[19]],$I$5:$T$5,"Выкуп")</f>
        <v>46.4</v>
      </c>
      <c r="H327" s="168">
        <f>SUMIFS(Таблица1[[#This Row],[8]:[19]],$I$5:$T$5,"Аренда")</f>
        <v>0</v>
      </c>
      <c r="I327" s="169">
        <v>46.4</v>
      </c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70"/>
      <c r="V327" s="171"/>
    </row>
    <row r="328" spans="1:22" ht="15" outlineLevel="1" collapsed="1" x14ac:dyDescent="0.25">
      <c r="A328" s="186">
        <f>SUMIFS(МКД!$A$6:$A$389,МКД!$D$6:$D$389,Таблица1[[#This Row],[2]])</f>
        <v>55</v>
      </c>
      <c r="B328" s="194">
        <f>SUMIFS(Таблица1[6],Таблица1[2],Таблица1[[#This Row],[2]])+SUMIFS(Таблица1[7],Таблица1[2],Таблица1[[#This Row],[2]])</f>
        <v>99.9</v>
      </c>
      <c r="C328" s="185" t="s">
        <v>569</v>
      </c>
      <c r="D328" s="196"/>
      <c r="E328" s="196"/>
      <c r="F328" s="196"/>
      <c r="G328" s="168"/>
      <c r="H328" s="197"/>
      <c r="I328" s="196"/>
      <c r="J328" s="196"/>
      <c r="K328" s="196"/>
      <c r="L328" s="196"/>
      <c r="M328" s="196"/>
      <c r="N328" s="196"/>
      <c r="O328" s="196"/>
      <c r="P328" s="196"/>
      <c r="Q328" s="196"/>
      <c r="R328" s="196"/>
      <c r="S328" s="196"/>
      <c r="T328" s="196"/>
      <c r="U328" s="196"/>
      <c r="V328" s="198"/>
    </row>
    <row r="329" spans="1:22" hidden="1" outlineLevel="2" x14ac:dyDescent="0.25">
      <c r="A329" s="186">
        <f>SUMIFS(МКД!$A$6:$A$389,МКД!$D$6:$D$389,Таблица1[[#This Row],[2]])</f>
        <v>55</v>
      </c>
      <c r="B329" s="170"/>
      <c r="C329" s="182" t="s">
        <v>569</v>
      </c>
      <c r="D329" s="167" t="s">
        <v>808</v>
      </c>
      <c r="E329" s="167" t="s">
        <v>919</v>
      </c>
      <c r="F329" s="167">
        <v>1</v>
      </c>
      <c r="G329" s="168">
        <f>SUMIFS(Таблица1[[#This Row],[8]:[19]],$I$5:$T$5,"Выкуп")</f>
        <v>99.9</v>
      </c>
      <c r="H329" s="168">
        <f>SUMIFS(Таблица1[[#This Row],[8]:[19]],$I$5:$T$5,"Аренда")</f>
        <v>0</v>
      </c>
      <c r="I329" s="169">
        <v>99.9</v>
      </c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70"/>
      <c r="V329" s="171"/>
    </row>
    <row r="330" spans="1:22" ht="15" outlineLevel="1" collapsed="1" x14ac:dyDescent="0.25">
      <c r="A330" s="186">
        <f>SUMIFS(МКД!$A$6:$A$389,МКД!$D$6:$D$389,Таблица1[[#This Row],[2]])</f>
        <v>56</v>
      </c>
      <c r="B330" s="194">
        <f>SUMIFS(Таблица1[6],Таблица1[2],Таблица1[[#This Row],[2]])+SUMIFS(Таблица1[7],Таблица1[2],Таблица1[[#This Row],[2]])</f>
        <v>204</v>
      </c>
      <c r="C330" s="185" t="s">
        <v>570</v>
      </c>
      <c r="D330" s="196"/>
      <c r="E330" s="196"/>
      <c r="F330" s="196"/>
      <c r="G330" s="168"/>
      <c r="H330" s="197"/>
      <c r="I330" s="196"/>
      <c r="J330" s="196"/>
      <c r="K330" s="196"/>
      <c r="L330" s="196"/>
      <c r="M330" s="196"/>
      <c r="N330" s="196"/>
      <c r="O330" s="196"/>
      <c r="P330" s="196"/>
      <c r="Q330" s="196"/>
      <c r="R330" s="196"/>
      <c r="S330" s="196"/>
      <c r="T330" s="196"/>
      <c r="U330" s="196"/>
      <c r="V330" s="198"/>
    </row>
    <row r="331" spans="1:22" hidden="1" outlineLevel="2" x14ac:dyDescent="0.25">
      <c r="A331" s="186">
        <f>SUMIFS(МКД!$A$6:$A$389,МКД!$D$6:$D$389,Таблица1[[#This Row],[2]])</f>
        <v>56</v>
      </c>
      <c r="B331" s="170"/>
      <c r="C331" s="182" t="s">
        <v>570</v>
      </c>
      <c r="D331" s="167" t="s">
        <v>809</v>
      </c>
      <c r="E331" s="167" t="s">
        <v>1215</v>
      </c>
      <c r="F331" s="167">
        <v>1</v>
      </c>
      <c r="G331" s="168">
        <f>SUMIFS(Таблица1[[#This Row],[8]:[19]],$I$5:$T$5,"Выкуп")</f>
        <v>73.5</v>
      </c>
      <c r="H331" s="168">
        <f>SUMIFS(Таблица1[[#This Row],[8]:[19]],$I$5:$T$5,"Аренда")</f>
        <v>0</v>
      </c>
      <c r="I331" s="169">
        <v>73.5</v>
      </c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70"/>
      <c r="V331" s="171"/>
    </row>
    <row r="332" spans="1:22" hidden="1" outlineLevel="2" x14ac:dyDescent="0.25">
      <c r="A332" s="186">
        <f>SUMIFS(МКД!$A$6:$A$389,МКД!$D$6:$D$389,Таблица1[[#This Row],[2]])</f>
        <v>56</v>
      </c>
      <c r="B332" s="168"/>
      <c r="C332" s="182" t="s">
        <v>570</v>
      </c>
      <c r="D332" s="167" t="s">
        <v>810</v>
      </c>
      <c r="E332" s="167" t="s">
        <v>1247</v>
      </c>
      <c r="F332" s="167">
        <v>1</v>
      </c>
      <c r="G332" s="168">
        <f>SUMIFS(Таблица1[[#This Row],[8]:[19]],$I$5:$T$5,"Выкуп")</f>
        <v>44.6</v>
      </c>
      <c r="H332" s="168">
        <f>SUMIFS(Таблица1[[#This Row],[8]:[19]],$I$5:$T$5,"Аренда")</f>
        <v>0</v>
      </c>
      <c r="I332" s="169">
        <v>44.6</v>
      </c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70"/>
      <c r="V332" s="171"/>
    </row>
    <row r="333" spans="1:22" hidden="1" outlineLevel="2" x14ac:dyDescent="0.25">
      <c r="A333" s="186">
        <f>SUMIFS(МКД!$A$6:$A$389,МКД!$D$6:$D$389,Таблица1[[#This Row],[2]])</f>
        <v>56</v>
      </c>
      <c r="B333" s="168"/>
      <c r="C333" s="182" t="s">
        <v>570</v>
      </c>
      <c r="D333" s="167" t="s">
        <v>2814</v>
      </c>
      <c r="E333" s="167" t="s">
        <v>1167</v>
      </c>
      <c r="F333" s="167">
        <v>1</v>
      </c>
      <c r="G333" s="168">
        <f>SUMIFS(Таблица1[[#This Row],[8]:[19]],$I$5:$T$5,"Выкуп")</f>
        <v>45</v>
      </c>
      <c r="H333" s="168">
        <f>SUMIFS(Таблица1[[#This Row],[8]:[19]],$I$5:$T$5,"Аренда")</f>
        <v>0</v>
      </c>
      <c r="I333" s="169">
        <v>45</v>
      </c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70"/>
      <c r="V333" s="171"/>
    </row>
    <row r="334" spans="1:22" hidden="1" outlineLevel="2" x14ac:dyDescent="0.25">
      <c r="A334" s="186">
        <f>SUMIFS(МКД!$A$6:$A$389,МКД!$D$6:$D$389,Таблица1[[#This Row],[2]])</f>
        <v>56</v>
      </c>
      <c r="B334" s="168"/>
      <c r="C334" s="182" t="s">
        <v>570</v>
      </c>
      <c r="D334" s="167" t="s">
        <v>811</v>
      </c>
      <c r="E334" s="167" t="s">
        <v>900</v>
      </c>
      <c r="F334" s="167">
        <v>1</v>
      </c>
      <c r="G334" s="168">
        <f>SUMIFS(Таблица1[[#This Row],[8]:[19]],$I$5:$T$5,"Выкуп")</f>
        <v>40.9</v>
      </c>
      <c r="H334" s="168">
        <f>SUMIFS(Таблица1[[#This Row],[8]:[19]],$I$5:$T$5,"Аренда")</f>
        <v>0</v>
      </c>
      <c r="I334" s="169">
        <v>40.9</v>
      </c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70"/>
      <c r="V334" s="171"/>
    </row>
    <row r="335" spans="1:22" ht="15" outlineLevel="1" collapsed="1" x14ac:dyDescent="0.25">
      <c r="A335" s="186">
        <f>SUMIFS(МКД!$A$6:$A$389,МКД!$D$6:$D$389,Таблица1[[#This Row],[2]])</f>
        <v>57</v>
      </c>
      <c r="B335" s="194">
        <f>SUMIFS(Таблица1[6],Таблица1[2],Таблица1[[#This Row],[2]])+SUMIFS(Таблица1[7],Таблица1[2],Таблица1[[#This Row],[2]])</f>
        <v>672.90000000000009</v>
      </c>
      <c r="C335" s="185" t="s">
        <v>571</v>
      </c>
      <c r="D335" s="196"/>
      <c r="E335" s="196"/>
      <c r="F335" s="196"/>
      <c r="G335" s="168"/>
      <c r="H335" s="197"/>
      <c r="I335" s="196"/>
      <c r="J335" s="196"/>
      <c r="K335" s="196"/>
      <c r="L335" s="196"/>
      <c r="M335" s="196"/>
      <c r="N335" s="196"/>
      <c r="O335" s="196"/>
      <c r="P335" s="196"/>
      <c r="Q335" s="196"/>
      <c r="R335" s="196"/>
      <c r="S335" s="196"/>
      <c r="T335" s="196"/>
      <c r="U335" s="196"/>
      <c r="V335" s="198"/>
    </row>
    <row r="336" spans="1:22" hidden="1" outlineLevel="2" x14ac:dyDescent="0.25">
      <c r="A336" s="186">
        <f>SUMIFS(МКД!$A$6:$A$389,МКД!$D$6:$D$389,Таблица1[[#This Row],[2]])</f>
        <v>57</v>
      </c>
      <c r="B336" s="170"/>
      <c r="C336" s="182" t="s">
        <v>571</v>
      </c>
      <c r="D336" s="167" t="s">
        <v>2019</v>
      </c>
      <c r="E336" s="167" t="s">
        <v>1248</v>
      </c>
      <c r="F336" s="167">
        <v>1</v>
      </c>
      <c r="G336" s="168">
        <f>SUMIFS(Таблица1[[#This Row],[8]:[19]],$I$5:$T$5,"Выкуп")</f>
        <v>71.3</v>
      </c>
      <c r="H336" s="168">
        <f>SUMIFS(Таблица1[[#This Row],[8]:[19]],$I$5:$T$5,"Аренда")</f>
        <v>0</v>
      </c>
      <c r="I336" s="169">
        <v>71.3</v>
      </c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70"/>
      <c r="V336" s="171"/>
    </row>
    <row r="337" spans="1:22" hidden="1" outlineLevel="2" x14ac:dyDescent="0.25">
      <c r="A337" s="186">
        <f>SUMIFS(МКД!$A$6:$A$389,МКД!$D$6:$D$389,Таблица1[[#This Row],[2]])</f>
        <v>57</v>
      </c>
      <c r="B337" s="170"/>
      <c r="C337" s="182" t="s">
        <v>571</v>
      </c>
      <c r="D337" s="167" t="s">
        <v>1593</v>
      </c>
      <c r="E337" s="273" t="s">
        <v>1731</v>
      </c>
      <c r="F337" s="167">
        <v>1</v>
      </c>
      <c r="G337" s="168">
        <f>SUMIFS(Таблица1[[#This Row],[8]:[19]],$I$5:$T$5,"Выкуп")</f>
        <v>86.6</v>
      </c>
      <c r="H337" s="168">
        <f>SUMIFS(Таблица1[[#This Row],[8]:[19]],$I$5:$T$5,"Аренда")</f>
        <v>0</v>
      </c>
      <c r="I337" s="169"/>
      <c r="J337" s="169"/>
      <c r="K337" s="169">
        <v>86.6</v>
      </c>
      <c r="L337" s="169"/>
      <c r="M337" s="169"/>
      <c r="N337" s="169"/>
      <c r="O337" s="169"/>
      <c r="P337" s="169"/>
      <c r="Q337" s="169"/>
      <c r="R337" s="169"/>
      <c r="S337" s="169"/>
      <c r="T337" s="169"/>
      <c r="U337" s="170"/>
      <c r="V337" s="171"/>
    </row>
    <row r="338" spans="1:22" hidden="1" outlineLevel="2" x14ac:dyDescent="0.25">
      <c r="A338" s="186">
        <f>SUMIFS(МКД!$A$6:$A$389,МКД!$D$6:$D$389,Таблица1[[#This Row],[2]])</f>
        <v>57</v>
      </c>
      <c r="B338" s="168"/>
      <c r="C338" s="182" t="s">
        <v>571</v>
      </c>
      <c r="D338" s="167" t="s">
        <v>1698</v>
      </c>
      <c r="E338" s="167" t="s">
        <v>1249</v>
      </c>
      <c r="F338" s="167">
        <v>1</v>
      </c>
      <c r="G338" s="168">
        <f>SUMIFS(Таблица1[[#This Row],[8]:[19]],$I$5:$T$5,"Выкуп")</f>
        <v>131.5</v>
      </c>
      <c r="H338" s="168">
        <f>SUMIFS(Таблица1[[#This Row],[8]:[19]],$I$5:$T$5,"Аренда")</f>
        <v>0</v>
      </c>
      <c r="I338" s="169">
        <v>131.5</v>
      </c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70"/>
      <c r="V338" s="171"/>
    </row>
    <row r="339" spans="1:22" hidden="1" outlineLevel="2" x14ac:dyDescent="0.25">
      <c r="A339" s="186">
        <f>SUMIFS(МКД!$A$6:$A$389,МКД!$D$6:$D$389,Таблица1[[#This Row],[2]])</f>
        <v>57</v>
      </c>
      <c r="B339" s="168"/>
      <c r="C339" s="182" t="s">
        <v>571</v>
      </c>
      <c r="D339" s="167" t="s">
        <v>1698</v>
      </c>
      <c r="E339" s="167" t="s">
        <v>1697</v>
      </c>
      <c r="F339" s="167">
        <v>1</v>
      </c>
      <c r="G339" s="168">
        <f>SUMIFS(Таблица1[[#This Row],[8]:[19]],$I$5:$T$5,"Выкуп")</f>
        <v>0</v>
      </c>
      <c r="H339" s="168">
        <f>SUMIFS(Таблица1[[#This Row],[8]:[19]],$I$5:$T$5,"Аренда")</f>
        <v>73.599999999999994</v>
      </c>
      <c r="I339" s="169"/>
      <c r="J339" s="169"/>
      <c r="K339" s="167"/>
      <c r="L339" s="169">
        <v>73.599999999999994</v>
      </c>
      <c r="M339" s="169"/>
      <c r="N339" s="169"/>
      <c r="O339" s="169"/>
      <c r="P339" s="169"/>
      <c r="Q339" s="169"/>
      <c r="R339" s="169"/>
      <c r="S339" s="169"/>
      <c r="T339" s="169"/>
      <c r="U339" s="170"/>
      <c r="V339" s="171"/>
    </row>
    <row r="340" spans="1:22" hidden="1" outlineLevel="2" x14ac:dyDescent="0.25">
      <c r="A340" s="186">
        <f>SUMIFS(МКД!$A$6:$A$389,МКД!$D$6:$D$389,Таблица1[[#This Row],[2]])</f>
        <v>57</v>
      </c>
      <c r="B340" s="168"/>
      <c r="C340" s="182" t="s">
        <v>571</v>
      </c>
      <c r="D340" s="167" t="s">
        <v>812</v>
      </c>
      <c r="E340" s="167" t="s">
        <v>1250</v>
      </c>
      <c r="F340" s="167">
        <v>1</v>
      </c>
      <c r="G340" s="168">
        <f>SUMIFS(Таблица1[[#This Row],[8]:[19]],$I$5:$T$5,"Выкуп")</f>
        <v>50.1</v>
      </c>
      <c r="H340" s="168">
        <f>SUMIFS(Таблица1[[#This Row],[8]:[19]],$I$5:$T$5,"Аренда")</f>
        <v>0</v>
      </c>
      <c r="I340" s="169">
        <v>50.1</v>
      </c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70"/>
      <c r="V340" s="171"/>
    </row>
    <row r="341" spans="1:22" hidden="1" outlineLevel="2" x14ac:dyDescent="0.25">
      <c r="A341" s="186">
        <f>SUMIFS(МКД!$A$6:$A$389,МКД!$D$6:$D$389,Таблица1[[#This Row],[2]])</f>
        <v>57</v>
      </c>
      <c r="B341" s="168"/>
      <c r="C341" s="182" t="s">
        <v>571</v>
      </c>
      <c r="D341" s="167" t="s">
        <v>813</v>
      </c>
      <c r="E341" s="167" t="s">
        <v>1251</v>
      </c>
      <c r="F341" s="167">
        <v>1</v>
      </c>
      <c r="G341" s="168">
        <f>SUMIFS(Таблица1[[#This Row],[8]:[19]],$I$5:$T$5,"Выкуп")</f>
        <v>73.7</v>
      </c>
      <c r="H341" s="168">
        <f>SUMIFS(Таблица1[[#This Row],[8]:[19]],$I$5:$T$5,"Аренда")</f>
        <v>0</v>
      </c>
      <c r="I341" s="169">
        <v>73.7</v>
      </c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70"/>
      <c r="V341" s="171"/>
    </row>
    <row r="342" spans="1:22" hidden="1" outlineLevel="2" x14ac:dyDescent="0.25">
      <c r="A342" s="186">
        <f>SUMIFS(МКД!$A$6:$A$389,МКД!$D$6:$D$389,Таблица1[[#This Row],[2]])</f>
        <v>57</v>
      </c>
      <c r="B342" s="168"/>
      <c r="C342" s="182" t="s">
        <v>571</v>
      </c>
      <c r="D342" s="167" t="s">
        <v>814</v>
      </c>
      <c r="E342" s="167" t="s">
        <v>1252</v>
      </c>
      <c r="F342" s="167">
        <v>1</v>
      </c>
      <c r="G342" s="168">
        <f>SUMIFS(Таблица1[[#This Row],[8]:[19]],$I$5:$T$5,"Выкуп")</f>
        <v>113.4</v>
      </c>
      <c r="H342" s="168">
        <f>SUMIFS(Таблица1[[#This Row],[8]:[19]],$I$5:$T$5,"Аренда")</f>
        <v>0</v>
      </c>
      <c r="I342" s="169">
        <v>113.4</v>
      </c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70"/>
      <c r="V342" s="171"/>
    </row>
    <row r="343" spans="1:22" hidden="1" outlineLevel="2" x14ac:dyDescent="0.25">
      <c r="A343" s="186">
        <f>SUMIFS(МКД!$A$6:$A$389,МКД!$D$6:$D$389,Таблица1[[#This Row],[2]])</f>
        <v>57</v>
      </c>
      <c r="B343" s="168"/>
      <c r="C343" s="182" t="s">
        <v>571</v>
      </c>
      <c r="D343" s="167" t="s">
        <v>815</v>
      </c>
      <c r="E343" s="167" t="s">
        <v>1253</v>
      </c>
      <c r="F343" s="167">
        <v>1</v>
      </c>
      <c r="G343" s="168">
        <f>SUMIFS(Таблица1[[#This Row],[8]:[19]],$I$5:$T$5,"Выкуп")</f>
        <v>72.7</v>
      </c>
      <c r="H343" s="168">
        <f>SUMIFS(Таблица1[[#This Row],[8]:[19]],$I$5:$T$5,"Аренда")</f>
        <v>0</v>
      </c>
      <c r="I343" s="169">
        <v>72.7</v>
      </c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70"/>
      <c r="V343" s="171"/>
    </row>
    <row r="344" spans="1:22" ht="15" outlineLevel="1" collapsed="1" x14ac:dyDescent="0.25">
      <c r="A344" s="186">
        <f>SUMIFS(МКД!$A$6:$A$389,МКД!$D$6:$D$389,Таблица1[[#This Row],[2]])</f>
        <v>58</v>
      </c>
      <c r="B344" s="194">
        <f>SUMIFS(Таблица1[6],Таблица1[2],Таблица1[[#This Row],[2]])+SUMIFS(Таблица1[7],Таблица1[2],Таблица1[[#This Row],[2]])</f>
        <v>446.9</v>
      </c>
      <c r="C344" s="185" t="s">
        <v>572</v>
      </c>
      <c r="D344" s="196"/>
      <c r="E344" s="196"/>
      <c r="F344" s="196"/>
      <c r="G344" s="168"/>
      <c r="H344" s="197"/>
      <c r="I344" s="196"/>
      <c r="J344" s="196"/>
      <c r="K344" s="196"/>
      <c r="L344" s="196"/>
      <c r="M344" s="196"/>
      <c r="N344" s="196"/>
      <c r="O344" s="196"/>
      <c r="P344" s="196"/>
      <c r="Q344" s="196"/>
      <c r="R344" s="196"/>
      <c r="S344" s="196"/>
      <c r="T344" s="196"/>
      <c r="U344" s="196"/>
      <c r="V344" s="198"/>
    </row>
    <row r="345" spans="1:22" hidden="1" outlineLevel="2" x14ac:dyDescent="0.25">
      <c r="A345" s="186">
        <f>SUMIFS(МКД!$A$6:$A$389,МКД!$D$6:$D$389,Таблица1[[#This Row],[2]])</f>
        <v>58</v>
      </c>
      <c r="B345" s="170"/>
      <c r="C345" s="182" t="s">
        <v>572</v>
      </c>
      <c r="D345" s="167" t="s">
        <v>816</v>
      </c>
      <c r="E345" s="167" t="s">
        <v>1254</v>
      </c>
      <c r="F345" s="167">
        <v>1</v>
      </c>
      <c r="G345" s="168">
        <f>SUMIFS(Таблица1[[#This Row],[8]:[19]],$I$5:$T$5,"Выкуп")</f>
        <v>88.4</v>
      </c>
      <c r="H345" s="168">
        <f>SUMIFS(Таблица1[[#This Row],[8]:[19]],$I$5:$T$5,"Аренда")</f>
        <v>0</v>
      </c>
      <c r="I345" s="169">
        <v>88.4</v>
      </c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70"/>
      <c r="V345" s="171"/>
    </row>
    <row r="346" spans="1:22" hidden="1" outlineLevel="2" x14ac:dyDescent="0.25">
      <c r="A346" s="186">
        <f>SUMIFS(МКД!$A$6:$A$389,МКД!$D$6:$D$389,Таблица1[[#This Row],[2]])</f>
        <v>58</v>
      </c>
      <c r="B346" s="168"/>
      <c r="C346" s="182" t="s">
        <v>572</v>
      </c>
      <c r="D346" s="167" t="s">
        <v>817</v>
      </c>
      <c r="E346" s="167" t="s">
        <v>986</v>
      </c>
      <c r="F346" s="167">
        <v>1</v>
      </c>
      <c r="G346" s="168">
        <f>SUMIFS(Таблица1[[#This Row],[8]:[19]],$I$5:$T$5,"Выкуп")</f>
        <v>54.7</v>
      </c>
      <c r="H346" s="168">
        <f>SUMIFS(Таблица1[[#This Row],[8]:[19]],$I$5:$T$5,"Аренда")</f>
        <v>0</v>
      </c>
      <c r="I346" s="169">
        <v>54.7</v>
      </c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70"/>
      <c r="V346" s="171"/>
    </row>
    <row r="347" spans="1:22" hidden="1" outlineLevel="2" x14ac:dyDescent="0.25">
      <c r="A347" s="186">
        <f>SUMIFS(МКД!$A$6:$A$389,МКД!$D$6:$D$389,Таблица1[[#This Row],[2]])</f>
        <v>58</v>
      </c>
      <c r="B347" s="168"/>
      <c r="C347" s="182" t="s">
        <v>572</v>
      </c>
      <c r="D347" s="167" t="s">
        <v>818</v>
      </c>
      <c r="E347" s="167" t="s">
        <v>1232</v>
      </c>
      <c r="F347" s="167">
        <v>1</v>
      </c>
      <c r="G347" s="168">
        <f>SUMIFS(Таблица1[[#This Row],[8]:[19]],$I$5:$T$5,"Выкуп")</f>
        <v>44.3</v>
      </c>
      <c r="H347" s="168">
        <f>SUMIFS(Таблица1[[#This Row],[8]:[19]],$I$5:$T$5,"Аренда")</f>
        <v>0</v>
      </c>
      <c r="I347" s="169">
        <v>44.3</v>
      </c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70"/>
      <c r="V347" s="171"/>
    </row>
    <row r="348" spans="1:22" hidden="1" outlineLevel="2" x14ac:dyDescent="0.25">
      <c r="A348" s="186">
        <f>SUMIFS(МКД!$A$6:$A$389,МКД!$D$6:$D$389,Таблица1[[#This Row],[2]])</f>
        <v>58</v>
      </c>
      <c r="B348" s="168"/>
      <c r="C348" s="182" t="s">
        <v>572</v>
      </c>
      <c r="D348" s="167" t="s">
        <v>2005</v>
      </c>
      <c r="E348" s="167" t="s">
        <v>1255</v>
      </c>
      <c r="F348" s="167">
        <v>1</v>
      </c>
      <c r="G348" s="168">
        <f>SUMIFS(Таблица1[[#This Row],[8]:[19]],$I$5:$T$5,"Выкуп")</f>
        <v>72.099999999999994</v>
      </c>
      <c r="H348" s="168">
        <f>SUMIFS(Таблица1[[#This Row],[8]:[19]],$I$5:$T$5,"Аренда")</f>
        <v>0</v>
      </c>
      <c r="I348" s="169">
        <v>72.099999999999994</v>
      </c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70"/>
      <c r="V348" s="171"/>
    </row>
    <row r="349" spans="1:22" hidden="1" outlineLevel="2" x14ac:dyDescent="0.25">
      <c r="A349" s="186">
        <f>SUMIFS(МКД!$A$6:$A$389,МКД!$D$6:$D$389,Таблица1[[#This Row],[2]])</f>
        <v>58</v>
      </c>
      <c r="B349" s="168"/>
      <c r="C349" s="182" t="s">
        <v>572</v>
      </c>
      <c r="D349" s="167" t="s">
        <v>1635</v>
      </c>
      <c r="E349" s="167" t="s">
        <v>1256</v>
      </c>
      <c r="F349" s="167">
        <v>1</v>
      </c>
      <c r="G349" s="168">
        <f>SUMIFS(Таблица1[[#This Row],[8]:[19]],$I$5:$T$5,"Выкуп")</f>
        <v>126.9</v>
      </c>
      <c r="H349" s="168">
        <f>SUMIFS(Таблица1[[#This Row],[8]:[19]],$I$5:$T$5,"Аренда")</f>
        <v>0</v>
      </c>
      <c r="I349" s="169">
        <v>126.9</v>
      </c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70"/>
      <c r="V349" s="171"/>
    </row>
    <row r="350" spans="1:22" hidden="1" outlineLevel="2" x14ac:dyDescent="0.25">
      <c r="A350" s="186">
        <f>SUMIFS(МКД!$A$6:$A$389,МКД!$D$6:$D$389,Таблица1[[#This Row],[2]])</f>
        <v>58</v>
      </c>
      <c r="B350" s="168"/>
      <c r="C350" s="182" t="s">
        <v>572</v>
      </c>
      <c r="D350" s="167" t="s">
        <v>1593</v>
      </c>
      <c r="E350" s="273" t="s">
        <v>1733</v>
      </c>
      <c r="F350" s="167">
        <v>1</v>
      </c>
      <c r="G350" s="168">
        <f>SUMIFS(Таблица1[[#This Row],[8]:[19]],$I$5:$T$5,"Выкуп")</f>
        <v>60.5</v>
      </c>
      <c r="H350" s="168">
        <f>SUMIFS(Таблица1[[#This Row],[8]:[19]],$I$5:$T$5,"Аренда")</f>
        <v>0</v>
      </c>
      <c r="I350" s="169"/>
      <c r="J350" s="169"/>
      <c r="K350" s="169">
        <v>60.5</v>
      </c>
      <c r="L350" s="169"/>
      <c r="M350" s="169"/>
      <c r="N350" s="169"/>
      <c r="O350" s="169"/>
      <c r="P350" s="169"/>
      <c r="Q350" s="169"/>
      <c r="R350" s="169"/>
      <c r="S350" s="169"/>
      <c r="T350" s="169"/>
      <c r="U350" s="170"/>
      <c r="V350" s="171"/>
    </row>
    <row r="351" spans="1:22" ht="15" outlineLevel="1" collapsed="1" x14ac:dyDescent="0.25">
      <c r="A351" s="186">
        <f>SUMIFS(МКД!$A$6:$A$389,МКД!$D$6:$D$389,Таблица1[[#This Row],[2]])</f>
        <v>59</v>
      </c>
      <c r="B351" s="194">
        <f>SUMIFS(Таблица1[6],Таблица1[2],Таблица1[[#This Row],[2]])+SUMIFS(Таблица1[7],Таблица1[2],Таблица1[[#This Row],[2]])</f>
        <v>516.09999999999991</v>
      </c>
      <c r="C351" s="185" t="s">
        <v>573</v>
      </c>
      <c r="D351" s="196"/>
      <c r="E351" s="196"/>
      <c r="F351" s="196"/>
      <c r="G351" s="168"/>
      <c r="H351" s="197"/>
      <c r="I351" s="196"/>
      <c r="J351" s="196"/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  <c r="V351" s="198"/>
    </row>
    <row r="352" spans="1:22" hidden="1" outlineLevel="2" x14ac:dyDescent="0.25">
      <c r="A352" s="186">
        <f>SUMIFS(МКД!$A$6:$A$389,МКД!$D$6:$D$389,Таблица1[[#This Row],[2]])</f>
        <v>59</v>
      </c>
      <c r="B352" s="170"/>
      <c r="C352" s="182" t="s">
        <v>573</v>
      </c>
      <c r="D352" s="167" t="s">
        <v>1841</v>
      </c>
      <c r="E352" s="167" t="s">
        <v>1257</v>
      </c>
      <c r="F352" s="167">
        <v>1</v>
      </c>
      <c r="G352" s="168">
        <f>SUMIFS(Таблица1[[#This Row],[8]:[19]],$I$5:$T$5,"Выкуп")</f>
        <v>75</v>
      </c>
      <c r="H352" s="168">
        <f>SUMIFS(Таблица1[[#This Row],[8]:[19]],$I$5:$T$5,"Аренда")</f>
        <v>0</v>
      </c>
      <c r="I352" s="169">
        <v>75</v>
      </c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70"/>
      <c r="V352" s="171"/>
    </row>
    <row r="353" spans="1:22" hidden="1" outlineLevel="2" x14ac:dyDescent="0.25">
      <c r="A353" s="186">
        <f>SUMIFS(МКД!$A$6:$A$389,МКД!$D$6:$D$389,Таблица1[[#This Row],[2]])</f>
        <v>59</v>
      </c>
      <c r="B353" s="168"/>
      <c r="C353" s="182" t="s">
        <v>573</v>
      </c>
      <c r="D353" s="167" t="s">
        <v>819</v>
      </c>
      <c r="E353" s="167" t="s">
        <v>1258</v>
      </c>
      <c r="F353" s="167">
        <v>1</v>
      </c>
      <c r="G353" s="168">
        <f>SUMIFS(Таблица1[[#This Row],[8]:[19]],$I$5:$T$5,"Выкуп")</f>
        <v>110</v>
      </c>
      <c r="H353" s="168">
        <f>SUMIFS(Таблица1[[#This Row],[8]:[19]],$I$5:$T$5,"Аренда")</f>
        <v>0</v>
      </c>
      <c r="I353" s="169">
        <v>110</v>
      </c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70"/>
      <c r="V353" s="171"/>
    </row>
    <row r="354" spans="1:22" hidden="1" outlineLevel="2" x14ac:dyDescent="0.25">
      <c r="A354" s="186">
        <f>SUMIFS(МКД!$A$6:$A$389,МКД!$D$6:$D$389,Таблица1[[#This Row],[2]])</f>
        <v>59</v>
      </c>
      <c r="B354" s="168"/>
      <c r="C354" s="182" t="s">
        <v>573</v>
      </c>
      <c r="D354" s="167" t="s">
        <v>820</v>
      </c>
      <c r="E354" s="167" t="s">
        <v>1259</v>
      </c>
      <c r="F354" s="167">
        <v>1</v>
      </c>
      <c r="G354" s="168">
        <f>SUMIFS(Таблица1[[#This Row],[8]:[19]],$I$5:$T$5,"Выкуп")</f>
        <v>71.7</v>
      </c>
      <c r="H354" s="168">
        <f>SUMIFS(Таблица1[[#This Row],[8]:[19]],$I$5:$T$5,"Аренда")</f>
        <v>0</v>
      </c>
      <c r="I354" s="169">
        <v>71.7</v>
      </c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70"/>
      <c r="V354" s="171"/>
    </row>
    <row r="355" spans="1:22" hidden="1" outlineLevel="2" x14ac:dyDescent="0.25">
      <c r="A355" s="186">
        <f>SUMIFS(МКД!$A$6:$A$389,МКД!$D$6:$D$389,Таблица1[[#This Row],[2]])</f>
        <v>59</v>
      </c>
      <c r="B355" s="168"/>
      <c r="C355" s="182" t="s">
        <v>573</v>
      </c>
      <c r="D355" s="167" t="s">
        <v>821</v>
      </c>
      <c r="E355" s="167" t="s">
        <v>1260</v>
      </c>
      <c r="F355" s="167">
        <v>1</v>
      </c>
      <c r="G355" s="168">
        <f>SUMIFS(Таблица1[[#This Row],[8]:[19]],$I$5:$T$5,"Выкуп")</f>
        <v>54.2</v>
      </c>
      <c r="H355" s="168">
        <f>SUMIFS(Таблица1[[#This Row],[8]:[19]],$I$5:$T$5,"Аренда")</f>
        <v>0</v>
      </c>
      <c r="I355" s="169">
        <v>54.2</v>
      </c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70"/>
      <c r="V355" s="171"/>
    </row>
    <row r="356" spans="1:22" hidden="1" outlineLevel="2" x14ac:dyDescent="0.25">
      <c r="A356" s="186">
        <f>SUMIFS(МКД!$A$6:$A$389,МКД!$D$6:$D$389,Таблица1[[#This Row],[2]])</f>
        <v>59</v>
      </c>
      <c r="B356" s="168"/>
      <c r="C356" s="182" t="s">
        <v>573</v>
      </c>
      <c r="D356" s="167" t="s">
        <v>1261</v>
      </c>
      <c r="E356" s="167" t="s">
        <v>1262</v>
      </c>
      <c r="F356" s="167">
        <v>1</v>
      </c>
      <c r="G356" s="168">
        <f>SUMIFS(Таблица1[[#This Row],[8]:[19]],$I$5:$T$5,"Выкуп")</f>
        <v>153.69999999999999</v>
      </c>
      <c r="H356" s="168">
        <f>SUMIFS(Таблица1[[#This Row],[8]:[19]],$I$5:$T$5,"Аренда")</f>
        <v>0</v>
      </c>
      <c r="I356" s="169">
        <v>153.69999999999999</v>
      </c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70"/>
      <c r="V356" s="171"/>
    </row>
    <row r="357" spans="1:22" hidden="1" outlineLevel="2" x14ac:dyDescent="0.25">
      <c r="A357" s="186">
        <f>SUMIFS(МКД!$A$6:$A$389,МКД!$D$6:$D$389,Таблица1[[#This Row],[2]])</f>
        <v>59</v>
      </c>
      <c r="B357" s="168"/>
      <c r="C357" s="182" t="s">
        <v>573</v>
      </c>
      <c r="D357" s="167" t="s">
        <v>300</v>
      </c>
      <c r="E357" s="167" t="s">
        <v>1263</v>
      </c>
      <c r="F357" s="167">
        <v>1</v>
      </c>
      <c r="G357" s="168">
        <f>SUMIFS(Таблица1[[#This Row],[8]:[19]],$I$5:$T$5,"Выкуп")</f>
        <v>51.5</v>
      </c>
      <c r="H357" s="168">
        <f>SUMIFS(Таблица1[[#This Row],[8]:[19]],$I$5:$T$5,"Аренда")</f>
        <v>0</v>
      </c>
      <c r="I357" s="169">
        <v>51.5</v>
      </c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70"/>
      <c r="V357" s="171"/>
    </row>
    <row r="358" spans="1:22" ht="15" outlineLevel="1" collapsed="1" x14ac:dyDescent="0.25">
      <c r="A358" s="186">
        <f>SUMIFS(МКД!$A$6:$A$389,МКД!$D$6:$D$389,Таблица1[[#This Row],[2]])</f>
        <v>60</v>
      </c>
      <c r="B358" s="194">
        <f>SUMIFS(Таблица1[6],Таблица1[2],Таблица1[[#This Row],[2]])+SUMIFS(Таблица1[7],Таблица1[2],Таблица1[[#This Row],[2]])</f>
        <v>187.44</v>
      </c>
      <c r="C358" s="185" t="s">
        <v>574</v>
      </c>
      <c r="D358" s="196"/>
      <c r="E358" s="196"/>
      <c r="F358" s="196"/>
      <c r="G358" s="168"/>
      <c r="H358" s="197"/>
      <c r="I358" s="196"/>
      <c r="J358" s="196"/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  <c r="V358" s="198"/>
    </row>
    <row r="359" spans="1:22" hidden="1" outlineLevel="2" x14ac:dyDescent="0.25">
      <c r="A359" s="186">
        <f>SUMIFS(МКД!$A$6:$A$389,МКД!$D$6:$D$389,Таблица1[[#This Row],[2]])</f>
        <v>60</v>
      </c>
      <c r="B359" s="170"/>
      <c r="C359" s="182" t="s">
        <v>574</v>
      </c>
      <c r="D359" s="167" t="s">
        <v>1593</v>
      </c>
      <c r="E359" s="167" t="s">
        <v>2080</v>
      </c>
      <c r="F359" s="167">
        <v>1</v>
      </c>
      <c r="G359" s="168">
        <f>SUMIFS(Таблица1[[#This Row],[8]:[19]],$I$5:$T$5,"Выкуп")</f>
        <v>17.239999999999998</v>
      </c>
      <c r="H359" s="168">
        <f>SUMIFS(Таблица1[[#This Row],[8]:[19]],$I$5:$T$5,"Аренда")</f>
        <v>0</v>
      </c>
      <c r="I359" s="169"/>
      <c r="J359" s="169"/>
      <c r="K359" s="169"/>
      <c r="L359" s="169"/>
      <c r="M359" s="169"/>
      <c r="N359" s="169"/>
      <c r="O359" s="169">
        <v>17.239999999999998</v>
      </c>
      <c r="P359" s="169"/>
      <c r="Q359" s="169"/>
      <c r="R359" s="169"/>
      <c r="S359" s="169"/>
      <c r="T359" s="169"/>
      <c r="U359" s="170"/>
      <c r="V359" s="171"/>
    </row>
    <row r="360" spans="1:22" hidden="1" outlineLevel="2" x14ac:dyDescent="0.25">
      <c r="A360" s="186">
        <f>SUMIFS(МКД!$A$6:$A$389,МКД!$D$6:$D$389,Таблица1[[#This Row],[2]])</f>
        <v>60</v>
      </c>
      <c r="B360" s="170"/>
      <c r="C360" s="182" t="s">
        <v>574</v>
      </c>
      <c r="D360" s="167" t="s">
        <v>2559</v>
      </c>
      <c r="E360" s="167" t="s">
        <v>1405</v>
      </c>
      <c r="F360" s="167">
        <v>1</v>
      </c>
      <c r="G360" s="168">
        <f>SUMIFS(Таблица1[[#This Row],[8]:[19]],$I$5:$T$5,"Выкуп")</f>
        <v>76.900000000000006</v>
      </c>
      <c r="H360" s="168">
        <f>SUMIFS(Таблица1[[#This Row],[8]:[19]],$I$5:$T$5,"Аренда")</f>
        <v>0</v>
      </c>
      <c r="I360" s="169">
        <v>76.900000000000006</v>
      </c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70"/>
      <c r="V360" s="171"/>
    </row>
    <row r="361" spans="1:22" hidden="1" outlineLevel="2" x14ac:dyDescent="0.25">
      <c r="A361" s="186">
        <f>SUMIFS(МКД!$A$6:$A$389,МКД!$D$6:$D$389,Таблица1[[#This Row],[2]])</f>
        <v>60</v>
      </c>
      <c r="B361" s="168"/>
      <c r="C361" s="182" t="s">
        <v>574</v>
      </c>
      <c r="D361" s="167" t="s">
        <v>2638</v>
      </c>
      <c r="E361" s="167" t="s">
        <v>2637</v>
      </c>
      <c r="F361" s="167">
        <v>1</v>
      </c>
      <c r="G361" s="168">
        <f>SUMIFS(Таблица1[[#This Row],[8]:[19]],$I$5:$T$5,"Выкуп")</f>
        <v>93.3</v>
      </c>
      <c r="H361" s="168">
        <f>SUMIFS(Таблица1[[#This Row],[8]:[19]],$I$5:$T$5,"Аренда")</f>
        <v>0</v>
      </c>
      <c r="I361" s="169">
        <v>93.3</v>
      </c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70"/>
      <c r="V361" s="171"/>
    </row>
    <row r="362" spans="1:22" ht="15" outlineLevel="1" collapsed="1" x14ac:dyDescent="0.25">
      <c r="A362" s="186">
        <f>SUMIFS(МКД!$A$6:$A$389,МКД!$D$6:$D$389,Таблица1[[#This Row],[2]])</f>
        <v>61</v>
      </c>
      <c r="B362" s="194">
        <f>SUMIFS(Таблица1[6],Таблица1[2],Таблица1[[#This Row],[2]])+SUMIFS(Таблица1[7],Таблица1[2],Таблица1[[#This Row],[2]])</f>
        <v>538</v>
      </c>
      <c r="C362" s="185" t="s">
        <v>575</v>
      </c>
      <c r="D362" s="196"/>
      <c r="E362" s="196"/>
      <c r="F362" s="196"/>
      <c r="G362" s="168"/>
      <c r="H362" s="197"/>
      <c r="I362" s="196"/>
      <c r="J362" s="196"/>
      <c r="K362" s="196"/>
      <c r="L362" s="196"/>
      <c r="M362" s="196"/>
      <c r="N362" s="196"/>
      <c r="O362" s="196"/>
      <c r="P362" s="196"/>
      <c r="Q362" s="196"/>
      <c r="R362" s="196"/>
      <c r="S362" s="196"/>
      <c r="T362" s="196"/>
      <c r="U362" s="196"/>
      <c r="V362" s="198"/>
    </row>
    <row r="363" spans="1:22" hidden="1" outlineLevel="2" x14ac:dyDescent="0.25">
      <c r="A363" s="186">
        <f>SUMIFS(МКД!$A$6:$A$389,МКД!$D$6:$D$389,Таблица1[[#This Row],[2]])</f>
        <v>61</v>
      </c>
      <c r="B363" s="170"/>
      <c r="C363" s="182" t="s">
        <v>575</v>
      </c>
      <c r="D363" s="167" t="s">
        <v>1437</v>
      </c>
      <c r="E363" s="167" t="s">
        <v>1264</v>
      </c>
      <c r="F363" s="167">
        <v>1</v>
      </c>
      <c r="G363" s="168">
        <f>SUMIFS(Таблица1[[#This Row],[8]:[19]],$I$5:$T$5,"Выкуп")</f>
        <v>198.5</v>
      </c>
      <c r="H363" s="168">
        <f>SUMIFS(Таблица1[[#This Row],[8]:[19]],$I$5:$T$5,"Аренда")</f>
        <v>0</v>
      </c>
      <c r="I363" s="169">
        <v>198.5</v>
      </c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70"/>
      <c r="V363" s="171"/>
    </row>
    <row r="364" spans="1:22" hidden="1" outlineLevel="2" x14ac:dyDescent="0.25">
      <c r="A364" s="186">
        <f>SUMIFS(МКД!$A$6:$A$389,МКД!$D$6:$D$389,Таблица1[[#This Row],[2]])</f>
        <v>61</v>
      </c>
      <c r="B364" s="168"/>
      <c r="C364" s="182" t="s">
        <v>575</v>
      </c>
      <c r="D364" s="167" t="s">
        <v>1437</v>
      </c>
      <c r="E364" s="167" t="s">
        <v>4</v>
      </c>
      <c r="F364" s="167">
        <v>1</v>
      </c>
      <c r="G364" s="168">
        <f>SUMIFS(Таблица1[[#This Row],[8]:[19]],$I$5:$T$5,"Выкуп")</f>
        <v>114.6</v>
      </c>
      <c r="H364" s="168">
        <f>SUMIFS(Таблица1[[#This Row],[8]:[19]],$I$5:$T$5,"Аренда")</f>
        <v>0</v>
      </c>
      <c r="I364" s="169"/>
      <c r="J364" s="169"/>
      <c r="K364" s="169">
        <v>114.6</v>
      </c>
      <c r="L364" s="169"/>
      <c r="M364" s="169"/>
      <c r="N364" s="169"/>
      <c r="O364" s="169"/>
      <c r="P364" s="169"/>
      <c r="Q364" s="169"/>
      <c r="R364" s="169"/>
      <c r="S364" s="169"/>
      <c r="T364" s="169"/>
      <c r="U364" s="170"/>
      <c r="V364" s="171"/>
    </row>
    <row r="365" spans="1:22" hidden="1" outlineLevel="2" x14ac:dyDescent="0.25">
      <c r="A365" s="186">
        <f>SUMIFS(МКД!$A$6:$A$389,МКД!$D$6:$D$389,Таблица1[[#This Row],[2]])</f>
        <v>61</v>
      </c>
      <c r="B365" s="168"/>
      <c r="C365" s="182" t="s">
        <v>575</v>
      </c>
      <c r="D365" s="167" t="s">
        <v>823</v>
      </c>
      <c r="E365" s="167" t="s">
        <v>1265</v>
      </c>
      <c r="F365" s="167">
        <v>1</v>
      </c>
      <c r="G365" s="168">
        <f>SUMIFS(Таблица1[[#This Row],[8]:[19]],$I$5:$T$5,"Выкуп")</f>
        <v>149.1</v>
      </c>
      <c r="H365" s="168">
        <f>SUMIFS(Таблица1[[#This Row],[8]:[19]],$I$5:$T$5,"Аренда")</f>
        <v>0</v>
      </c>
      <c r="I365" s="169">
        <v>149.1</v>
      </c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70"/>
      <c r="V365" s="171"/>
    </row>
    <row r="366" spans="1:22" hidden="1" outlineLevel="2" x14ac:dyDescent="0.25">
      <c r="A366" s="186">
        <f>SUMIFS(МКД!$A$6:$A$389,МКД!$D$6:$D$389,Таблица1[[#This Row],[2]])</f>
        <v>61</v>
      </c>
      <c r="B366" s="168"/>
      <c r="C366" s="182" t="s">
        <v>575</v>
      </c>
      <c r="D366" s="167" t="s">
        <v>824</v>
      </c>
      <c r="E366" s="167" t="s">
        <v>1266</v>
      </c>
      <c r="F366" s="167">
        <v>1</v>
      </c>
      <c r="G366" s="168">
        <f>SUMIFS(Таблица1[[#This Row],[8]:[19]],$I$5:$T$5,"Выкуп")</f>
        <v>43.5</v>
      </c>
      <c r="H366" s="168">
        <f>SUMIFS(Таблица1[[#This Row],[8]:[19]],$I$5:$T$5,"Аренда")</f>
        <v>0</v>
      </c>
      <c r="I366" s="169">
        <v>43.5</v>
      </c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70"/>
      <c r="V366" s="171"/>
    </row>
    <row r="367" spans="1:22" hidden="1" outlineLevel="2" x14ac:dyDescent="0.25">
      <c r="A367" s="186">
        <f>SUMIFS(МКД!$A$6:$A$389,МКД!$D$6:$D$389,Таблица1[[#This Row],[2]])</f>
        <v>61</v>
      </c>
      <c r="B367" s="168"/>
      <c r="C367" s="182" t="s">
        <v>575</v>
      </c>
      <c r="D367" s="167" t="s">
        <v>825</v>
      </c>
      <c r="E367" s="167" t="s">
        <v>46</v>
      </c>
      <c r="F367" s="167">
        <v>1</v>
      </c>
      <c r="G367" s="168">
        <f>SUMIFS(Таблица1[[#This Row],[8]:[19]],$I$5:$T$5,"Выкуп")</f>
        <v>32.299999999999997</v>
      </c>
      <c r="H367" s="168">
        <f>SUMIFS(Таблица1[[#This Row],[8]:[19]],$I$5:$T$5,"Аренда")</f>
        <v>0</v>
      </c>
      <c r="I367" s="169">
        <v>32.299999999999997</v>
      </c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70"/>
      <c r="V367" s="171"/>
    </row>
    <row r="368" spans="1:22" ht="15" outlineLevel="1" collapsed="1" x14ac:dyDescent="0.25">
      <c r="A368" s="186">
        <f>SUMIFS(МКД!$A$6:$A$389,МКД!$D$6:$D$389,Таблица1[[#This Row],[2]])</f>
        <v>62</v>
      </c>
      <c r="B368" s="194">
        <f>SUMIFS(Таблица1[6],Таблица1[2],Таблица1[[#This Row],[2]])+SUMIFS(Таблица1[7],Таблица1[2],Таблица1[[#This Row],[2]])</f>
        <v>879.00000000000011</v>
      </c>
      <c r="C368" s="185" t="s">
        <v>576</v>
      </c>
      <c r="D368" s="196"/>
      <c r="E368" s="196"/>
      <c r="F368" s="196"/>
      <c r="G368" s="168"/>
      <c r="H368" s="197"/>
      <c r="I368" s="196"/>
      <c r="J368" s="196"/>
      <c r="K368" s="196"/>
      <c r="L368" s="196"/>
      <c r="M368" s="196"/>
      <c r="N368" s="196"/>
      <c r="O368" s="196"/>
      <c r="P368" s="196"/>
      <c r="Q368" s="196"/>
      <c r="R368" s="196"/>
      <c r="S368" s="196"/>
      <c r="T368" s="196"/>
      <c r="U368" s="196"/>
      <c r="V368" s="198"/>
    </row>
    <row r="369" spans="1:22" hidden="1" outlineLevel="2" x14ac:dyDescent="0.25">
      <c r="A369" s="186">
        <f>SUMIFS(МКД!$A$6:$A$389,МКД!$D$6:$D$389,Таблица1[[#This Row],[2]])</f>
        <v>62</v>
      </c>
      <c r="B369" s="170"/>
      <c r="C369" s="182" t="s">
        <v>576</v>
      </c>
      <c r="D369" s="167" t="s">
        <v>1021</v>
      </c>
      <c r="E369" s="167" t="s">
        <v>1267</v>
      </c>
      <c r="F369" s="167">
        <v>2</v>
      </c>
      <c r="G369" s="168">
        <f>SUMIFS(Таблица1[[#This Row],[8]:[19]],$I$5:$T$5,"Выкуп")</f>
        <v>153.69999999999999</v>
      </c>
      <c r="H369" s="168">
        <f>SUMIFS(Таблица1[[#This Row],[8]:[19]],$I$5:$T$5,"Аренда")</f>
        <v>0</v>
      </c>
      <c r="I369" s="169">
        <v>153.69999999999999</v>
      </c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70"/>
      <c r="V369" s="171"/>
    </row>
    <row r="370" spans="1:22" hidden="1" outlineLevel="2" x14ac:dyDescent="0.25">
      <c r="A370" s="186">
        <f>SUMIFS(МКД!$A$6:$A$389,МКД!$D$6:$D$389,Таблица1[[#This Row],[2]])</f>
        <v>62</v>
      </c>
      <c r="B370" s="168"/>
      <c r="C370" s="182" t="s">
        <v>576</v>
      </c>
      <c r="D370" s="167" t="s">
        <v>826</v>
      </c>
      <c r="E370" s="167" t="s">
        <v>1225</v>
      </c>
      <c r="F370" s="167">
        <v>1</v>
      </c>
      <c r="G370" s="168">
        <f>SUMIFS(Таблица1[[#This Row],[8]:[19]],$I$5:$T$5,"Выкуп")</f>
        <v>66.8</v>
      </c>
      <c r="H370" s="168">
        <f>SUMIFS(Таблица1[[#This Row],[8]:[19]],$I$5:$T$5,"Аренда")</f>
        <v>0</v>
      </c>
      <c r="I370" s="169">
        <v>66.8</v>
      </c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70"/>
      <c r="V370" s="171"/>
    </row>
    <row r="371" spans="1:22" hidden="1" outlineLevel="2" x14ac:dyDescent="0.25">
      <c r="A371" s="186">
        <f>SUMIFS(МКД!$A$6:$A$389,МКД!$D$6:$D$389,Таблица1[[#This Row],[2]])</f>
        <v>62</v>
      </c>
      <c r="B371" s="168"/>
      <c r="C371" s="182" t="s">
        <v>576</v>
      </c>
      <c r="D371" s="167" t="s">
        <v>827</v>
      </c>
      <c r="E371" s="167" t="s">
        <v>1268</v>
      </c>
      <c r="F371" s="167">
        <v>1</v>
      </c>
      <c r="G371" s="168">
        <f>SUMIFS(Таблица1[[#This Row],[8]:[19]],$I$5:$T$5,"Выкуп")</f>
        <v>36.4</v>
      </c>
      <c r="H371" s="168">
        <f>SUMIFS(Таблица1[[#This Row],[8]:[19]],$I$5:$T$5,"Аренда")</f>
        <v>0</v>
      </c>
      <c r="I371" s="169">
        <v>36.4</v>
      </c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70"/>
      <c r="V371" s="171"/>
    </row>
    <row r="372" spans="1:22" hidden="1" outlineLevel="2" x14ac:dyDescent="0.25">
      <c r="A372" s="186">
        <f>SUMIFS(МКД!$A$6:$A$389,МКД!$D$6:$D$389,Таблица1[[#This Row],[2]])</f>
        <v>62</v>
      </c>
      <c r="B372" s="168"/>
      <c r="C372" s="182" t="s">
        <v>576</v>
      </c>
      <c r="D372" s="167" t="s">
        <v>827</v>
      </c>
      <c r="E372" s="167" t="s">
        <v>1269</v>
      </c>
      <c r="F372" s="167">
        <v>1</v>
      </c>
      <c r="G372" s="168">
        <f>SUMIFS(Таблица1[[#This Row],[8]:[19]],$I$5:$T$5,"Выкуп")</f>
        <v>73.599999999999994</v>
      </c>
      <c r="H372" s="168">
        <f>SUMIFS(Таблица1[[#This Row],[8]:[19]],$I$5:$T$5,"Аренда")</f>
        <v>0</v>
      </c>
      <c r="I372" s="169">
        <v>73.599999999999994</v>
      </c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70"/>
      <c r="V372" s="171"/>
    </row>
    <row r="373" spans="1:22" hidden="1" outlineLevel="2" x14ac:dyDescent="0.25">
      <c r="A373" s="186">
        <f>SUMIFS(МКД!$A$6:$A$389,МКД!$D$6:$D$389,Таблица1[[#This Row],[2]])</f>
        <v>62</v>
      </c>
      <c r="B373" s="168"/>
      <c r="C373" s="182" t="s">
        <v>576</v>
      </c>
      <c r="D373" s="167" t="s">
        <v>901</v>
      </c>
      <c r="E373" s="167" t="s">
        <v>1356</v>
      </c>
      <c r="F373" s="167">
        <v>2</v>
      </c>
      <c r="G373" s="168">
        <f>SUMIFS(Таблица1[[#This Row],[8]:[19]],$I$5:$T$5,"Выкуп")</f>
        <v>195.7</v>
      </c>
      <c r="H373" s="168">
        <f>SUMIFS(Таблица1[[#This Row],[8]:[19]],$I$5:$T$5,"Аренда")</f>
        <v>0</v>
      </c>
      <c r="I373" s="169">
        <v>195.7</v>
      </c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70"/>
      <c r="V373" s="171"/>
    </row>
    <row r="374" spans="1:22" hidden="1" outlineLevel="2" x14ac:dyDescent="0.25">
      <c r="A374" s="186">
        <f>SUMIFS(МКД!$A$6:$A$389,МКД!$D$6:$D$389,Таблица1[[#This Row],[2]])</f>
        <v>62</v>
      </c>
      <c r="B374" s="168"/>
      <c r="C374" s="182" t="s">
        <v>576</v>
      </c>
      <c r="D374" s="167" t="s">
        <v>1593</v>
      </c>
      <c r="E374" s="273" t="s">
        <v>1736</v>
      </c>
      <c r="F374" s="167">
        <v>2</v>
      </c>
      <c r="G374" s="168">
        <f>SUMIFS(Таблица1[[#This Row],[8]:[19]],$I$5:$T$5,"Выкуп")</f>
        <v>84.3</v>
      </c>
      <c r="H374" s="168">
        <f>SUMIFS(Таблица1[[#This Row],[8]:[19]],$I$5:$T$5,"Аренда")</f>
        <v>0</v>
      </c>
      <c r="I374" s="169"/>
      <c r="J374" s="169"/>
      <c r="K374" s="169">
        <v>84.3</v>
      </c>
      <c r="L374" s="169"/>
      <c r="M374" s="169"/>
      <c r="N374" s="169"/>
      <c r="O374" s="169"/>
      <c r="P374" s="169"/>
      <c r="Q374" s="169"/>
      <c r="R374" s="169"/>
      <c r="S374" s="169"/>
      <c r="T374" s="169"/>
      <c r="U374" s="170"/>
      <c r="V374" s="171"/>
    </row>
    <row r="375" spans="1:22" hidden="1" outlineLevel="2" x14ac:dyDescent="0.25">
      <c r="A375" s="186">
        <f>SUMIFS(МКД!$A$6:$A$389,МКД!$D$6:$D$389,Таблица1[[#This Row],[2]])</f>
        <v>62</v>
      </c>
      <c r="B375" s="168"/>
      <c r="C375" s="182" t="s">
        <v>576</v>
      </c>
      <c r="D375" s="167" t="s">
        <v>1271</v>
      </c>
      <c r="E375" s="167" t="s">
        <v>1272</v>
      </c>
      <c r="F375" s="167">
        <v>2</v>
      </c>
      <c r="G375" s="168">
        <f>SUMIFS(Таблица1[[#This Row],[8]:[19]],$I$5:$T$5,"Выкуп")</f>
        <v>108.6</v>
      </c>
      <c r="H375" s="168">
        <f>SUMIFS(Таблица1[[#This Row],[8]:[19]],$I$5:$T$5,"Аренда")</f>
        <v>0</v>
      </c>
      <c r="I375" s="169">
        <v>108.6</v>
      </c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70"/>
      <c r="V375" s="171"/>
    </row>
    <row r="376" spans="1:22" hidden="1" outlineLevel="2" x14ac:dyDescent="0.25">
      <c r="A376" s="186">
        <f>SUMIFS(МКД!$A$6:$A$389,МКД!$D$6:$D$389,Таблица1[[#This Row],[2]])</f>
        <v>62</v>
      </c>
      <c r="B376" s="168"/>
      <c r="C376" s="182" t="s">
        <v>576</v>
      </c>
      <c r="D376" s="167" t="s">
        <v>829</v>
      </c>
      <c r="E376" s="167" t="s">
        <v>1270</v>
      </c>
      <c r="F376" s="167">
        <v>1</v>
      </c>
      <c r="G376" s="168">
        <f>SUMIFS(Таблица1[[#This Row],[8]:[19]],$I$5:$T$5,"Выкуп")</f>
        <v>51.7</v>
      </c>
      <c r="H376" s="168">
        <f>SUMIFS(Таблица1[[#This Row],[8]:[19]],$I$5:$T$5,"Аренда")</f>
        <v>0</v>
      </c>
      <c r="I376" s="169">
        <v>51.7</v>
      </c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70"/>
      <c r="V376" s="171"/>
    </row>
    <row r="377" spans="1:22" hidden="1" outlineLevel="2" x14ac:dyDescent="0.25">
      <c r="A377" s="186">
        <f>SUMIFS(МКД!$A$6:$A$389,МКД!$D$6:$D$389,Таблица1[[#This Row],[2]])</f>
        <v>62</v>
      </c>
      <c r="B377" s="168"/>
      <c r="C377" s="182" t="s">
        <v>576</v>
      </c>
      <c r="D377" s="167" t="s">
        <v>830</v>
      </c>
      <c r="E377" s="167" t="s">
        <v>947</v>
      </c>
      <c r="F377" s="167">
        <v>1</v>
      </c>
      <c r="G377" s="168">
        <f>SUMIFS(Таблица1[[#This Row],[8]:[19]],$I$5:$T$5,"Выкуп")</f>
        <v>72.5</v>
      </c>
      <c r="H377" s="168">
        <f>SUMIFS(Таблица1[[#This Row],[8]:[19]],$I$5:$T$5,"Аренда")</f>
        <v>0</v>
      </c>
      <c r="I377" s="169">
        <v>72.5</v>
      </c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70"/>
      <c r="V377" s="171"/>
    </row>
    <row r="378" spans="1:22" hidden="1" outlineLevel="2" x14ac:dyDescent="0.25">
      <c r="A378" s="186">
        <f>SUMIFS(МКД!$A$6:$A$389,МКД!$D$6:$D$389,Таблица1[[#This Row],[2]])</f>
        <v>62</v>
      </c>
      <c r="B378" s="168"/>
      <c r="C378" s="182" t="s">
        <v>576</v>
      </c>
      <c r="D378" s="167" t="s">
        <v>831</v>
      </c>
      <c r="E378" s="167" t="s">
        <v>1273</v>
      </c>
      <c r="F378" s="167">
        <v>1</v>
      </c>
      <c r="G378" s="168">
        <f>SUMIFS(Таблица1[[#This Row],[8]:[19]],$I$5:$T$5,"Выкуп")</f>
        <v>35.700000000000003</v>
      </c>
      <c r="H378" s="168">
        <f>SUMIFS(Таблица1[[#This Row],[8]:[19]],$I$5:$T$5,"Аренда")</f>
        <v>0</v>
      </c>
      <c r="I378" s="169">
        <v>35.700000000000003</v>
      </c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70"/>
      <c r="V378" s="171"/>
    </row>
    <row r="379" spans="1:22" ht="15" outlineLevel="1" collapsed="1" x14ac:dyDescent="0.25">
      <c r="A379" s="186">
        <f>SUMIFS(МКД!$A$6:$A$389,МКД!$D$6:$D$389,Таблица1[[#This Row],[2]])</f>
        <v>63</v>
      </c>
      <c r="B379" s="194">
        <f>SUMIFS(Таблица1[6],Таблица1[2],Таблица1[[#This Row],[2]])+SUMIFS(Таблица1[7],Таблица1[2],Таблица1[[#This Row],[2]])</f>
        <v>149.80000000000001</v>
      </c>
      <c r="C379" s="185" t="s">
        <v>577</v>
      </c>
      <c r="D379" s="196"/>
      <c r="E379" s="196"/>
      <c r="F379" s="196"/>
      <c r="G379" s="168"/>
      <c r="H379" s="197"/>
      <c r="I379" s="196"/>
      <c r="J379" s="196"/>
      <c r="K379" s="196"/>
      <c r="L379" s="196"/>
      <c r="M379" s="196"/>
      <c r="N379" s="196"/>
      <c r="O379" s="196"/>
      <c r="P379" s="196"/>
      <c r="Q379" s="196"/>
      <c r="R379" s="196"/>
      <c r="S379" s="196"/>
      <c r="T379" s="196"/>
      <c r="U379" s="196"/>
      <c r="V379" s="198"/>
    </row>
    <row r="380" spans="1:22" hidden="1" outlineLevel="2" x14ac:dyDescent="0.25">
      <c r="A380" s="186">
        <f>SUMIFS(МКД!$A$6:$A$389,МКД!$D$6:$D$389,Таблица1[[#This Row],[2]])</f>
        <v>63</v>
      </c>
      <c r="B380" s="170"/>
      <c r="C380" s="182" t="s">
        <v>577</v>
      </c>
      <c r="D380" s="167" t="s">
        <v>1125</v>
      </c>
      <c r="E380" s="167" t="s">
        <v>1377</v>
      </c>
      <c r="F380" s="167">
        <v>1</v>
      </c>
      <c r="G380" s="168">
        <f>SUMIFS(Таблица1[[#This Row],[8]:[19]],$I$5:$T$5,"Выкуп")</f>
        <v>91.8</v>
      </c>
      <c r="H380" s="168">
        <f>SUMIFS(Таблица1[[#This Row],[8]:[19]],$I$5:$T$5,"Аренда")</f>
        <v>0</v>
      </c>
      <c r="I380" s="169">
        <v>91.8</v>
      </c>
      <c r="J380" s="169"/>
      <c r="K380" s="169"/>
      <c r="L380" s="169"/>
      <c r="M380" s="169"/>
      <c r="N380" s="169"/>
      <c r="O380" s="167"/>
      <c r="P380" s="169"/>
      <c r="Q380" s="169"/>
      <c r="R380" s="169"/>
      <c r="S380" s="169"/>
      <c r="T380" s="169"/>
      <c r="U380" s="170"/>
      <c r="V380" s="171"/>
    </row>
    <row r="381" spans="1:22" hidden="1" outlineLevel="2" x14ac:dyDescent="0.25">
      <c r="A381" s="186">
        <f>SUMIFS(МКД!$A$6:$A$389,МКД!$D$6:$D$389,Таблица1[[#This Row],[2]])</f>
        <v>63</v>
      </c>
      <c r="B381" s="168"/>
      <c r="C381" s="182" t="s">
        <v>577</v>
      </c>
      <c r="D381" s="167" t="s">
        <v>189</v>
      </c>
      <c r="E381" s="167" t="s">
        <v>112</v>
      </c>
      <c r="F381" s="167">
        <v>1</v>
      </c>
      <c r="G381" s="168">
        <f>SUMIFS(Таблица1[[#This Row],[8]:[19]],$I$5:$T$5,"Выкуп")</f>
        <v>0</v>
      </c>
      <c r="H381" s="168">
        <f>SUMIFS(Таблица1[[#This Row],[8]:[19]],$I$5:$T$5,"Аренда")</f>
        <v>58</v>
      </c>
      <c r="I381" s="169"/>
      <c r="J381" s="169"/>
      <c r="K381" s="167"/>
      <c r="L381" s="169">
        <v>58</v>
      </c>
      <c r="M381" s="169"/>
      <c r="N381" s="169"/>
      <c r="O381" s="169"/>
      <c r="P381" s="169"/>
      <c r="Q381" s="169"/>
      <c r="R381" s="169"/>
      <c r="S381" s="169"/>
      <c r="T381" s="169"/>
      <c r="U381" s="170"/>
      <c r="V381" s="171"/>
    </row>
    <row r="382" spans="1:22" ht="15" outlineLevel="1" collapsed="1" x14ac:dyDescent="0.25">
      <c r="A382" s="186">
        <f>SUMIFS(МКД!$A$6:$A$389,МКД!$D$6:$D$389,Таблица1[[#This Row],[2]])</f>
        <v>64</v>
      </c>
      <c r="B382" s="194">
        <f>SUMIFS(Таблица1[6],Таблица1[2],Таблица1[[#This Row],[2]])+SUMIFS(Таблица1[7],Таблица1[2],Таблица1[[#This Row],[2]])</f>
        <v>425.3</v>
      </c>
      <c r="C382" s="185" t="s">
        <v>578</v>
      </c>
      <c r="D382" s="196"/>
      <c r="E382" s="196"/>
      <c r="F382" s="196"/>
      <c r="G382" s="168"/>
      <c r="H382" s="197"/>
      <c r="I382" s="196"/>
      <c r="J382" s="196"/>
      <c r="K382" s="196"/>
      <c r="L382" s="196"/>
      <c r="M382" s="196"/>
      <c r="N382" s="196"/>
      <c r="O382" s="196"/>
      <c r="P382" s="196"/>
      <c r="Q382" s="196"/>
      <c r="R382" s="196"/>
      <c r="S382" s="196"/>
      <c r="T382" s="196"/>
      <c r="U382" s="196"/>
      <c r="V382" s="198"/>
    </row>
    <row r="383" spans="1:22" outlineLevel="2" x14ac:dyDescent="0.25">
      <c r="A383" s="186">
        <f>SUMIFS(МКД!$A$6:$A$389,МКД!$D$6:$D$389,Таблица1[[#This Row],[2]])</f>
        <v>64</v>
      </c>
      <c r="B383" s="170"/>
      <c r="C383" s="182" t="s">
        <v>578</v>
      </c>
      <c r="D383" s="167" t="s">
        <v>772</v>
      </c>
      <c r="E383" s="167" t="s">
        <v>828</v>
      </c>
      <c r="F383" s="167">
        <v>1</v>
      </c>
      <c r="G383" s="168">
        <f>SUMIFS(Таблица1[[#This Row],[8]:[19]],$I$5:$T$5,"Выкуп")</f>
        <v>23.2</v>
      </c>
      <c r="H383" s="168">
        <f>SUMIFS(Таблица1[[#This Row],[8]:[19]],$I$5:$T$5,"Аренда")</f>
        <v>0</v>
      </c>
      <c r="I383" s="169">
        <v>23.2</v>
      </c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70"/>
      <c r="V383" s="171"/>
    </row>
    <row r="384" spans="1:22" outlineLevel="2" x14ac:dyDescent="0.25">
      <c r="A384" s="186">
        <f>SUMIFS(МКД!$A$6:$A$389,МКД!$D$6:$D$389,Таблица1[[#This Row],[2]])</f>
        <v>64</v>
      </c>
      <c r="B384" s="170"/>
      <c r="C384" s="182" t="s">
        <v>578</v>
      </c>
      <c r="D384" s="167" t="s">
        <v>1053</v>
      </c>
      <c r="E384" s="167" t="s">
        <v>946</v>
      </c>
      <c r="F384" s="167">
        <v>1</v>
      </c>
      <c r="G384" s="168">
        <f>SUMIFS(Таблица1[[#This Row],[8]:[19]],$I$5:$T$5,"Выкуп")</f>
        <v>20.7</v>
      </c>
      <c r="H384" s="168">
        <f>SUMIFS(Таблица1[[#This Row],[8]:[19]],$I$5:$T$5,"Аренда")</f>
        <v>0</v>
      </c>
      <c r="I384" s="169">
        <v>20.7</v>
      </c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70"/>
      <c r="V384" s="171"/>
    </row>
    <row r="385" spans="1:22" outlineLevel="2" x14ac:dyDescent="0.25">
      <c r="A385" s="186">
        <f>SUMIFS(МКД!$A$6:$A$389,МКД!$D$6:$D$389,Таблица1[[#This Row],[2]])</f>
        <v>64</v>
      </c>
      <c r="B385" s="170"/>
      <c r="C385" s="182" t="s">
        <v>578</v>
      </c>
      <c r="D385" s="167" t="s">
        <v>1901</v>
      </c>
      <c r="E385" s="167" t="s">
        <v>99</v>
      </c>
      <c r="F385" s="167">
        <v>1</v>
      </c>
      <c r="G385" s="168">
        <f>SUMIFS(Таблица1[[#This Row],[8]:[19]],$I$5:$T$5,"Выкуп")</f>
        <v>10</v>
      </c>
      <c r="H385" s="168">
        <f>SUMIFS(Таблица1[[#This Row],[8]:[19]],$I$5:$T$5,"Аренда")</f>
        <v>0</v>
      </c>
      <c r="I385" s="169">
        <v>10</v>
      </c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70"/>
      <c r="V385" s="171"/>
    </row>
    <row r="386" spans="1:22" outlineLevel="2" x14ac:dyDescent="0.25">
      <c r="A386" s="186">
        <f>SUMIFS(МКД!$A$6:$A$389,МКД!$D$6:$D$389,Таблица1[[#This Row],[2]])</f>
        <v>64</v>
      </c>
      <c r="B386" s="168"/>
      <c r="C386" s="182" t="s">
        <v>578</v>
      </c>
      <c r="D386" s="167" t="s">
        <v>833</v>
      </c>
      <c r="E386" s="167" t="s">
        <v>1274</v>
      </c>
      <c r="F386" s="167">
        <v>1</v>
      </c>
      <c r="G386" s="168">
        <f>SUMIFS(Таблица1[[#This Row],[8]:[19]],$I$5:$T$5,"Выкуп")</f>
        <v>22.4</v>
      </c>
      <c r="H386" s="168">
        <f>SUMIFS(Таблица1[[#This Row],[8]:[19]],$I$5:$T$5,"Аренда")</f>
        <v>0</v>
      </c>
      <c r="I386" s="169">
        <v>22.4</v>
      </c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70"/>
      <c r="V386" s="171"/>
    </row>
    <row r="387" spans="1:22" outlineLevel="2" x14ac:dyDescent="0.25">
      <c r="A387" s="186">
        <f>SUMIFS(МКД!$A$6:$A$389,МКД!$D$6:$D$389,Таблица1[[#This Row],[2]])</f>
        <v>64</v>
      </c>
      <c r="B387" s="168"/>
      <c r="C387" s="182" t="s">
        <v>578</v>
      </c>
      <c r="D387" s="167" t="s">
        <v>834</v>
      </c>
      <c r="E387" s="167" t="s">
        <v>1982</v>
      </c>
      <c r="F387" s="167">
        <v>1</v>
      </c>
      <c r="G387" s="168">
        <f>SUMIFS(Таблица1[[#This Row],[8]:[19]],$I$5:$T$5,"Выкуп")</f>
        <v>229.70000000000002</v>
      </c>
      <c r="H387" s="168">
        <f>SUMIFS(Таблица1[[#This Row],[8]:[19]],$I$5:$T$5,"Аренда")</f>
        <v>0</v>
      </c>
      <c r="I387" s="169">
        <f>185.8+43.9</f>
        <v>229.70000000000002</v>
      </c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70"/>
      <c r="V387" s="171"/>
    </row>
    <row r="388" spans="1:22" outlineLevel="2" x14ac:dyDescent="0.25">
      <c r="A388" s="186">
        <f>SUMIFS(МКД!$A$6:$A$389,МКД!$D$6:$D$389,Таблица1[[#This Row],[2]])</f>
        <v>64</v>
      </c>
      <c r="B388" s="168"/>
      <c r="C388" s="182" t="s">
        <v>578</v>
      </c>
      <c r="D388" s="167" t="s">
        <v>14</v>
      </c>
      <c r="E388" s="167" t="s">
        <v>1275</v>
      </c>
      <c r="F388" s="167">
        <v>1</v>
      </c>
      <c r="G388" s="168">
        <f>SUMIFS(Таблица1[[#This Row],[8]:[19]],$I$5:$T$5,"Выкуп")</f>
        <v>37</v>
      </c>
      <c r="H388" s="168">
        <f>SUMIFS(Таблица1[[#This Row],[8]:[19]],$I$5:$T$5,"Аренда")</f>
        <v>0</v>
      </c>
      <c r="I388" s="169">
        <v>37</v>
      </c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70"/>
      <c r="V388" s="171"/>
    </row>
    <row r="389" spans="1:22" outlineLevel="2" x14ac:dyDescent="0.25">
      <c r="A389" s="186">
        <f>SUMIFS(МКД!$A$6:$A$389,МКД!$D$6:$D$389,Таблица1[[#This Row],[2]])</f>
        <v>64</v>
      </c>
      <c r="B389" s="168"/>
      <c r="C389" s="182" t="s">
        <v>578</v>
      </c>
      <c r="D389" s="167" t="s">
        <v>1053</v>
      </c>
      <c r="E389" s="167" t="s">
        <v>764</v>
      </c>
      <c r="F389" s="167">
        <v>1</v>
      </c>
      <c r="G389" s="168">
        <f>SUMIFS(Таблица1[[#This Row],[8]:[19]],$I$5:$T$5,"Выкуп")</f>
        <v>18.7</v>
      </c>
      <c r="H389" s="168">
        <f>SUMIFS(Таблица1[[#This Row],[8]:[19]],$I$5:$T$5,"Аренда")</f>
        <v>0</v>
      </c>
      <c r="I389" s="169">
        <v>18.7</v>
      </c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70"/>
      <c r="V389" s="171"/>
    </row>
    <row r="390" spans="1:22" outlineLevel="2" x14ac:dyDescent="0.25">
      <c r="A390" s="186">
        <f>SUMIFS(МКД!$A$6:$A$389,МКД!$D$6:$D$389,Таблица1[[#This Row],[2]])</f>
        <v>64</v>
      </c>
      <c r="B390" s="168"/>
      <c r="C390" s="182" t="s">
        <v>578</v>
      </c>
      <c r="D390" s="167" t="s">
        <v>1053</v>
      </c>
      <c r="E390" s="167" t="s">
        <v>76</v>
      </c>
      <c r="F390" s="167">
        <v>1</v>
      </c>
      <c r="G390" s="168">
        <f>SUMIFS(Таблица1[[#This Row],[8]:[19]],$I$5:$T$5,"Выкуп")</f>
        <v>18.5</v>
      </c>
      <c r="H390" s="168">
        <f>SUMIFS(Таблица1[[#This Row],[8]:[19]],$I$5:$T$5,"Аренда")</f>
        <v>0</v>
      </c>
      <c r="I390" s="169">
        <v>18.5</v>
      </c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70"/>
      <c r="V390" s="171"/>
    </row>
    <row r="391" spans="1:22" outlineLevel="2" x14ac:dyDescent="0.25">
      <c r="A391" s="186">
        <f>SUMIFS(МКД!$A$6:$A$389,МКД!$D$6:$D$389,Таблица1[[#This Row],[2]])</f>
        <v>64</v>
      </c>
      <c r="B391" s="168"/>
      <c r="C391" s="182" t="s">
        <v>578</v>
      </c>
      <c r="D391" s="167" t="s">
        <v>101</v>
      </c>
      <c r="E391" s="167" t="s">
        <v>835</v>
      </c>
      <c r="F391" s="167">
        <v>1</v>
      </c>
      <c r="G391" s="168">
        <f>SUMIFS(Таблица1[[#This Row],[8]:[19]],$I$5:$T$5,"Выкуп")</f>
        <v>45.1</v>
      </c>
      <c r="H391" s="168">
        <f>SUMIFS(Таблица1[[#This Row],[8]:[19]],$I$5:$T$5,"Аренда")</f>
        <v>0</v>
      </c>
      <c r="I391" s="169">
        <v>45.1</v>
      </c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70"/>
      <c r="V391" s="171"/>
    </row>
    <row r="392" spans="1:22" ht="15" outlineLevel="1" x14ac:dyDescent="0.25">
      <c r="A392" s="186">
        <f>SUMIFS(МКД!$A$6:$A$389,МКД!$D$6:$D$389,Таблица1[[#This Row],[2]])</f>
        <v>65</v>
      </c>
      <c r="B392" s="194">
        <f>SUMIFS(Таблица1[6],Таблица1[2],Таблица1[[#This Row],[2]])+SUMIFS(Таблица1[7],Таблица1[2],Таблица1[[#This Row],[2]])</f>
        <v>140.1</v>
      </c>
      <c r="C392" s="185" t="s">
        <v>579</v>
      </c>
      <c r="D392" s="196"/>
      <c r="E392" s="196"/>
      <c r="F392" s="196"/>
      <c r="G392" s="168"/>
      <c r="H392" s="197"/>
      <c r="I392" s="196"/>
      <c r="J392" s="196"/>
      <c r="K392" s="196"/>
      <c r="L392" s="196"/>
      <c r="M392" s="196"/>
      <c r="N392" s="196"/>
      <c r="O392" s="196"/>
      <c r="P392" s="196"/>
      <c r="Q392" s="196"/>
      <c r="R392" s="196"/>
      <c r="S392" s="196"/>
      <c r="T392" s="196"/>
      <c r="U392" s="196"/>
      <c r="V392" s="198"/>
    </row>
    <row r="393" spans="1:22" hidden="1" outlineLevel="2" x14ac:dyDescent="0.25">
      <c r="A393" s="186">
        <f>SUMIFS(МКД!$A$6:$A$389,МКД!$D$6:$D$389,Таблица1[[#This Row],[2]])</f>
        <v>65</v>
      </c>
      <c r="B393" s="170"/>
      <c r="C393" s="182" t="s">
        <v>579</v>
      </c>
      <c r="D393" s="167" t="s">
        <v>189</v>
      </c>
      <c r="E393" s="167" t="s">
        <v>120</v>
      </c>
      <c r="F393" s="167"/>
      <c r="G393" s="168">
        <f>SUMIFS(Таблица1[[#This Row],[8]:[19]],$I$5:$T$5,"Выкуп")</f>
        <v>0</v>
      </c>
      <c r="H393" s="168">
        <f>SUMIFS(Таблица1[[#This Row],[8]:[19]],$I$5:$T$5,"Аренда")</f>
        <v>140.1</v>
      </c>
      <c r="I393" s="167"/>
      <c r="J393" s="169">
        <v>140.1</v>
      </c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70"/>
      <c r="V393" s="171"/>
    </row>
    <row r="394" spans="1:22" ht="15" outlineLevel="1" collapsed="1" x14ac:dyDescent="0.25">
      <c r="A394" s="186">
        <f>SUMIFS(МКД!$A$6:$A$389,МКД!$D$6:$D$389,Таблица1[[#This Row],[2]])</f>
        <v>66</v>
      </c>
      <c r="B394" s="194">
        <f>SUMIFS(Таблица1[6],Таблица1[2],Таблица1[[#This Row],[2]])+SUMIFS(Таблица1[7],Таблица1[2],Таблица1[[#This Row],[2]])</f>
        <v>435.7</v>
      </c>
      <c r="C394" s="185" t="s">
        <v>580</v>
      </c>
      <c r="D394" s="196"/>
      <c r="E394" s="196"/>
      <c r="F394" s="196"/>
      <c r="G394" s="168"/>
      <c r="H394" s="197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8"/>
    </row>
    <row r="395" spans="1:22" hidden="1" outlineLevel="2" x14ac:dyDescent="0.25">
      <c r="A395" s="186">
        <f>SUMIFS(МКД!$A$6:$A$389,МКД!$D$6:$D$389,Таблица1[[#This Row],[2]])</f>
        <v>66</v>
      </c>
      <c r="B395" s="170"/>
      <c r="C395" s="182" t="s">
        <v>580</v>
      </c>
      <c r="D395" s="167" t="s">
        <v>64</v>
      </c>
      <c r="E395" s="167" t="s">
        <v>764</v>
      </c>
      <c r="F395" s="167">
        <v>1</v>
      </c>
      <c r="G395" s="168">
        <f>SUMIFS(Таблица1[[#This Row],[8]:[19]],$I$5:$T$5,"Выкуп")</f>
        <v>155.6</v>
      </c>
      <c r="H395" s="168">
        <f>SUMIFS(Таблица1[[#This Row],[8]:[19]],$I$5:$T$5,"Аренда")</f>
        <v>0</v>
      </c>
      <c r="I395" s="169">
        <v>152.5</v>
      </c>
      <c r="J395" s="169"/>
      <c r="K395" s="169"/>
      <c r="L395" s="169"/>
      <c r="M395" s="169"/>
      <c r="N395" s="169"/>
      <c r="O395" s="169"/>
      <c r="P395" s="169"/>
      <c r="Q395" s="169"/>
      <c r="R395" s="169"/>
      <c r="S395" s="169">
        <v>3.1</v>
      </c>
      <c r="T395" s="169"/>
      <c r="U395" s="170"/>
      <c r="V395" s="171"/>
    </row>
    <row r="396" spans="1:22" hidden="1" outlineLevel="2" x14ac:dyDescent="0.25">
      <c r="A396" s="186">
        <f>SUMIFS(МКД!$A$6:$A$389,МКД!$D$6:$D$389,Таблица1[[#This Row],[2]])</f>
        <v>66</v>
      </c>
      <c r="B396" s="168"/>
      <c r="C396" s="182" t="s">
        <v>580</v>
      </c>
      <c r="D396" s="167" t="s">
        <v>2093</v>
      </c>
      <c r="E396" s="167" t="s">
        <v>828</v>
      </c>
      <c r="F396" s="167">
        <v>1</v>
      </c>
      <c r="G396" s="168">
        <f>SUMIFS(Таблица1[[#This Row],[8]:[19]],$I$5:$T$5,"Выкуп")</f>
        <v>178.9</v>
      </c>
      <c r="H396" s="168">
        <f>SUMIFS(Таблица1[[#This Row],[8]:[19]],$I$5:$T$5,"Аренда")</f>
        <v>0</v>
      </c>
      <c r="I396" s="169">
        <v>178.9</v>
      </c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70"/>
      <c r="V396" s="171"/>
    </row>
    <row r="397" spans="1:22" hidden="1" outlineLevel="2" x14ac:dyDescent="0.25">
      <c r="A397" s="186">
        <f>SUMIFS(МКД!$A$6:$A$389,МКД!$D$6:$D$389,Таблица1[[#This Row],[2]])</f>
        <v>66</v>
      </c>
      <c r="B397" s="168"/>
      <c r="C397" s="182" t="s">
        <v>580</v>
      </c>
      <c r="D397" s="167" t="s">
        <v>2093</v>
      </c>
      <c r="E397" s="167" t="s">
        <v>76</v>
      </c>
      <c r="F397" s="167">
        <v>1</v>
      </c>
      <c r="G397" s="168">
        <f>SUMIFS(Таблица1[[#This Row],[8]:[19]],$I$5:$T$5,"Выкуп")</f>
        <v>101.2</v>
      </c>
      <c r="H397" s="168">
        <f>SUMIFS(Таблица1[[#This Row],[8]:[19]],$I$5:$T$5,"Аренда")</f>
        <v>0</v>
      </c>
      <c r="I397" s="169"/>
      <c r="J397" s="169"/>
      <c r="K397" s="169">
        <v>101.2</v>
      </c>
      <c r="L397" s="169"/>
      <c r="M397" s="169"/>
      <c r="N397" s="169"/>
      <c r="O397" s="169"/>
      <c r="P397" s="169"/>
      <c r="Q397" s="169"/>
      <c r="R397" s="169"/>
      <c r="S397" s="169"/>
      <c r="T397" s="169"/>
      <c r="U397" s="170"/>
      <c r="V397" s="171"/>
    </row>
    <row r="398" spans="1:22" ht="15" outlineLevel="1" collapsed="1" x14ac:dyDescent="0.25">
      <c r="A398" s="186">
        <f>SUMIFS(МКД!$A$6:$A$389,МКД!$D$6:$D$389,Таблица1[[#This Row],[2]])</f>
        <v>67</v>
      </c>
      <c r="B398" s="194">
        <f>SUMIFS(Таблица1[6],Таблица1[2],Таблица1[[#This Row],[2]])+SUMIFS(Таблица1[7],Таблица1[2],Таблица1[[#This Row],[2]])</f>
        <v>258</v>
      </c>
      <c r="C398" s="185" t="s">
        <v>581</v>
      </c>
      <c r="D398" s="196"/>
      <c r="E398" s="196"/>
      <c r="F398" s="196"/>
      <c r="G398" s="168"/>
      <c r="H398" s="197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8"/>
    </row>
    <row r="399" spans="1:22" hidden="1" outlineLevel="2" x14ac:dyDescent="0.25">
      <c r="A399" s="186">
        <f>SUMIFS(МКД!$A$6:$A$389,МКД!$D$6:$D$389,Таблица1[[#This Row],[2]])</f>
        <v>67</v>
      </c>
      <c r="B399" s="170"/>
      <c r="C399" s="182" t="s">
        <v>581</v>
      </c>
      <c r="D399" s="167" t="s">
        <v>836</v>
      </c>
      <c r="E399" s="167" t="s">
        <v>1276</v>
      </c>
      <c r="F399" s="167">
        <v>1</v>
      </c>
      <c r="G399" s="168">
        <f>SUMIFS(Таблица1[[#This Row],[8]:[19]],$I$5:$T$5,"Выкуп")</f>
        <v>36.5</v>
      </c>
      <c r="H399" s="168">
        <f>SUMIFS(Таблица1[[#This Row],[8]:[19]],$I$5:$T$5,"Аренда")</f>
        <v>0</v>
      </c>
      <c r="I399" s="169">
        <v>36.5</v>
      </c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70"/>
      <c r="V399" s="171"/>
    </row>
    <row r="400" spans="1:22" hidden="1" outlineLevel="2" x14ac:dyDescent="0.25">
      <c r="A400" s="186">
        <f>SUMIFS(МКД!$A$6:$A$389,МКД!$D$6:$D$389,Таблица1[[#This Row],[2]])</f>
        <v>67</v>
      </c>
      <c r="B400" s="168"/>
      <c r="C400" s="182" t="s">
        <v>581</v>
      </c>
      <c r="D400" s="167" t="s">
        <v>102</v>
      </c>
      <c r="E400" s="167" t="s">
        <v>1277</v>
      </c>
      <c r="F400" s="167">
        <v>1</v>
      </c>
      <c r="G400" s="168">
        <f>SUMIFS(Таблица1[[#This Row],[8]:[19]],$I$5:$T$5,"Выкуп")</f>
        <v>95.1</v>
      </c>
      <c r="H400" s="168">
        <f>SUMIFS(Таблица1[[#This Row],[8]:[19]],$I$5:$T$5,"Аренда")</f>
        <v>0</v>
      </c>
      <c r="I400" s="169">
        <v>95.1</v>
      </c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70"/>
      <c r="V400" s="171"/>
    </row>
    <row r="401" spans="1:22" hidden="1" outlineLevel="2" x14ac:dyDescent="0.25">
      <c r="A401" s="186">
        <f>SUMIFS(МКД!$A$6:$A$389,МКД!$D$6:$D$389,Таблица1[[#This Row],[2]])</f>
        <v>67</v>
      </c>
      <c r="B401" s="168"/>
      <c r="C401" s="182" t="s">
        <v>581</v>
      </c>
      <c r="D401" s="167" t="s">
        <v>837</v>
      </c>
      <c r="E401" s="167" t="s">
        <v>1189</v>
      </c>
      <c r="F401" s="167">
        <v>1</v>
      </c>
      <c r="G401" s="168">
        <f>SUMIFS(Таблица1[[#This Row],[8]:[19]],$I$5:$T$5,"Выкуп")</f>
        <v>71.7</v>
      </c>
      <c r="H401" s="168">
        <f>SUMIFS(Таблица1[[#This Row],[8]:[19]],$I$5:$T$5,"Аренда")</f>
        <v>0</v>
      </c>
      <c r="I401" s="169">
        <v>71.7</v>
      </c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70"/>
      <c r="V401" s="171"/>
    </row>
    <row r="402" spans="1:22" hidden="1" outlineLevel="2" x14ac:dyDescent="0.25">
      <c r="A402" s="186">
        <f>SUMIFS(МКД!$A$6:$A$389,МКД!$D$6:$D$389,Таблица1[[#This Row],[2]])</f>
        <v>67</v>
      </c>
      <c r="B402" s="168"/>
      <c r="C402" s="182" t="s">
        <v>581</v>
      </c>
      <c r="D402" s="167" t="s">
        <v>97</v>
      </c>
      <c r="E402" s="167" t="s">
        <v>980</v>
      </c>
      <c r="F402" s="167"/>
      <c r="G402" s="168">
        <f>SUMIFS(Таблица1[[#This Row],[8]:[19]],$I$5:$T$5,"Выкуп")</f>
        <v>54.7</v>
      </c>
      <c r="H402" s="168">
        <f>SUMIFS(Таблица1[[#This Row],[8]:[19]],$I$5:$T$5,"Аренда")</f>
        <v>0</v>
      </c>
      <c r="I402" s="169">
        <v>54.7</v>
      </c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70"/>
      <c r="V402" s="171"/>
    </row>
    <row r="403" spans="1:22" ht="15" outlineLevel="1" collapsed="1" x14ac:dyDescent="0.25">
      <c r="A403" s="186">
        <f>SUMIFS(МКД!$A$6:$A$389,МКД!$D$6:$D$389,Таблица1[[#This Row],[2]])</f>
        <v>68</v>
      </c>
      <c r="B403" s="194">
        <f>SUMIFS(Таблица1[6],Таблица1[2],Таблица1[[#This Row],[2]])+SUMIFS(Таблица1[7],Таблица1[2],Таблица1[[#This Row],[2]])</f>
        <v>0</v>
      </c>
      <c r="C403" s="185" t="s">
        <v>582</v>
      </c>
      <c r="D403" s="196"/>
      <c r="E403" s="196"/>
      <c r="F403" s="196"/>
      <c r="G403" s="168"/>
      <c r="H403" s="197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8"/>
    </row>
    <row r="404" spans="1:22" ht="15" hidden="1" outlineLevel="2" x14ac:dyDescent="0.25">
      <c r="A404" s="186">
        <f>SUMIFS(МКД!$A$6:$A$389,МКД!$D$6:$D$389,Таблица1[[#This Row],[2]])</f>
        <v>68</v>
      </c>
      <c r="B404" s="196"/>
      <c r="C404" s="182" t="s">
        <v>582</v>
      </c>
      <c r="D404" s="196"/>
      <c r="E404" s="196"/>
      <c r="F404" s="196"/>
      <c r="G404" s="168">
        <f>SUMIFS(Таблица1[[#This Row],[8]:[19]],$I$5:$T$5,"Выкуп")</f>
        <v>0</v>
      </c>
      <c r="H404" s="168">
        <f>SUMIFS(Таблица1[[#This Row],[8]:[19]],$I$5:$T$5,"Аренда")</f>
        <v>0</v>
      </c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8"/>
    </row>
    <row r="405" spans="1:22" ht="15" outlineLevel="1" collapsed="1" x14ac:dyDescent="0.25">
      <c r="A405" s="186">
        <f>SUMIFS(МКД!$A$6:$A$389,МКД!$D$6:$D$389,Таблица1[[#This Row],[2]])</f>
        <v>69</v>
      </c>
      <c r="B405" s="194">
        <f>SUMIFS(Таблица1[6],Таблица1[2],Таблица1[[#This Row],[2]])+SUMIFS(Таблица1[7],Таблица1[2],Таблица1[[#This Row],[2]])</f>
        <v>104</v>
      </c>
      <c r="C405" s="185" t="s">
        <v>583</v>
      </c>
      <c r="D405" s="196"/>
      <c r="E405" s="196"/>
      <c r="F405" s="196"/>
      <c r="G405" s="168"/>
      <c r="H405" s="197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8"/>
    </row>
    <row r="406" spans="1:22" hidden="1" outlineLevel="2" x14ac:dyDescent="0.25">
      <c r="A406" s="186">
        <f>SUMIFS(МКД!$A$6:$A$389,МКД!$D$6:$D$389,Таблица1[[#This Row],[2]])</f>
        <v>69</v>
      </c>
      <c r="B406" s="170"/>
      <c r="C406" s="182" t="s">
        <v>583</v>
      </c>
      <c r="D406" s="167" t="s">
        <v>72</v>
      </c>
      <c r="E406" s="167" t="s">
        <v>1402</v>
      </c>
      <c r="F406" s="167">
        <v>1</v>
      </c>
      <c r="G406" s="168">
        <f>SUMIFS(Таблица1[[#This Row],[8]:[19]],$I$5:$T$5,"Выкуп")</f>
        <v>0</v>
      </c>
      <c r="H406" s="168">
        <f>SUMIFS(Таблица1[[#This Row],[8]:[19]],$I$5:$T$5,"Аренда")</f>
        <v>0</v>
      </c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70"/>
      <c r="V406" s="171"/>
    </row>
    <row r="407" spans="1:22" hidden="1" outlineLevel="2" x14ac:dyDescent="0.25">
      <c r="A407" s="186">
        <f>SUMIFS(МКД!$A$6:$A$389,МКД!$D$6:$D$389,Таблица1[[#This Row],[2]])</f>
        <v>69</v>
      </c>
      <c r="B407" s="168"/>
      <c r="C407" s="182" t="s">
        <v>583</v>
      </c>
      <c r="D407" s="167" t="s">
        <v>2038</v>
      </c>
      <c r="E407" s="167" t="s">
        <v>1799</v>
      </c>
      <c r="F407" s="167">
        <v>1</v>
      </c>
      <c r="G407" s="168">
        <f>SUMIFS(Таблица1[[#This Row],[8]:[19]],$I$5:$T$5,"Выкуп")</f>
        <v>104</v>
      </c>
      <c r="H407" s="168">
        <f>SUMIFS(Таблица1[[#This Row],[8]:[19]],$I$5:$T$5,"Аренда")</f>
        <v>0</v>
      </c>
      <c r="I407" s="169"/>
      <c r="J407" s="169"/>
      <c r="K407" s="169">
        <v>104</v>
      </c>
      <c r="L407" s="169"/>
      <c r="M407" s="169"/>
      <c r="N407" s="169"/>
      <c r="O407" s="169"/>
      <c r="P407" s="169"/>
      <c r="Q407" s="169"/>
      <c r="R407" s="169"/>
      <c r="S407" s="169"/>
      <c r="T407" s="169"/>
      <c r="U407" s="170"/>
      <c r="V407" s="171"/>
    </row>
    <row r="408" spans="1:22" ht="15" outlineLevel="1" collapsed="1" x14ac:dyDescent="0.25">
      <c r="A408" s="186">
        <f>SUMIFS(МКД!$A$6:$A$389,МКД!$D$6:$D$389,Таблица1[[#This Row],[2]])</f>
        <v>70</v>
      </c>
      <c r="B408" s="194">
        <f>SUMIFS(Таблица1[6],Таблица1[2],Таблица1[[#This Row],[2]])+SUMIFS(Таблица1[7],Таблица1[2],Таблица1[[#This Row],[2]])</f>
        <v>683.7</v>
      </c>
      <c r="C408" s="185" t="s">
        <v>584</v>
      </c>
      <c r="D408" s="196"/>
      <c r="E408" s="196"/>
      <c r="F408" s="196"/>
      <c r="G408" s="168"/>
      <c r="H408" s="197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8"/>
    </row>
    <row r="409" spans="1:22" hidden="1" outlineLevel="2" x14ac:dyDescent="0.25">
      <c r="A409" s="186">
        <f>SUMIFS(МКД!$A$6:$A$389,МКД!$D$6:$D$389,Таблица1[[#This Row],[2]])</f>
        <v>70</v>
      </c>
      <c r="B409" s="170"/>
      <c r="C409" s="182" t="s">
        <v>584</v>
      </c>
      <c r="D409" s="167" t="s">
        <v>966</v>
      </c>
      <c r="E409" s="167" t="s">
        <v>828</v>
      </c>
      <c r="F409" s="167">
        <v>1</v>
      </c>
      <c r="G409" s="168">
        <f>SUMIFS(Таблица1[[#This Row],[8]:[19]],$I$5:$T$5,"Выкуп")</f>
        <v>683.7</v>
      </c>
      <c r="H409" s="168">
        <f>SUMIFS(Таблица1[[#This Row],[8]:[19]],$I$5:$T$5,"Аренда")</f>
        <v>0</v>
      </c>
      <c r="I409" s="169">
        <v>526.70000000000005</v>
      </c>
      <c r="J409" s="169"/>
      <c r="K409" s="169">
        <v>157</v>
      </c>
      <c r="L409" s="169"/>
      <c r="M409" s="169"/>
      <c r="N409" s="169"/>
      <c r="O409" s="169"/>
      <c r="P409" s="169"/>
      <c r="Q409" s="169"/>
      <c r="R409" s="169"/>
      <c r="S409" s="169"/>
      <c r="T409" s="169"/>
      <c r="U409" s="170"/>
      <c r="V409" s="171" t="s">
        <v>1632</v>
      </c>
    </row>
    <row r="410" spans="1:22" ht="15" outlineLevel="1" collapsed="1" x14ac:dyDescent="0.25">
      <c r="A410" s="186">
        <f>SUMIFS(МКД!$A$6:$A$389,МКД!$D$6:$D$389,Таблица1[[#This Row],[2]])</f>
        <v>71</v>
      </c>
      <c r="B410" s="194">
        <f>SUMIFS(Таблица1[6],Таблица1[2],Таблица1[[#This Row],[2]])+SUMIFS(Таблица1[7],Таблица1[2],Таблица1[[#This Row],[2]])</f>
        <v>315</v>
      </c>
      <c r="C410" s="185" t="s">
        <v>585</v>
      </c>
      <c r="D410" s="196"/>
      <c r="E410" s="196"/>
      <c r="F410" s="196"/>
      <c r="G410" s="168"/>
      <c r="H410" s="197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8"/>
    </row>
    <row r="411" spans="1:22" hidden="1" outlineLevel="2" x14ac:dyDescent="0.25">
      <c r="A411" s="186">
        <f>SUMIFS(МКД!$A$6:$A$389,МКД!$D$6:$D$389,Таблица1[[#This Row],[2]])</f>
        <v>71</v>
      </c>
      <c r="B411" s="170"/>
      <c r="C411" s="182" t="s">
        <v>585</v>
      </c>
      <c r="D411" s="167" t="s">
        <v>838</v>
      </c>
      <c r="E411" s="167" t="s">
        <v>1259</v>
      </c>
      <c r="F411" s="167">
        <v>1</v>
      </c>
      <c r="G411" s="168">
        <f>SUMIFS(Таблица1[[#This Row],[8]:[19]],$I$5:$T$5,"Выкуп")</f>
        <v>75.599999999999994</v>
      </c>
      <c r="H411" s="168">
        <f>SUMIFS(Таблица1[[#This Row],[8]:[19]],$I$5:$T$5,"Аренда")</f>
        <v>0</v>
      </c>
      <c r="I411" s="169">
        <v>75.599999999999994</v>
      </c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70"/>
      <c r="V411" s="171"/>
    </row>
    <row r="412" spans="1:22" hidden="1" outlineLevel="2" x14ac:dyDescent="0.25">
      <c r="A412" s="186">
        <f>SUMIFS(МКД!$A$6:$A$389,МКД!$D$6:$D$389,Таблица1[[#This Row],[2]])</f>
        <v>71</v>
      </c>
      <c r="B412" s="168"/>
      <c r="C412" s="182" t="s">
        <v>585</v>
      </c>
      <c r="D412" s="167" t="s">
        <v>839</v>
      </c>
      <c r="E412" s="167" t="s">
        <v>1278</v>
      </c>
      <c r="F412" s="167">
        <v>1</v>
      </c>
      <c r="G412" s="168">
        <f>SUMIFS(Таблица1[[#This Row],[8]:[19]],$I$5:$T$5,"Выкуп")</f>
        <v>202.4</v>
      </c>
      <c r="H412" s="168">
        <f>SUMIFS(Таблица1[[#This Row],[8]:[19]],$I$5:$T$5,"Аренда")</f>
        <v>0</v>
      </c>
      <c r="I412" s="169">
        <v>202.4</v>
      </c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70"/>
      <c r="V412" s="171"/>
    </row>
    <row r="413" spans="1:22" hidden="1" outlineLevel="2" x14ac:dyDescent="0.25">
      <c r="A413" s="186">
        <f>SUMIFS(МКД!$A$6:$A$389,МКД!$D$6:$D$389,Таблица1[[#This Row],[2]])</f>
        <v>71</v>
      </c>
      <c r="B413" s="168"/>
      <c r="C413" s="182" t="s">
        <v>585</v>
      </c>
      <c r="D413" s="167" t="s">
        <v>840</v>
      </c>
      <c r="E413" s="167" t="s">
        <v>900</v>
      </c>
      <c r="F413" s="167">
        <v>1</v>
      </c>
      <c r="G413" s="168">
        <f>SUMIFS(Таблица1[[#This Row],[8]:[19]],$I$5:$T$5,"Выкуп")</f>
        <v>37</v>
      </c>
      <c r="H413" s="168">
        <f>SUMIFS(Таблица1[[#This Row],[8]:[19]],$I$5:$T$5,"Аренда")</f>
        <v>0</v>
      </c>
      <c r="I413" s="169">
        <v>37</v>
      </c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70"/>
      <c r="V413" s="171"/>
    </row>
    <row r="414" spans="1:22" ht="15" outlineLevel="1" collapsed="1" x14ac:dyDescent="0.25">
      <c r="A414" s="186">
        <f>SUMIFS(МКД!$A$6:$A$389,МКД!$D$6:$D$389,Таблица1[[#This Row],[2]])</f>
        <v>72</v>
      </c>
      <c r="B414" s="194">
        <f>SUMIFS(Таблица1[6],Таблица1[2],Таблица1[[#This Row],[2]])+SUMIFS(Таблица1[7],Таблица1[2],Таблица1[[#This Row],[2]])</f>
        <v>0</v>
      </c>
      <c r="C414" s="185" t="s">
        <v>586</v>
      </c>
      <c r="D414" s="196"/>
      <c r="E414" s="196"/>
      <c r="F414" s="196"/>
      <c r="G414" s="168"/>
      <c r="H414" s="197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8"/>
    </row>
    <row r="415" spans="1:22" ht="15" hidden="1" outlineLevel="2" x14ac:dyDescent="0.25">
      <c r="A415" s="186">
        <f>SUMIFS(МКД!$A$6:$A$389,МКД!$D$6:$D$389,Таблица1[[#This Row],[2]])</f>
        <v>72</v>
      </c>
      <c r="B415" s="196"/>
      <c r="C415" s="182" t="s">
        <v>586</v>
      </c>
      <c r="D415" s="196"/>
      <c r="E415" s="196"/>
      <c r="F415" s="196"/>
      <c r="G415" s="168">
        <f>SUMIFS(Таблица1[[#This Row],[8]:[19]],$I$5:$T$5,"Выкуп")</f>
        <v>0</v>
      </c>
      <c r="H415" s="168">
        <f>SUMIFS(Таблица1[[#This Row],[8]:[19]],$I$5:$T$5,"Аренда")</f>
        <v>0</v>
      </c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8"/>
    </row>
    <row r="416" spans="1:22" ht="15" outlineLevel="1" collapsed="1" x14ac:dyDescent="0.25">
      <c r="A416" s="186">
        <f>SUMIFS(МКД!$A$6:$A$389,МКД!$D$6:$D$389,Таблица1[[#This Row],[2]])</f>
        <v>73</v>
      </c>
      <c r="B416" s="194">
        <f>SUMIFS(Таблица1[6],Таблица1[2],Таблица1[[#This Row],[2]])+SUMIFS(Таблица1[7],Таблица1[2],Таблица1[[#This Row],[2]])</f>
        <v>85.5</v>
      </c>
      <c r="C416" s="185" t="s">
        <v>587</v>
      </c>
      <c r="D416" s="196"/>
      <c r="E416" s="196"/>
      <c r="F416" s="196"/>
      <c r="G416" s="168"/>
      <c r="H416" s="197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8"/>
    </row>
    <row r="417" spans="1:22" ht="15" hidden="1" outlineLevel="2" x14ac:dyDescent="0.25">
      <c r="A417" s="186">
        <f>SUMIFS(МКД!$A$6:$A$389,МКД!$D$6:$D$389,Таблица1[[#This Row],[2]])</f>
        <v>73</v>
      </c>
      <c r="B417" s="196"/>
      <c r="C417" s="182" t="s">
        <v>587</v>
      </c>
      <c r="D417" s="167" t="s">
        <v>1593</v>
      </c>
      <c r="E417" s="273" t="s">
        <v>1735</v>
      </c>
      <c r="F417" s="196"/>
      <c r="G417" s="168">
        <f>SUMIFS(Таблица1[[#This Row],[8]:[19]],$I$5:$T$5,"Выкуп")</f>
        <v>85.5</v>
      </c>
      <c r="H417" s="168">
        <f>SUMIFS(Таблица1[[#This Row],[8]:[19]],$I$5:$T$5,"Аренда")</f>
        <v>0</v>
      </c>
      <c r="I417" s="196"/>
      <c r="J417" s="196"/>
      <c r="K417" s="196">
        <v>85.5</v>
      </c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8"/>
    </row>
    <row r="418" spans="1:22" ht="15" outlineLevel="1" collapsed="1" x14ac:dyDescent="0.25">
      <c r="A418" s="186">
        <f>SUMIFS(МКД!$A$6:$A$389,МКД!$D$6:$D$389,Таблица1[[#This Row],[2]])</f>
        <v>74</v>
      </c>
      <c r="B418" s="194">
        <f>SUMIFS(Таблица1[6],Таблица1[2],Таблица1[[#This Row],[2]])+SUMIFS(Таблица1[7],Таблица1[2],Таблица1[[#This Row],[2]])</f>
        <v>0</v>
      </c>
      <c r="C418" s="185" t="s">
        <v>588</v>
      </c>
      <c r="D418" s="196"/>
      <c r="E418" s="196"/>
      <c r="F418" s="196"/>
      <c r="G418" s="168"/>
      <c r="H418" s="197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8"/>
    </row>
    <row r="419" spans="1:22" ht="15" hidden="1" outlineLevel="2" x14ac:dyDescent="0.25">
      <c r="A419" s="186">
        <f>SUMIFS(МКД!$A$6:$A$389,МКД!$D$6:$D$389,Таблица1[[#This Row],[2]])</f>
        <v>74</v>
      </c>
      <c r="B419" s="196"/>
      <c r="C419" s="182" t="s">
        <v>588</v>
      </c>
      <c r="D419" s="196"/>
      <c r="E419" s="196"/>
      <c r="F419" s="196"/>
      <c r="G419" s="168">
        <f>SUMIFS(Таблица1[[#This Row],[8]:[19]],$I$5:$T$5,"Выкуп")</f>
        <v>0</v>
      </c>
      <c r="H419" s="168">
        <f>SUMIFS(Таблица1[[#This Row],[8]:[19]],$I$5:$T$5,"Аренда")</f>
        <v>0</v>
      </c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8"/>
    </row>
    <row r="420" spans="1:22" ht="15" outlineLevel="1" collapsed="1" x14ac:dyDescent="0.25">
      <c r="A420" s="186">
        <f>SUMIFS(МКД!$A$6:$A$389,МКД!$D$6:$D$389,Таблица1[[#This Row],[2]])</f>
        <v>75</v>
      </c>
      <c r="B420" s="194">
        <f>SUMIFS(Таблица1[6],Таблица1[2],Таблица1[[#This Row],[2]])+SUMIFS(Таблица1[7],Таблица1[2],Таблица1[[#This Row],[2]])</f>
        <v>497.3</v>
      </c>
      <c r="C420" s="185" t="s">
        <v>589</v>
      </c>
      <c r="D420" s="196"/>
      <c r="E420" s="196"/>
      <c r="F420" s="196"/>
      <c r="G420" s="168"/>
      <c r="H420" s="197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8"/>
    </row>
    <row r="421" spans="1:22" hidden="1" outlineLevel="2" x14ac:dyDescent="0.25">
      <c r="A421" s="186">
        <f>SUMIFS(МКД!$A$6:$A$389,МКД!$D$6:$D$389,Таблица1[[#This Row],[2]])</f>
        <v>75</v>
      </c>
      <c r="B421" s="170"/>
      <c r="C421" s="182" t="s">
        <v>589</v>
      </c>
      <c r="D421" s="167" t="s">
        <v>967</v>
      </c>
      <c r="E421" s="167" t="s">
        <v>1279</v>
      </c>
      <c r="F421" s="167">
        <v>1</v>
      </c>
      <c r="G421" s="168">
        <f>SUMIFS(Таблица1[[#This Row],[8]:[19]],$I$5:$T$5,"Выкуп")</f>
        <v>250.9</v>
      </c>
      <c r="H421" s="168">
        <f>SUMIFS(Таблица1[[#This Row],[8]:[19]],$I$5:$T$5,"Аренда")</f>
        <v>0</v>
      </c>
      <c r="I421" s="169">
        <v>250.9</v>
      </c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70"/>
      <c r="V421" s="171"/>
    </row>
    <row r="422" spans="1:22" hidden="1" outlineLevel="2" x14ac:dyDescent="0.25">
      <c r="A422" s="186">
        <f>SUMIFS(МКД!$A$6:$A$389,МКД!$D$6:$D$389,Таблица1[[#This Row],[2]])</f>
        <v>75</v>
      </c>
      <c r="B422" s="168"/>
      <c r="C422" s="182" t="s">
        <v>589</v>
      </c>
      <c r="D422" s="167" t="s">
        <v>1020</v>
      </c>
      <c r="E422" s="167" t="s">
        <v>1280</v>
      </c>
      <c r="F422" s="167">
        <v>1</v>
      </c>
      <c r="G422" s="168">
        <f>SUMIFS(Таблица1[[#This Row],[8]:[19]],$I$5:$T$5,"Выкуп")</f>
        <v>246.4</v>
      </c>
      <c r="H422" s="168">
        <f>SUMIFS(Таблица1[[#This Row],[8]:[19]],$I$5:$T$5,"Аренда")</f>
        <v>0</v>
      </c>
      <c r="I422" s="169">
        <v>85.6</v>
      </c>
      <c r="J422" s="169"/>
      <c r="K422" s="169">
        <v>160.80000000000001</v>
      </c>
      <c r="L422" s="169"/>
      <c r="M422" s="169"/>
      <c r="N422" s="169"/>
      <c r="O422" s="169"/>
      <c r="P422" s="169"/>
      <c r="Q422" s="169"/>
      <c r="R422" s="169"/>
      <c r="S422" s="169"/>
      <c r="T422" s="169"/>
      <c r="U422" s="170"/>
      <c r="V422" s="171"/>
    </row>
    <row r="423" spans="1:22" ht="15" outlineLevel="1" collapsed="1" x14ac:dyDescent="0.25">
      <c r="A423" s="186">
        <f>SUMIFS(МКД!$A$6:$A$389,МКД!$D$6:$D$389,Таблица1[[#This Row],[2]])</f>
        <v>76</v>
      </c>
      <c r="B423" s="194">
        <f>SUMIFS(Таблица1[6],Таблица1[2],Таблица1[[#This Row],[2]])+SUMIFS(Таблица1[7],Таблица1[2],Таблица1[[#This Row],[2]])</f>
        <v>161.69999999999999</v>
      </c>
      <c r="C423" s="185" t="s">
        <v>590</v>
      </c>
      <c r="D423" s="196"/>
      <c r="E423" s="196"/>
      <c r="F423" s="196"/>
      <c r="G423" s="168"/>
      <c r="H423" s="197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8"/>
    </row>
    <row r="424" spans="1:22" hidden="1" outlineLevel="2" x14ac:dyDescent="0.25">
      <c r="A424" s="186">
        <f>SUMIFS(МКД!$A$6:$A$389,МКД!$D$6:$D$389,Таблица1[[#This Row],[2]])</f>
        <v>76</v>
      </c>
      <c r="B424" s="170"/>
      <c r="C424" s="182" t="s">
        <v>590</v>
      </c>
      <c r="D424" s="167" t="s">
        <v>1665</v>
      </c>
      <c r="E424" s="167" t="s">
        <v>1248</v>
      </c>
      <c r="F424" s="167">
        <v>1</v>
      </c>
      <c r="G424" s="168">
        <f>SUMIFS(Таблица1[[#This Row],[8]:[19]],$I$5:$T$5,"Выкуп")</f>
        <v>71.599999999999994</v>
      </c>
      <c r="H424" s="168">
        <f>SUMIFS(Таблица1[[#This Row],[8]:[19]],$I$5:$T$5,"Аренда")</f>
        <v>0</v>
      </c>
      <c r="I424" s="169">
        <v>71.599999999999994</v>
      </c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70"/>
      <c r="V424" s="171"/>
    </row>
    <row r="425" spans="1:22" hidden="1" outlineLevel="2" x14ac:dyDescent="0.25">
      <c r="A425" s="186">
        <f>SUMIFS(МКД!$A$6:$A$389,МКД!$D$6:$D$389,Таблица1[[#This Row],[2]])</f>
        <v>76</v>
      </c>
      <c r="B425" s="170"/>
      <c r="C425" s="182" t="s">
        <v>590</v>
      </c>
      <c r="D425" s="167" t="s">
        <v>1593</v>
      </c>
      <c r="E425" s="273" t="s">
        <v>1735</v>
      </c>
      <c r="F425" s="167">
        <v>1</v>
      </c>
      <c r="G425" s="168">
        <f>SUMIFS(Таблица1[[#This Row],[8]:[19]],$I$5:$T$5,"Выкуп")</f>
        <v>90.1</v>
      </c>
      <c r="H425" s="168">
        <f>SUMIFS(Таблица1[[#This Row],[8]:[19]],$I$5:$T$5,"Аренда")</f>
        <v>0</v>
      </c>
      <c r="I425" s="169"/>
      <c r="J425" s="169"/>
      <c r="K425" s="169">
        <v>90.1</v>
      </c>
      <c r="L425" s="169"/>
      <c r="M425" s="169"/>
      <c r="N425" s="169"/>
      <c r="O425" s="169"/>
      <c r="P425" s="169"/>
      <c r="Q425" s="169"/>
      <c r="R425" s="169"/>
      <c r="S425" s="169"/>
      <c r="T425" s="169"/>
      <c r="U425" s="170"/>
      <c r="V425" s="171"/>
    </row>
    <row r="426" spans="1:22" ht="15" outlineLevel="1" collapsed="1" x14ac:dyDescent="0.25">
      <c r="A426" s="186">
        <f>SUMIFS(МКД!$A$6:$A$389,МКД!$D$6:$D$389,Таблица1[[#This Row],[2]])</f>
        <v>77</v>
      </c>
      <c r="B426" s="194">
        <f>SUMIFS(Таблица1[6],Таблица1[2],Таблица1[[#This Row],[2]])+SUMIFS(Таблица1[7],Таблица1[2],Таблица1[[#This Row],[2]])</f>
        <v>808</v>
      </c>
      <c r="C426" s="185" t="s">
        <v>591</v>
      </c>
      <c r="D426" s="196"/>
      <c r="E426" s="196"/>
      <c r="F426" s="196"/>
      <c r="G426" s="168"/>
      <c r="H426" s="197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8"/>
    </row>
    <row r="427" spans="1:22" hidden="1" outlineLevel="2" x14ac:dyDescent="0.25">
      <c r="A427" s="186">
        <f>SUMIFS(МКД!$A$6:$A$389,МКД!$D$6:$D$389,Таблица1[[#This Row],[2]])</f>
        <v>77</v>
      </c>
      <c r="B427" s="170"/>
      <c r="C427" s="182" t="s">
        <v>591</v>
      </c>
      <c r="D427" s="167" t="s">
        <v>815</v>
      </c>
      <c r="E427" s="167" t="s">
        <v>1167</v>
      </c>
      <c r="F427" s="167">
        <v>1</v>
      </c>
      <c r="G427" s="168">
        <f>SUMIFS(Таблица1[[#This Row],[8]:[19]],$I$5:$T$5,"Выкуп")</f>
        <v>98.9</v>
      </c>
      <c r="H427" s="168">
        <f>SUMIFS(Таблица1[[#This Row],[8]:[19]],$I$5:$T$5,"Аренда")</f>
        <v>0</v>
      </c>
      <c r="I427" s="169">
        <v>98.9</v>
      </c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70"/>
      <c r="V427" s="171"/>
    </row>
    <row r="428" spans="1:22" hidden="1" outlineLevel="2" x14ac:dyDescent="0.25">
      <c r="A428" s="186">
        <f>SUMIFS(МКД!$A$6:$A$389,МКД!$D$6:$D$389,Таблица1[[#This Row],[2]])</f>
        <v>77</v>
      </c>
      <c r="B428" s="168"/>
      <c r="C428" s="182" t="s">
        <v>591</v>
      </c>
      <c r="D428" s="167" t="s">
        <v>841</v>
      </c>
      <c r="E428" s="167" t="s">
        <v>1281</v>
      </c>
      <c r="F428" s="167">
        <v>1</v>
      </c>
      <c r="G428" s="168">
        <f>SUMIFS(Таблица1[[#This Row],[8]:[19]],$I$5:$T$5,"Выкуп")</f>
        <v>126.1</v>
      </c>
      <c r="H428" s="168">
        <f>SUMIFS(Таблица1[[#This Row],[8]:[19]],$I$5:$T$5,"Аренда")</f>
        <v>0</v>
      </c>
      <c r="I428" s="169">
        <v>110.1</v>
      </c>
      <c r="J428" s="169"/>
      <c r="K428" s="169"/>
      <c r="L428" s="169"/>
      <c r="M428" s="169"/>
      <c r="N428" s="169"/>
      <c r="O428" s="169"/>
      <c r="P428" s="169"/>
      <c r="Q428" s="169"/>
      <c r="R428" s="169"/>
      <c r="S428" s="169">
        <v>16</v>
      </c>
      <c r="T428" s="169"/>
      <c r="U428" s="170"/>
      <c r="V428" s="171"/>
    </row>
    <row r="429" spans="1:22" hidden="1" outlineLevel="2" x14ac:dyDescent="0.25">
      <c r="A429" s="186">
        <f>SUMIFS(МКД!$A$6:$A$389,МКД!$D$6:$D$389,Таблица1[[#This Row],[2]])</f>
        <v>77</v>
      </c>
      <c r="B429" s="168"/>
      <c r="C429" s="182" t="s">
        <v>591</v>
      </c>
      <c r="D429" s="167" t="s">
        <v>841</v>
      </c>
      <c r="E429" s="167" t="s">
        <v>1282</v>
      </c>
      <c r="F429" s="167">
        <v>1</v>
      </c>
      <c r="G429" s="168">
        <f>SUMIFS(Таблица1[[#This Row],[8]:[19]],$I$5:$T$5,"Выкуп")</f>
        <v>53.7</v>
      </c>
      <c r="H429" s="168">
        <f>SUMIFS(Таблица1[[#This Row],[8]:[19]],$I$5:$T$5,"Аренда")</f>
        <v>0</v>
      </c>
      <c r="I429" s="169">
        <v>53.7</v>
      </c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70"/>
      <c r="V429" s="171"/>
    </row>
    <row r="430" spans="1:22" hidden="1" outlineLevel="2" x14ac:dyDescent="0.25">
      <c r="A430" s="186">
        <f>SUMIFS(МКД!$A$6:$A$389,МКД!$D$6:$D$389,Таблица1[[#This Row],[2]])</f>
        <v>77</v>
      </c>
      <c r="B430" s="168"/>
      <c r="C430" s="182" t="s">
        <v>591</v>
      </c>
      <c r="D430" s="167" t="s">
        <v>958</v>
      </c>
      <c r="E430" s="167" t="s">
        <v>1283</v>
      </c>
      <c r="F430" s="167">
        <v>1</v>
      </c>
      <c r="G430" s="168">
        <f>SUMIFS(Таблица1[[#This Row],[8]:[19]],$I$5:$T$5,"Выкуп")</f>
        <v>187.5</v>
      </c>
      <c r="H430" s="168">
        <f>SUMIFS(Таблица1[[#This Row],[8]:[19]],$I$5:$T$5,"Аренда")</f>
        <v>0</v>
      </c>
      <c r="I430" s="169">
        <v>187.5</v>
      </c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70"/>
      <c r="V430" s="171"/>
    </row>
    <row r="431" spans="1:22" hidden="1" outlineLevel="2" x14ac:dyDescent="0.25">
      <c r="A431" s="186">
        <f>SUMIFS(МКД!$A$6:$A$389,МКД!$D$6:$D$389,Таблица1[[#This Row],[2]])</f>
        <v>77</v>
      </c>
      <c r="B431" s="168"/>
      <c r="C431" s="182" t="s">
        <v>591</v>
      </c>
      <c r="D431" s="167" t="s">
        <v>842</v>
      </c>
      <c r="E431" s="167" t="s">
        <v>1284</v>
      </c>
      <c r="F431" s="167">
        <v>1</v>
      </c>
      <c r="G431" s="168">
        <f>SUMIFS(Таблица1[[#This Row],[8]:[19]],$I$5:$T$5,"Выкуп")</f>
        <v>54.6</v>
      </c>
      <c r="H431" s="168">
        <f>SUMIFS(Таблица1[[#This Row],[8]:[19]],$I$5:$T$5,"Аренда")</f>
        <v>0</v>
      </c>
      <c r="I431" s="169">
        <v>54.6</v>
      </c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70"/>
      <c r="V431" s="171"/>
    </row>
    <row r="432" spans="1:22" hidden="1" outlineLevel="2" x14ac:dyDescent="0.25">
      <c r="A432" s="186">
        <f>SUMIFS(МКД!$A$6:$A$389,МКД!$D$6:$D$389,Таблица1[[#This Row],[2]])</f>
        <v>77</v>
      </c>
      <c r="B432" s="168"/>
      <c r="C432" s="182" t="s">
        <v>591</v>
      </c>
      <c r="D432" s="167" t="s">
        <v>1522</v>
      </c>
      <c r="E432" s="167" t="s">
        <v>1285</v>
      </c>
      <c r="F432" s="167">
        <v>1</v>
      </c>
      <c r="G432" s="168">
        <f>SUMIFS(Таблица1[[#This Row],[8]:[19]],$I$5:$T$5,"Выкуп")</f>
        <v>91.2</v>
      </c>
      <c r="H432" s="168">
        <f>SUMIFS(Таблица1[[#This Row],[8]:[19]],$I$5:$T$5,"Аренда")</f>
        <v>0</v>
      </c>
      <c r="I432" s="169">
        <v>91.2</v>
      </c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70"/>
      <c r="V432" s="171"/>
    </row>
    <row r="433" spans="1:22" hidden="1" outlineLevel="2" x14ac:dyDescent="0.25">
      <c r="A433" s="186">
        <f>SUMIFS(МКД!$A$6:$A$389,МКД!$D$6:$D$389,Таблица1[[#This Row],[2]])</f>
        <v>77</v>
      </c>
      <c r="B433" s="168"/>
      <c r="C433" s="182" t="s">
        <v>591</v>
      </c>
      <c r="D433" s="167" t="s">
        <v>843</v>
      </c>
      <c r="E433" s="167" t="s">
        <v>1286</v>
      </c>
      <c r="F433" s="167">
        <v>1</v>
      </c>
      <c r="G433" s="168">
        <f>SUMIFS(Таблица1[[#This Row],[8]:[19]],$I$5:$T$5,"Выкуп")</f>
        <v>108.4</v>
      </c>
      <c r="H433" s="168">
        <f>SUMIFS(Таблица1[[#This Row],[8]:[19]],$I$5:$T$5,"Аренда")</f>
        <v>0</v>
      </c>
      <c r="I433" s="169">
        <v>108.4</v>
      </c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70"/>
      <c r="V433" s="171"/>
    </row>
    <row r="434" spans="1:22" hidden="1" outlineLevel="2" x14ac:dyDescent="0.25">
      <c r="A434" s="186">
        <f>SUMIFS(МКД!$A$6:$A$389,МКД!$D$6:$D$389,Таблица1[[#This Row],[2]])</f>
        <v>77</v>
      </c>
      <c r="B434" s="168"/>
      <c r="C434" s="182" t="s">
        <v>591</v>
      </c>
      <c r="D434" s="167" t="s">
        <v>844</v>
      </c>
      <c r="E434" s="167" t="s">
        <v>1287</v>
      </c>
      <c r="F434" s="167">
        <v>1</v>
      </c>
      <c r="G434" s="168">
        <f>SUMIFS(Таблица1[[#This Row],[8]:[19]],$I$5:$T$5,"Выкуп")</f>
        <v>87.6</v>
      </c>
      <c r="H434" s="168">
        <f>SUMIFS(Таблица1[[#This Row],[8]:[19]],$I$5:$T$5,"Аренда")</f>
        <v>0</v>
      </c>
      <c r="I434" s="169">
        <v>87.6</v>
      </c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70"/>
      <c r="V434" s="171"/>
    </row>
    <row r="435" spans="1:22" ht="15" outlineLevel="1" collapsed="1" x14ac:dyDescent="0.25">
      <c r="A435" s="186">
        <f>SUMIFS(МКД!$A$6:$A$389,МКД!$D$6:$D$389,Таблица1[[#This Row],[2]])</f>
        <v>78</v>
      </c>
      <c r="B435" s="194">
        <f>SUMIFS(Таблица1[6],Таблица1[2],Таблица1[[#This Row],[2]])+SUMIFS(Таблица1[7],Таблица1[2],Таблица1[[#This Row],[2]])</f>
        <v>884.5</v>
      </c>
      <c r="C435" s="185" t="s">
        <v>592</v>
      </c>
      <c r="D435" s="196"/>
      <c r="E435" s="196"/>
      <c r="F435" s="196"/>
      <c r="G435" s="168"/>
      <c r="H435" s="197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8"/>
    </row>
    <row r="436" spans="1:22" hidden="1" outlineLevel="2" x14ac:dyDescent="0.25">
      <c r="A436" s="186">
        <f>SUMIFS(МКД!$A$6:$A$389,МКД!$D$6:$D$389,Таблица1[[#This Row],[2]])</f>
        <v>78</v>
      </c>
      <c r="B436" s="170"/>
      <c r="C436" s="182" t="s">
        <v>592</v>
      </c>
      <c r="D436" s="167" t="s">
        <v>11</v>
      </c>
      <c r="E436" s="167" t="s">
        <v>764</v>
      </c>
      <c r="F436" s="167">
        <v>1</v>
      </c>
      <c r="G436" s="168">
        <f>SUMIFS(Таблица1[[#This Row],[8]:[19]],$I$5:$T$5,"Выкуп")</f>
        <v>693.1</v>
      </c>
      <c r="H436" s="168">
        <f>SUMIFS(Таблица1[[#This Row],[8]:[19]],$I$5:$T$5,"Аренда")</f>
        <v>0</v>
      </c>
      <c r="I436" s="169">
        <v>390.8</v>
      </c>
      <c r="J436" s="169"/>
      <c r="K436" s="169">
        <v>302.3</v>
      </c>
      <c r="L436" s="169"/>
      <c r="M436" s="169"/>
      <c r="N436" s="169"/>
      <c r="O436" s="169"/>
      <c r="P436" s="169"/>
      <c r="Q436" s="169"/>
      <c r="R436" s="169"/>
      <c r="S436" s="169"/>
      <c r="T436" s="169"/>
      <c r="U436" s="170"/>
      <c r="V436" s="171"/>
    </row>
    <row r="437" spans="1:22" hidden="1" outlineLevel="2" x14ac:dyDescent="0.25">
      <c r="A437" s="186">
        <f>SUMIFS(МКД!$A$6:$A$389,МКД!$D$6:$D$389,Таблица1[[#This Row],[2]])</f>
        <v>78</v>
      </c>
      <c r="B437" s="168"/>
      <c r="C437" s="182" t="s">
        <v>592</v>
      </c>
      <c r="D437" s="167" t="s">
        <v>1497</v>
      </c>
      <c r="E437" s="167" t="s">
        <v>828</v>
      </c>
      <c r="F437" s="167">
        <v>1</v>
      </c>
      <c r="G437" s="168">
        <f>SUMIFS(Таблица1[[#This Row],[8]:[19]],$I$5:$T$5,"Выкуп")</f>
        <v>191.4</v>
      </c>
      <c r="H437" s="168">
        <f>SUMIFS(Таблица1[[#This Row],[8]:[19]],$I$5:$T$5,"Аренда")</f>
        <v>0</v>
      </c>
      <c r="I437" s="169">
        <v>162.1</v>
      </c>
      <c r="J437" s="169"/>
      <c r="K437" s="169">
        <v>29.3</v>
      </c>
      <c r="L437" s="169"/>
      <c r="M437" s="169"/>
      <c r="N437" s="169"/>
      <c r="O437" s="169"/>
      <c r="P437" s="169"/>
      <c r="Q437" s="169"/>
      <c r="R437" s="169"/>
      <c r="S437" s="169"/>
      <c r="T437" s="169"/>
      <c r="U437" s="170"/>
      <c r="V437" s="171"/>
    </row>
    <row r="438" spans="1:22" ht="15" outlineLevel="1" collapsed="1" x14ac:dyDescent="0.25">
      <c r="A438" s="186">
        <f>SUMIFS(МКД!$A$6:$A$389,МКД!$D$6:$D$389,Таблица1[[#This Row],[2]])</f>
        <v>79</v>
      </c>
      <c r="B438" s="194">
        <f>SUMIFS(Таблица1[6],Таблица1[2],Таблица1[[#This Row],[2]])+SUMIFS(Таблица1[7],Таблица1[2],Таблица1[[#This Row],[2]])</f>
        <v>305</v>
      </c>
      <c r="C438" s="185" t="s">
        <v>593</v>
      </c>
      <c r="D438" s="196"/>
      <c r="E438" s="196"/>
      <c r="F438" s="196"/>
      <c r="G438" s="168"/>
      <c r="H438" s="197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8"/>
    </row>
    <row r="439" spans="1:22" hidden="1" outlineLevel="2" x14ac:dyDescent="0.25">
      <c r="A439" s="186">
        <f>SUMIFS(МКД!$A$6:$A$389,МКД!$D$6:$D$389,Таблица1[[#This Row],[2]])</f>
        <v>79</v>
      </c>
      <c r="B439" s="170"/>
      <c r="C439" s="182" t="s">
        <v>593</v>
      </c>
      <c r="D439" s="167" t="s">
        <v>134</v>
      </c>
      <c r="E439" s="167" t="s">
        <v>1291</v>
      </c>
      <c r="F439" s="167">
        <v>1</v>
      </c>
      <c r="G439" s="168">
        <f>SUMIFS(Таблица1[[#This Row],[8]:[19]],$I$5:$T$5,"Выкуп")</f>
        <v>31.9</v>
      </c>
      <c r="H439" s="168">
        <f>SUMIFS(Таблица1[[#This Row],[8]:[19]],$I$5:$T$5,"Аренда")</f>
        <v>0</v>
      </c>
      <c r="I439" s="169">
        <v>31.9</v>
      </c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70"/>
      <c r="V439" s="171"/>
    </row>
    <row r="440" spans="1:22" hidden="1" outlineLevel="2" x14ac:dyDescent="0.25">
      <c r="A440" s="186">
        <f>SUMIFS(МКД!$A$6:$A$389,МКД!$D$6:$D$389,Таблица1[[#This Row],[2]])</f>
        <v>79</v>
      </c>
      <c r="B440" s="168"/>
      <c r="C440" s="182" t="s">
        <v>593</v>
      </c>
      <c r="D440" s="167" t="s">
        <v>1556</v>
      </c>
      <c r="E440" s="167" t="s">
        <v>1290</v>
      </c>
      <c r="F440" s="167">
        <v>1</v>
      </c>
      <c r="G440" s="168">
        <f>SUMIFS(Таблица1[[#This Row],[8]:[19]],$I$5:$T$5,"Выкуп")</f>
        <v>40</v>
      </c>
      <c r="H440" s="168">
        <f>SUMIFS(Таблица1[[#This Row],[8]:[19]],$I$5:$T$5,"Аренда")</f>
        <v>0</v>
      </c>
      <c r="I440" s="169">
        <v>40</v>
      </c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70"/>
      <c r="V440" s="171"/>
    </row>
    <row r="441" spans="1:22" hidden="1" outlineLevel="2" x14ac:dyDescent="0.25">
      <c r="A441" s="186">
        <f>SUMIFS(МКД!$A$6:$A$389,МКД!$D$6:$D$389,Таблица1[[#This Row],[2]])</f>
        <v>79</v>
      </c>
      <c r="B441" s="168"/>
      <c r="C441" s="182" t="s">
        <v>593</v>
      </c>
      <c r="D441" s="167" t="s">
        <v>1530</v>
      </c>
      <c r="E441" s="167" t="s">
        <v>1289</v>
      </c>
      <c r="F441" s="167">
        <v>1</v>
      </c>
      <c r="G441" s="168">
        <f>SUMIFS(Таблица1[[#This Row],[8]:[19]],$I$5:$T$5,"Выкуп")</f>
        <v>91.2</v>
      </c>
      <c r="H441" s="168">
        <f>SUMIFS(Таблица1[[#This Row],[8]:[19]],$I$5:$T$5,"Аренда")</f>
        <v>0</v>
      </c>
      <c r="I441" s="169">
        <v>91.2</v>
      </c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70"/>
      <c r="V441" s="171"/>
    </row>
    <row r="442" spans="1:22" hidden="1" outlineLevel="2" x14ac:dyDescent="0.25">
      <c r="A442" s="186">
        <f>SUMIFS(МКД!$A$6:$A$389,МКД!$D$6:$D$389,Таблица1[[#This Row],[2]])</f>
        <v>79</v>
      </c>
      <c r="B442" s="168"/>
      <c r="C442" s="182" t="s">
        <v>593</v>
      </c>
      <c r="D442" s="167" t="s">
        <v>845</v>
      </c>
      <c r="E442" s="167" t="s">
        <v>1245</v>
      </c>
      <c r="F442" s="167">
        <v>1</v>
      </c>
      <c r="G442" s="168">
        <f>SUMIFS(Таблица1[[#This Row],[8]:[19]],$I$5:$T$5,"Выкуп")</f>
        <v>53</v>
      </c>
      <c r="H442" s="168">
        <f>SUMIFS(Таблица1[[#This Row],[8]:[19]],$I$5:$T$5,"Аренда")</f>
        <v>0</v>
      </c>
      <c r="I442" s="169">
        <v>53</v>
      </c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70"/>
      <c r="V442" s="171"/>
    </row>
    <row r="443" spans="1:22" hidden="1" outlineLevel="2" x14ac:dyDescent="0.25">
      <c r="A443" s="186">
        <f>SUMIFS(МКД!$A$6:$A$389,МКД!$D$6:$D$389,Таблица1[[#This Row],[2]])</f>
        <v>79</v>
      </c>
      <c r="B443" s="168"/>
      <c r="C443" s="182" t="s">
        <v>593</v>
      </c>
      <c r="D443" s="167" t="s">
        <v>135</v>
      </c>
      <c r="E443" s="167" t="s">
        <v>1288</v>
      </c>
      <c r="F443" s="167">
        <v>1</v>
      </c>
      <c r="G443" s="168">
        <f>SUMIFS(Таблица1[[#This Row],[8]:[19]],$I$5:$T$5,"Выкуп")</f>
        <v>88.9</v>
      </c>
      <c r="H443" s="168">
        <f>SUMIFS(Таблица1[[#This Row],[8]:[19]],$I$5:$T$5,"Аренда")</f>
        <v>0</v>
      </c>
      <c r="I443" s="169">
        <v>88.9</v>
      </c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70"/>
      <c r="V443" s="171"/>
    </row>
    <row r="444" spans="1:22" ht="15" outlineLevel="1" collapsed="1" x14ac:dyDescent="0.25">
      <c r="A444" s="186">
        <f>SUMIFS(МКД!$A$6:$A$389,МКД!$D$6:$D$389,Таблица1[[#This Row],[2]])</f>
        <v>80</v>
      </c>
      <c r="B444" s="194">
        <f>SUMIFS(Таблица1[6],Таблица1[2],Таблица1[[#This Row],[2]])+SUMIFS(Таблица1[7],Таблица1[2],Таблица1[[#This Row],[2]])</f>
        <v>42.9</v>
      </c>
      <c r="C444" s="185" t="s">
        <v>594</v>
      </c>
      <c r="D444" s="196"/>
      <c r="E444" s="196"/>
      <c r="F444" s="196"/>
      <c r="G444" s="168"/>
      <c r="H444" s="197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8"/>
    </row>
    <row r="445" spans="1:22" hidden="1" outlineLevel="2" x14ac:dyDescent="0.25">
      <c r="A445" s="186">
        <f>SUMIFS(МКД!$A$6:$A$389,МКД!$D$6:$D$389,Таблица1[[#This Row],[2]])</f>
        <v>80</v>
      </c>
      <c r="B445" s="170"/>
      <c r="C445" s="182" t="s">
        <v>594</v>
      </c>
      <c r="D445" s="167" t="s">
        <v>2543</v>
      </c>
      <c r="E445" s="167" t="s">
        <v>2542</v>
      </c>
      <c r="F445" s="167">
        <v>1</v>
      </c>
      <c r="G445" s="168">
        <f>SUMIFS(Таблица1[[#This Row],[8]:[19]],$I$5:$T$5,"Выкуп")</f>
        <v>42.9</v>
      </c>
      <c r="H445" s="168">
        <f>SUMIFS(Таблица1[[#This Row],[8]:[19]],$I$5:$T$5,"Аренда")</f>
        <v>0</v>
      </c>
      <c r="I445" s="169">
        <v>42.9</v>
      </c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70"/>
      <c r="V445" s="171"/>
    </row>
    <row r="446" spans="1:22" ht="15" outlineLevel="1" collapsed="1" x14ac:dyDescent="0.25">
      <c r="A446" s="186">
        <f>SUMIFS(МКД!$A$6:$A$389,МКД!$D$6:$D$389,Таблица1[[#This Row],[2]])</f>
        <v>81</v>
      </c>
      <c r="B446" s="194">
        <f>SUMIFS(Таблица1[6],Таблица1[2],Таблица1[[#This Row],[2]])+SUMIFS(Таблица1[7],Таблица1[2],Таблица1[[#This Row],[2]])</f>
        <v>387.59999999999997</v>
      </c>
      <c r="C446" s="185" t="s">
        <v>595</v>
      </c>
      <c r="D446" s="196"/>
      <c r="E446" s="196"/>
      <c r="F446" s="196"/>
      <c r="G446" s="168"/>
      <c r="H446" s="197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8"/>
    </row>
    <row r="447" spans="1:22" hidden="1" outlineLevel="2" x14ac:dyDescent="0.25">
      <c r="A447" s="186">
        <f>SUMIFS(МКД!$A$6:$A$389,МКД!$D$6:$D$389,Таблица1[[#This Row],[2]])</f>
        <v>81</v>
      </c>
      <c r="B447" s="170"/>
      <c r="C447" s="182" t="s">
        <v>595</v>
      </c>
      <c r="D447" s="167" t="s">
        <v>847</v>
      </c>
      <c r="E447" s="167" t="s">
        <v>2103</v>
      </c>
      <c r="F447" s="167">
        <v>1</v>
      </c>
      <c r="G447" s="168">
        <f>SUMIFS(Таблица1[[#This Row],[8]:[19]],$I$5:$T$5,"Выкуп")</f>
        <v>54.7</v>
      </c>
      <c r="H447" s="168">
        <f>SUMIFS(Таблица1[[#This Row],[8]:[19]],$I$5:$T$5,"Аренда")</f>
        <v>0</v>
      </c>
      <c r="I447" s="169">
        <v>54.7</v>
      </c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70"/>
      <c r="V447" s="171"/>
    </row>
    <row r="448" spans="1:22" hidden="1" outlineLevel="2" x14ac:dyDescent="0.25">
      <c r="A448" s="186">
        <f>SUMIFS(МКД!$A$6:$A$389,МКД!$D$6:$D$389,Таблица1[[#This Row],[2]])</f>
        <v>81</v>
      </c>
      <c r="B448" s="168"/>
      <c r="C448" s="182" t="s">
        <v>595</v>
      </c>
      <c r="D448" s="167" t="s">
        <v>848</v>
      </c>
      <c r="E448" s="167" t="s">
        <v>2104</v>
      </c>
      <c r="F448" s="167">
        <v>1</v>
      </c>
      <c r="G448" s="168">
        <f>SUMIFS(Таблица1[[#This Row],[8]:[19]],$I$5:$T$5,"Выкуп")</f>
        <v>87.3</v>
      </c>
      <c r="H448" s="168">
        <f>SUMIFS(Таблица1[[#This Row],[8]:[19]],$I$5:$T$5,"Аренда")</f>
        <v>0</v>
      </c>
      <c r="I448" s="169">
        <v>87.3</v>
      </c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70"/>
      <c r="V448" s="171"/>
    </row>
    <row r="449" spans="1:22" hidden="1" outlineLevel="2" x14ac:dyDescent="0.25">
      <c r="A449" s="186">
        <f>SUMIFS(МКД!$A$6:$A$389,МКД!$D$6:$D$389,Таблица1[[#This Row],[2]])</f>
        <v>81</v>
      </c>
      <c r="B449" s="168"/>
      <c r="C449" s="182" t="s">
        <v>595</v>
      </c>
      <c r="D449" s="167" t="s">
        <v>1946</v>
      </c>
      <c r="E449" s="167" t="s">
        <v>1945</v>
      </c>
      <c r="F449" s="167">
        <v>1</v>
      </c>
      <c r="G449" s="168">
        <f>SUMIFS(Таблица1[[#This Row],[8]:[19]],$I$5:$T$5,"Выкуп")</f>
        <v>130.9</v>
      </c>
      <c r="H449" s="168">
        <f>SUMIFS(Таблица1[[#This Row],[8]:[19]],$I$5:$T$5,"Аренда")</f>
        <v>0</v>
      </c>
      <c r="I449" s="169">
        <v>130.9</v>
      </c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70"/>
      <c r="V449" s="171"/>
    </row>
    <row r="450" spans="1:22" hidden="1" outlineLevel="2" x14ac:dyDescent="0.25">
      <c r="A450" s="186">
        <f>SUMIFS(МКД!$A$6:$A$389,МКД!$D$6:$D$389,Таблица1[[#This Row],[2]])</f>
        <v>81</v>
      </c>
      <c r="B450" s="168"/>
      <c r="C450" s="182" t="s">
        <v>595</v>
      </c>
      <c r="D450" s="167" t="s">
        <v>849</v>
      </c>
      <c r="E450" s="167" t="s">
        <v>1290</v>
      </c>
      <c r="F450" s="167">
        <v>1</v>
      </c>
      <c r="G450" s="168">
        <f>SUMIFS(Таблица1[[#This Row],[8]:[19]],$I$5:$T$5,"Выкуп")</f>
        <v>41.5</v>
      </c>
      <c r="H450" s="168">
        <f>SUMIFS(Таблица1[[#This Row],[8]:[19]],$I$5:$T$5,"Аренда")</f>
        <v>0</v>
      </c>
      <c r="I450" s="169">
        <v>41.5</v>
      </c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70"/>
      <c r="V450" s="171"/>
    </row>
    <row r="451" spans="1:22" hidden="1" outlineLevel="2" x14ac:dyDescent="0.25">
      <c r="A451" s="186">
        <f>SUMIFS(МКД!$A$6:$A$389,МКД!$D$6:$D$389,Таблица1[[#This Row],[2]])</f>
        <v>81</v>
      </c>
      <c r="B451" s="168"/>
      <c r="C451" s="182" t="s">
        <v>595</v>
      </c>
      <c r="D451" s="167" t="s">
        <v>1416</v>
      </c>
      <c r="E451" s="167" t="s">
        <v>2105</v>
      </c>
      <c r="F451" s="167">
        <v>1</v>
      </c>
      <c r="G451" s="168">
        <f>SUMIFS(Таблица1[[#This Row],[8]:[19]],$I$5:$T$5,"Выкуп")</f>
        <v>44.3</v>
      </c>
      <c r="H451" s="168">
        <f>SUMIFS(Таблица1[[#This Row],[8]:[19]],$I$5:$T$5,"Аренда")</f>
        <v>0</v>
      </c>
      <c r="I451" s="169">
        <v>44.3</v>
      </c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70"/>
      <c r="V451" s="171"/>
    </row>
    <row r="452" spans="1:22" hidden="1" outlineLevel="2" x14ac:dyDescent="0.25">
      <c r="A452" s="186">
        <f>SUMIFS(МКД!$A$6:$A$389,МКД!$D$6:$D$389,Таблица1[[#This Row],[2]])</f>
        <v>81</v>
      </c>
      <c r="B452" s="168"/>
      <c r="C452" s="182" t="s">
        <v>595</v>
      </c>
      <c r="D452" s="167" t="s">
        <v>850</v>
      </c>
      <c r="E452" s="167" t="s">
        <v>1282</v>
      </c>
      <c r="F452" s="167">
        <v>1</v>
      </c>
      <c r="G452" s="168">
        <f>SUMIFS(Таблица1[[#This Row],[8]:[19]],$I$5:$T$5,"Выкуп")</f>
        <v>28.9</v>
      </c>
      <c r="H452" s="168">
        <f>SUMIFS(Таблица1[[#This Row],[8]:[19]],$I$5:$T$5,"Аренда")</f>
        <v>0</v>
      </c>
      <c r="I452" s="169">
        <v>28.9</v>
      </c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70"/>
      <c r="V452" s="171"/>
    </row>
    <row r="453" spans="1:22" ht="15" outlineLevel="1" collapsed="1" x14ac:dyDescent="0.25">
      <c r="A453" s="186">
        <f>SUMIFS(МКД!$A$6:$A$389,МКД!$D$6:$D$389,Таблица1[[#This Row],[2]])</f>
        <v>82</v>
      </c>
      <c r="B453" s="194">
        <f>SUMIFS(Таблица1[6],Таблица1[2],Таблица1[[#This Row],[2]])+SUMIFS(Таблица1[7],Таблица1[2],Таблица1[[#This Row],[2]])</f>
        <v>577.1</v>
      </c>
      <c r="C453" s="185" t="s">
        <v>596</v>
      </c>
      <c r="D453" s="196"/>
      <c r="E453" s="196"/>
      <c r="F453" s="196"/>
      <c r="G453" s="168"/>
      <c r="H453" s="197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8"/>
    </row>
    <row r="454" spans="1:22" hidden="1" outlineLevel="2" x14ac:dyDescent="0.25">
      <c r="A454" s="186">
        <f>SUMIFS(МКД!$A$6:$A$389,МКД!$D$6:$D$389,Таблица1[[#This Row],[2]])</f>
        <v>82</v>
      </c>
      <c r="B454" s="170"/>
      <c r="C454" s="182" t="s">
        <v>596</v>
      </c>
      <c r="D454" s="167" t="s">
        <v>851</v>
      </c>
      <c r="E454" s="167" t="s">
        <v>1292</v>
      </c>
      <c r="F454" s="167">
        <v>2</v>
      </c>
      <c r="G454" s="168">
        <f>SUMIFS(Таблица1[[#This Row],[8]:[19]],$I$5:$T$5,"Выкуп")</f>
        <v>42.3</v>
      </c>
      <c r="H454" s="168">
        <f>SUMIFS(Таблица1[[#This Row],[8]:[19]],$I$5:$T$5,"Аренда")</f>
        <v>0</v>
      </c>
      <c r="I454" s="169">
        <v>42.3</v>
      </c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70"/>
      <c r="V454" s="171"/>
    </row>
    <row r="455" spans="1:22" hidden="1" outlineLevel="2" x14ac:dyDescent="0.25">
      <c r="A455" s="186">
        <f>SUMIFS(МКД!$A$6:$A$389,МКД!$D$6:$D$389,Таблица1[[#This Row],[2]])</f>
        <v>82</v>
      </c>
      <c r="B455" s="168"/>
      <c r="C455" s="182" t="s">
        <v>596</v>
      </c>
      <c r="D455" s="167" t="s">
        <v>790</v>
      </c>
      <c r="E455" s="167" t="s">
        <v>828</v>
      </c>
      <c r="F455" s="167">
        <v>1</v>
      </c>
      <c r="G455" s="168">
        <f>SUMIFS(Таблица1[[#This Row],[8]:[19]],$I$5:$T$5,"Выкуп")</f>
        <v>71.2</v>
      </c>
      <c r="H455" s="168">
        <f>SUMIFS(Таблица1[[#This Row],[8]:[19]],$I$5:$T$5,"Аренда")</f>
        <v>0</v>
      </c>
      <c r="I455" s="169">
        <f>71.2</f>
        <v>71.2</v>
      </c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70"/>
      <c r="V455" s="171"/>
    </row>
    <row r="456" spans="1:22" hidden="1" outlineLevel="2" x14ac:dyDescent="0.25">
      <c r="A456" s="186">
        <f>SUMIFS(МКД!$A$6:$A$389,МКД!$D$6:$D$389,Таблица1[[#This Row],[2]])</f>
        <v>82</v>
      </c>
      <c r="B456" s="168"/>
      <c r="C456" s="182" t="s">
        <v>596</v>
      </c>
      <c r="D456" s="167" t="s">
        <v>1522</v>
      </c>
      <c r="E456" s="167" t="s">
        <v>99</v>
      </c>
      <c r="F456" s="167">
        <v>1</v>
      </c>
      <c r="G456" s="168">
        <f>SUMIFS(Таблица1[[#This Row],[8]:[19]],$I$5:$T$5,"Выкуп")</f>
        <v>89.6</v>
      </c>
      <c r="H456" s="168">
        <f>SUMIFS(Таблица1[[#This Row],[8]:[19]],$I$5:$T$5,"Аренда")</f>
        <v>0</v>
      </c>
      <c r="I456" s="169">
        <v>89.6</v>
      </c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70"/>
      <c r="V456" s="171"/>
    </row>
    <row r="457" spans="1:22" hidden="1" outlineLevel="2" x14ac:dyDescent="0.25">
      <c r="A457" s="186">
        <f>SUMIFS(МКД!$A$6:$A$389,МКД!$D$6:$D$389,Таблица1[[#This Row],[2]])</f>
        <v>82</v>
      </c>
      <c r="B457" s="168"/>
      <c r="C457" s="182" t="s">
        <v>596</v>
      </c>
      <c r="D457" s="167" t="s">
        <v>852</v>
      </c>
      <c r="E457" s="167" t="s">
        <v>1293</v>
      </c>
      <c r="F457" s="167">
        <v>1</v>
      </c>
      <c r="G457" s="168">
        <f>SUMIFS(Таблица1[[#This Row],[8]:[19]],$I$5:$T$5,"Выкуп")</f>
        <v>202.9</v>
      </c>
      <c r="H457" s="168">
        <f>SUMIFS(Таблица1[[#This Row],[8]:[19]],$I$5:$T$5,"Аренда")</f>
        <v>0</v>
      </c>
      <c r="I457" s="169">
        <v>202.9</v>
      </c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70"/>
      <c r="V457" s="171"/>
    </row>
    <row r="458" spans="1:22" hidden="1" outlineLevel="2" x14ac:dyDescent="0.25">
      <c r="A458" s="186">
        <f>SUMIFS(МКД!$A$6:$A$389,МКД!$D$6:$D$389,Таблица1[[#This Row],[2]])</f>
        <v>82</v>
      </c>
      <c r="B458" s="168"/>
      <c r="C458" s="182" t="s">
        <v>596</v>
      </c>
      <c r="D458" s="167" t="s">
        <v>1522</v>
      </c>
      <c r="E458" s="167" t="s">
        <v>1294</v>
      </c>
      <c r="F458" s="167">
        <v>1</v>
      </c>
      <c r="G458" s="168">
        <f>SUMIFS(Таблица1[[#This Row],[8]:[19]],$I$5:$T$5,"Выкуп")</f>
        <v>82.7</v>
      </c>
      <c r="H458" s="168">
        <f>SUMIFS(Таблица1[[#This Row],[8]:[19]],$I$5:$T$5,"Аренда")</f>
        <v>0</v>
      </c>
      <c r="I458" s="169">
        <v>82.7</v>
      </c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70"/>
      <c r="V458" s="171"/>
    </row>
    <row r="459" spans="1:22" hidden="1" outlineLevel="2" x14ac:dyDescent="0.25">
      <c r="A459" s="186">
        <f>SUMIFS(МКД!$A$6:$A$389,МКД!$D$6:$D$389,Таблица1[[#This Row],[2]])</f>
        <v>82</v>
      </c>
      <c r="B459" s="168"/>
      <c r="C459" s="182" t="s">
        <v>596</v>
      </c>
      <c r="D459" s="167" t="s">
        <v>1522</v>
      </c>
      <c r="E459" s="167" t="s">
        <v>764</v>
      </c>
      <c r="F459" s="167">
        <v>1</v>
      </c>
      <c r="G459" s="168">
        <f>SUMIFS(Таблица1[[#This Row],[8]:[19]],$I$5:$T$5,"Выкуп")</f>
        <v>88.4</v>
      </c>
      <c r="H459" s="168">
        <f>SUMIFS(Таблица1[[#This Row],[8]:[19]],$I$5:$T$5,"Аренда")</f>
        <v>0</v>
      </c>
      <c r="I459" s="169">
        <v>88.4</v>
      </c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70"/>
      <c r="V459" s="171"/>
    </row>
    <row r="460" spans="1:22" ht="15" outlineLevel="1" collapsed="1" x14ac:dyDescent="0.25">
      <c r="A460" s="186">
        <f>SUMIFS(МКД!$A$6:$A$389,МКД!$D$6:$D$389,Таблица1[[#This Row],[2]])</f>
        <v>83</v>
      </c>
      <c r="B460" s="194">
        <f>SUMIFS(Таблица1[6],Таблица1[2],Таблица1[[#This Row],[2]])+SUMIFS(Таблица1[7],Таблица1[2],Таблица1[[#This Row],[2]])</f>
        <v>309.7</v>
      </c>
      <c r="C460" s="185" t="s">
        <v>597</v>
      </c>
      <c r="D460" s="196"/>
      <c r="E460" s="196"/>
      <c r="F460" s="196"/>
      <c r="G460" s="168"/>
      <c r="H460" s="197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8"/>
    </row>
    <row r="461" spans="1:22" hidden="1" outlineLevel="2" x14ac:dyDescent="0.25">
      <c r="A461" s="186">
        <f>SUMIFS(МКД!$A$6:$A$389,МКД!$D$6:$D$389,Таблица1[[#This Row],[2]])</f>
        <v>83</v>
      </c>
      <c r="B461" s="170"/>
      <c r="C461" s="182" t="s">
        <v>597</v>
      </c>
      <c r="D461" s="167" t="s">
        <v>853</v>
      </c>
      <c r="E461" s="167" t="s">
        <v>981</v>
      </c>
      <c r="F461" s="167">
        <v>1</v>
      </c>
      <c r="G461" s="168">
        <f>SUMIFS(Таблица1[[#This Row],[8]:[19]],$I$5:$T$5,"Выкуп")</f>
        <v>73.599999999999994</v>
      </c>
      <c r="H461" s="168">
        <f>SUMIFS(Таблица1[[#This Row],[8]:[19]],$I$5:$T$5,"Аренда")</f>
        <v>0</v>
      </c>
      <c r="I461" s="169">
        <v>43.1</v>
      </c>
      <c r="J461" s="169"/>
      <c r="K461" s="169">
        <v>30.5</v>
      </c>
      <c r="L461" s="169"/>
      <c r="M461" s="169"/>
      <c r="N461" s="169"/>
      <c r="O461" s="169"/>
      <c r="P461" s="169"/>
      <c r="Q461" s="169"/>
      <c r="R461" s="169"/>
      <c r="S461" s="169"/>
      <c r="T461" s="169"/>
      <c r="U461" s="170"/>
      <c r="V461" s="171"/>
    </row>
    <row r="462" spans="1:22" hidden="1" outlineLevel="2" x14ac:dyDescent="0.25">
      <c r="A462" s="186">
        <f>SUMIFS(МКД!$A$6:$A$389,МКД!$D$6:$D$389,Таблица1[[#This Row],[2]])</f>
        <v>83</v>
      </c>
      <c r="B462" s="168"/>
      <c r="C462" s="182" t="s">
        <v>597</v>
      </c>
      <c r="D462" s="167" t="s">
        <v>1593</v>
      </c>
      <c r="E462" s="273" t="s">
        <v>1738</v>
      </c>
      <c r="F462" s="167">
        <v>1</v>
      </c>
      <c r="G462" s="168">
        <f>SUMIFS(Таблица1[[#This Row],[8]:[19]],$I$5:$T$5,"Выкуп")</f>
        <v>49.9</v>
      </c>
      <c r="H462" s="168">
        <f>SUMIFS(Таблица1[[#This Row],[8]:[19]],$I$5:$T$5,"Аренда")</f>
        <v>0</v>
      </c>
      <c r="I462" s="169"/>
      <c r="J462" s="169"/>
      <c r="K462" s="169">
        <v>49.9</v>
      </c>
      <c r="L462" s="169"/>
      <c r="M462" s="169"/>
      <c r="N462" s="169"/>
      <c r="O462" s="169"/>
      <c r="P462" s="169"/>
      <c r="Q462" s="169"/>
      <c r="R462" s="169"/>
      <c r="S462" s="169"/>
      <c r="T462" s="169"/>
      <c r="U462" s="170"/>
      <c r="V462" s="171"/>
    </row>
    <row r="463" spans="1:22" hidden="1" outlineLevel="2" x14ac:dyDescent="0.25">
      <c r="A463" s="186">
        <f>SUMIFS(МКД!$A$6:$A$389,МКД!$D$6:$D$389,Таблица1[[#This Row],[2]])</f>
        <v>83</v>
      </c>
      <c r="B463" s="168"/>
      <c r="C463" s="182" t="s">
        <v>597</v>
      </c>
      <c r="D463" s="167" t="s">
        <v>1737</v>
      </c>
      <c r="E463" s="167" t="s">
        <v>1295</v>
      </c>
      <c r="F463" s="167">
        <v>1</v>
      </c>
      <c r="G463" s="168">
        <f>SUMIFS(Таблица1[[#This Row],[8]:[19]],$I$5:$T$5,"Выкуп")</f>
        <v>186.2</v>
      </c>
      <c r="H463" s="168">
        <f>SUMIFS(Таблица1[[#This Row],[8]:[19]],$I$5:$T$5,"Аренда")</f>
        <v>0</v>
      </c>
      <c r="I463" s="169"/>
      <c r="J463" s="169"/>
      <c r="K463" s="169">
        <v>186.2</v>
      </c>
      <c r="L463" s="169"/>
      <c r="M463" s="169"/>
      <c r="N463" s="169"/>
      <c r="O463" s="169"/>
      <c r="P463" s="169"/>
      <c r="Q463" s="169"/>
      <c r="R463" s="169"/>
      <c r="S463" s="169"/>
      <c r="T463" s="169"/>
      <c r="U463" s="170"/>
      <c r="V463" s="171"/>
    </row>
    <row r="464" spans="1:22" ht="15" outlineLevel="1" collapsed="1" x14ac:dyDescent="0.25">
      <c r="A464" s="186">
        <f>SUMIFS(МКД!$A$6:$A$389,МКД!$D$6:$D$389,Таблица1[[#This Row],[2]])</f>
        <v>84</v>
      </c>
      <c r="B464" s="194">
        <f>SUMIFS(Таблица1[6],Таблица1[2],Таблица1[[#This Row],[2]])+SUMIFS(Таблица1[7],Таблица1[2],Таблица1[[#This Row],[2]])</f>
        <v>97.2</v>
      </c>
      <c r="C464" s="185" t="s">
        <v>598</v>
      </c>
      <c r="D464" s="196"/>
      <c r="E464" s="196"/>
      <c r="F464" s="196"/>
      <c r="G464" s="168"/>
      <c r="H464" s="197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8"/>
    </row>
    <row r="465" spans="1:16383" hidden="1" outlineLevel="2" x14ac:dyDescent="0.25">
      <c r="A465" s="186">
        <f>SUMIFS(МКД!$A$6:$A$389,МКД!$D$6:$D$389,Таблица1[[#This Row],[2]])</f>
        <v>84</v>
      </c>
      <c r="B465" s="170"/>
      <c r="C465" s="182" t="s">
        <v>598</v>
      </c>
      <c r="D465" s="167" t="s">
        <v>854</v>
      </c>
      <c r="E465" s="167" t="s">
        <v>1296</v>
      </c>
      <c r="F465" s="167">
        <v>1</v>
      </c>
      <c r="G465" s="168">
        <f>SUMIFS(Таблица1[[#This Row],[8]:[19]],$I$5:$T$5,"Выкуп")</f>
        <v>97.2</v>
      </c>
      <c r="H465" s="168">
        <f>SUMIFS(Таблица1[[#This Row],[8]:[19]],$I$5:$T$5,"Аренда")</f>
        <v>0</v>
      </c>
      <c r="I465" s="169">
        <v>97.2</v>
      </c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70"/>
      <c r="V465" s="171"/>
      <c r="W465" s="156"/>
      <c r="X465" s="156"/>
      <c r="Y465" s="156"/>
      <c r="Z465" s="156"/>
      <c r="AA465" s="156"/>
      <c r="AB465" s="156"/>
      <c r="AC465" s="156"/>
      <c r="AD465" s="156"/>
      <c r="AE465" s="156"/>
      <c r="AF465" s="156"/>
      <c r="AG465" s="156"/>
      <c r="AH465" s="156"/>
      <c r="AI465" s="156"/>
      <c r="AJ465" s="156"/>
      <c r="AK465" s="156"/>
      <c r="AL465" s="156"/>
      <c r="AM465" s="156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56"/>
      <c r="AY465" s="156"/>
      <c r="AZ465" s="156"/>
      <c r="BA465" s="156"/>
      <c r="BB465" s="156"/>
      <c r="BC465" s="156"/>
      <c r="BD465" s="156"/>
      <c r="BE465" s="156"/>
      <c r="BF465" s="156"/>
      <c r="BG465" s="156"/>
      <c r="BH465" s="156"/>
      <c r="BI465" s="156"/>
      <c r="BJ465" s="156"/>
      <c r="BK465" s="156"/>
      <c r="BL465" s="156"/>
      <c r="BM465" s="156"/>
      <c r="BN465" s="156"/>
      <c r="BO465" s="156"/>
      <c r="BP465" s="156"/>
      <c r="BQ465" s="156"/>
      <c r="BR465" s="156"/>
      <c r="BS465" s="156"/>
      <c r="BT465" s="156"/>
      <c r="BU465" s="156"/>
      <c r="BV465" s="156"/>
      <c r="BW465" s="156"/>
      <c r="BX465" s="156"/>
      <c r="BY465" s="156"/>
      <c r="BZ465" s="156"/>
      <c r="CA465" s="156"/>
      <c r="CB465" s="156"/>
      <c r="CC465" s="156"/>
      <c r="CD465" s="156"/>
      <c r="CE465" s="156"/>
      <c r="CF465" s="156"/>
      <c r="CG465" s="156"/>
      <c r="CH465" s="156"/>
      <c r="CI465" s="156"/>
      <c r="CJ465" s="156"/>
      <c r="CK465" s="156"/>
      <c r="CL465" s="156"/>
      <c r="CM465" s="156"/>
      <c r="CN465" s="156"/>
      <c r="CO465" s="156"/>
      <c r="CP465" s="156"/>
      <c r="CQ465" s="156"/>
      <c r="CR465" s="156"/>
      <c r="CS465" s="156"/>
      <c r="CT465" s="156"/>
      <c r="CU465" s="156"/>
      <c r="CV465" s="156"/>
      <c r="CW465" s="156"/>
      <c r="CX465" s="156"/>
      <c r="CY465" s="156"/>
      <c r="CZ465" s="156"/>
      <c r="DA465" s="156"/>
      <c r="DB465" s="156"/>
      <c r="DC465" s="156"/>
      <c r="DD465" s="156"/>
      <c r="DE465" s="156"/>
      <c r="DF465" s="156"/>
      <c r="DG465" s="156"/>
      <c r="DH465" s="156"/>
      <c r="DI465" s="156"/>
      <c r="DJ465" s="156"/>
      <c r="DK465" s="156"/>
      <c r="DL465" s="156"/>
      <c r="DM465" s="156"/>
      <c r="DN465" s="156"/>
      <c r="DO465" s="156"/>
      <c r="DP465" s="156"/>
      <c r="DQ465" s="156"/>
      <c r="DR465" s="156"/>
      <c r="DS465" s="156"/>
      <c r="DT465" s="156"/>
      <c r="DU465" s="156"/>
      <c r="DV465" s="156"/>
      <c r="DW465" s="156"/>
      <c r="DX465" s="156"/>
      <c r="DY465" s="156"/>
      <c r="DZ465" s="156"/>
      <c r="EA465" s="156"/>
      <c r="EB465" s="156"/>
      <c r="EC465" s="156"/>
      <c r="ED465" s="156"/>
      <c r="EE465" s="156"/>
      <c r="EF465" s="156"/>
      <c r="EG465" s="156"/>
      <c r="EH465" s="156"/>
      <c r="EI465" s="156"/>
      <c r="EJ465" s="156"/>
      <c r="EK465" s="156"/>
      <c r="EL465" s="156"/>
      <c r="EM465" s="156"/>
      <c r="EN465" s="156"/>
      <c r="EO465" s="156"/>
      <c r="EP465" s="156"/>
      <c r="EQ465" s="156"/>
      <c r="ER465" s="156"/>
      <c r="ES465" s="156"/>
      <c r="ET465" s="156"/>
      <c r="EU465" s="156"/>
      <c r="EV465" s="156"/>
      <c r="EW465" s="156"/>
      <c r="EX465" s="156"/>
      <c r="EY465" s="156"/>
      <c r="EZ465" s="156"/>
      <c r="FA465" s="156"/>
      <c r="FB465" s="156"/>
      <c r="FC465" s="156"/>
      <c r="FD465" s="156"/>
      <c r="FE465" s="156"/>
      <c r="FF465" s="156"/>
      <c r="FG465" s="156"/>
      <c r="FH465" s="156"/>
      <c r="FI465" s="156"/>
      <c r="FJ465" s="156"/>
      <c r="FK465" s="156"/>
      <c r="FL465" s="156"/>
      <c r="FM465" s="156"/>
      <c r="FN465" s="156"/>
      <c r="FO465" s="156"/>
      <c r="FP465" s="156"/>
      <c r="FQ465" s="156"/>
      <c r="FR465" s="156"/>
      <c r="FS465" s="156"/>
      <c r="FT465" s="156"/>
      <c r="FU465" s="156"/>
      <c r="FV465" s="156"/>
      <c r="FW465" s="156"/>
      <c r="FX465" s="156"/>
      <c r="FY465" s="156"/>
      <c r="FZ465" s="156"/>
      <c r="GA465" s="156"/>
      <c r="GB465" s="156"/>
      <c r="GC465" s="156"/>
      <c r="GD465" s="156"/>
      <c r="GE465" s="156"/>
      <c r="GF465" s="156"/>
      <c r="GG465" s="156"/>
      <c r="GH465" s="156"/>
      <c r="GI465" s="156"/>
      <c r="GJ465" s="156"/>
      <c r="GK465" s="156"/>
      <c r="GL465" s="156"/>
      <c r="GM465" s="156"/>
      <c r="GN465" s="156"/>
      <c r="GO465" s="156"/>
      <c r="GP465" s="156"/>
      <c r="GQ465" s="156"/>
      <c r="GR465" s="156"/>
      <c r="GS465" s="156"/>
      <c r="GT465" s="156"/>
      <c r="GU465" s="156"/>
      <c r="GV465" s="156"/>
      <c r="GW465" s="156"/>
      <c r="GX465" s="156"/>
      <c r="GY465" s="156"/>
      <c r="GZ465" s="156"/>
      <c r="HA465" s="156"/>
      <c r="HB465" s="156"/>
      <c r="HC465" s="156"/>
      <c r="HD465" s="156"/>
      <c r="HE465" s="156"/>
      <c r="HF465" s="156"/>
      <c r="HG465" s="156"/>
      <c r="HH465" s="156"/>
      <c r="HI465" s="156"/>
      <c r="HJ465" s="156"/>
      <c r="HK465" s="156"/>
      <c r="HL465" s="156"/>
      <c r="HM465" s="156"/>
      <c r="HN465" s="156"/>
      <c r="HO465" s="156"/>
      <c r="HP465" s="156"/>
      <c r="HQ465" s="156"/>
      <c r="HR465" s="156"/>
      <c r="HS465" s="156"/>
      <c r="HT465" s="156"/>
      <c r="HU465" s="156"/>
      <c r="HV465" s="156"/>
      <c r="HW465" s="156"/>
      <c r="HX465" s="156"/>
      <c r="HY465" s="156"/>
      <c r="HZ465" s="156"/>
      <c r="IA465" s="156"/>
      <c r="IB465" s="156"/>
      <c r="IC465" s="156"/>
      <c r="ID465" s="156"/>
      <c r="IE465" s="156"/>
      <c r="IF465" s="156"/>
      <c r="IG465" s="156"/>
      <c r="IH465" s="156"/>
      <c r="II465" s="156"/>
      <c r="IJ465" s="156"/>
      <c r="IK465" s="156"/>
      <c r="IL465" s="156"/>
      <c r="IM465" s="156"/>
      <c r="IN465" s="156"/>
      <c r="IO465" s="156"/>
      <c r="IP465" s="156"/>
      <c r="IQ465" s="156"/>
      <c r="IR465" s="156"/>
      <c r="IS465" s="156"/>
      <c r="IT465" s="156"/>
      <c r="IU465" s="156"/>
      <c r="IV465" s="156"/>
      <c r="IW465" s="156"/>
      <c r="IX465" s="156"/>
      <c r="IY465" s="156"/>
      <c r="IZ465" s="156"/>
      <c r="JA465" s="156"/>
      <c r="JB465" s="156"/>
      <c r="JC465" s="156"/>
      <c r="JD465" s="156"/>
      <c r="JE465" s="156"/>
      <c r="JF465" s="156"/>
      <c r="JG465" s="156"/>
      <c r="JH465" s="156"/>
      <c r="JI465" s="156"/>
      <c r="JJ465" s="156"/>
      <c r="JK465" s="156"/>
      <c r="JL465" s="156"/>
      <c r="JM465" s="156"/>
      <c r="JN465" s="156"/>
      <c r="JO465" s="156"/>
      <c r="JP465" s="156"/>
      <c r="JQ465" s="156"/>
      <c r="JR465" s="156"/>
      <c r="JS465" s="156"/>
      <c r="JT465" s="156"/>
      <c r="JU465" s="156"/>
      <c r="JV465" s="156"/>
      <c r="JW465" s="156"/>
      <c r="JX465" s="156"/>
      <c r="JY465" s="156"/>
      <c r="JZ465" s="156"/>
      <c r="KA465" s="156"/>
      <c r="KB465" s="156"/>
      <c r="KC465" s="156"/>
      <c r="KD465" s="156"/>
      <c r="KE465" s="156"/>
      <c r="KF465" s="156"/>
      <c r="KG465" s="156"/>
      <c r="KH465" s="156"/>
      <c r="KI465" s="156"/>
      <c r="KJ465" s="156"/>
      <c r="KK465" s="156"/>
      <c r="KL465" s="156"/>
      <c r="KM465" s="156"/>
      <c r="KN465" s="156"/>
      <c r="KO465" s="156"/>
      <c r="KP465" s="156"/>
      <c r="KQ465" s="156"/>
      <c r="KR465" s="156"/>
      <c r="KS465" s="156"/>
      <c r="KT465" s="156"/>
      <c r="KU465" s="156"/>
      <c r="KV465" s="156"/>
      <c r="KW465" s="156"/>
      <c r="KX465" s="156"/>
      <c r="KY465" s="156"/>
      <c r="KZ465" s="156"/>
      <c r="LA465" s="156"/>
      <c r="LB465" s="156"/>
      <c r="LC465" s="156"/>
      <c r="LD465" s="156"/>
      <c r="LE465" s="156"/>
      <c r="LF465" s="156"/>
      <c r="LG465" s="156"/>
      <c r="LH465" s="156"/>
      <c r="LI465" s="156"/>
      <c r="LJ465" s="156"/>
      <c r="LK465" s="156"/>
      <c r="LL465" s="156"/>
      <c r="LM465" s="156"/>
      <c r="LN465" s="156"/>
      <c r="LO465" s="156"/>
      <c r="LP465" s="156"/>
      <c r="LQ465" s="156"/>
      <c r="LR465" s="156"/>
      <c r="LS465" s="156"/>
      <c r="LT465" s="156"/>
      <c r="LU465" s="156"/>
      <c r="LV465" s="156"/>
      <c r="LW465" s="156"/>
      <c r="LX465" s="156"/>
      <c r="LY465" s="156"/>
      <c r="LZ465" s="156"/>
      <c r="MA465" s="156"/>
      <c r="MB465" s="156"/>
      <c r="MC465" s="156"/>
      <c r="MD465" s="156"/>
      <c r="ME465" s="156"/>
      <c r="MF465" s="156"/>
      <c r="MG465" s="156"/>
      <c r="MH465" s="156"/>
      <c r="MI465" s="156"/>
      <c r="MJ465" s="156"/>
      <c r="MK465" s="156"/>
      <c r="ML465" s="156"/>
      <c r="MM465" s="156"/>
      <c r="MN465" s="156"/>
      <c r="MO465" s="156"/>
      <c r="MP465" s="156"/>
      <c r="MQ465" s="156"/>
      <c r="MR465" s="156"/>
      <c r="MS465" s="156"/>
      <c r="MT465" s="156"/>
      <c r="MU465" s="156"/>
      <c r="MV465" s="156"/>
      <c r="MW465" s="156"/>
      <c r="MX465" s="156"/>
      <c r="MY465" s="156"/>
      <c r="MZ465" s="156"/>
      <c r="NA465" s="156"/>
      <c r="NB465" s="156"/>
      <c r="NC465" s="156"/>
      <c r="ND465" s="156"/>
      <c r="NE465" s="156"/>
      <c r="NF465" s="156"/>
      <c r="NG465" s="156"/>
      <c r="NH465" s="156"/>
      <c r="NI465" s="156"/>
      <c r="NJ465" s="156"/>
      <c r="NK465" s="156"/>
      <c r="NL465" s="156"/>
      <c r="NM465" s="156"/>
      <c r="NN465" s="156"/>
      <c r="NO465" s="156"/>
      <c r="NP465" s="156"/>
      <c r="NQ465" s="156"/>
      <c r="NR465" s="156"/>
      <c r="NS465" s="156"/>
      <c r="NT465" s="156"/>
      <c r="NU465" s="156"/>
      <c r="NV465" s="156"/>
      <c r="NW465" s="156"/>
      <c r="NX465" s="156"/>
      <c r="NY465" s="156"/>
      <c r="NZ465" s="156"/>
      <c r="OA465" s="156"/>
      <c r="OB465" s="156"/>
      <c r="OC465" s="156"/>
      <c r="OD465" s="156"/>
      <c r="OE465" s="156"/>
      <c r="OF465" s="156"/>
      <c r="OG465" s="156"/>
      <c r="OH465" s="156"/>
      <c r="OI465" s="156"/>
      <c r="OJ465" s="156"/>
      <c r="OK465" s="156"/>
      <c r="OL465" s="156"/>
      <c r="OM465" s="156"/>
      <c r="ON465" s="156"/>
      <c r="OO465" s="156"/>
      <c r="OP465" s="156"/>
      <c r="OQ465" s="156"/>
      <c r="OR465" s="156"/>
      <c r="OS465" s="156"/>
      <c r="OT465" s="156"/>
      <c r="OU465" s="156"/>
      <c r="OV465" s="156"/>
      <c r="OW465" s="156"/>
      <c r="OX465" s="156"/>
      <c r="OY465" s="156"/>
      <c r="OZ465" s="156"/>
      <c r="PA465" s="156"/>
      <c r="PB465" s="156"/>
      <c r="PC465" s="156"/>
      <c r="PD465" s="156"/>
      <c r="PE465" s="156"/>
      <c r="PF465" s="156"/>
      <c r="PG465" s="156"/>
      <c r="PH465" s="156"/>
      <c r="PI465" s="156"/>
      <c r="PJ465" s="156"/>
      <c r="PK465" s="156"/>
      <c r="PL465" s="156"/>
      <c r="PM465" s="156"/>
      <c r="PN465" s="156"/>
      <c r="PO465" s="156"/>
      <c r="PP465" s="156"/>
      <c r="PQ465" s="156"/>
      <c r="PR465" s="156"/>
      <c r="PS465" s="156"/>
      <c r="PT465" s="156"/>
      <c r="PU465" s="156"/>
      <c r="PV465" s="156"/>
      <c r="PW465" s="156"/>
      <c r="PX465" s="156"/>
      <c r="PY465" s="156"/>
      <c r="PZ465" s="156"/>
      <c r="QA465" s="156"/>
      <c r="QB465" s="156"/>
      <c r="QC465" s="156"/>
      <c r="QD465" s="156"/>
      <c r="QE465" s="156"/>
      <c r="QF465" s="156"/>
      <c r="QG465" s="156"/>
      <c r="QH465" s="156"/>
      <c r="QI465" s="156"/>
      <c r="QJ465" s="156"/>
      <c r="QK465" s="156"/>
      <c r="QL465" s="156"/>
      <c r="QM465" s="156"/>
      <c r="QN465" s="156"/>
      <c r="QO465" s="156"/>
      <c r="QP465" s="156"/>
      <c r="QQ465" s="156"/>
      <c r="QR465" s="156"/>
      <c r="QS465" s="156"/>
      <c r="QT465" s="156"/>
      <c r="QU465" s="156"/>
      <c r="QV465" s="156"/>
      <c r="QW465" s="156"/>
      <c r="QX465" s="156"/>
      <c r="QY465" s="156"/>
      <c r="QZ465" s="156"/>
      <c r="RA465" s="156"/>
      <c r="RB465" s="156"/>
      <c r="RC465" s="156"/>
      <c r="RD465" s="156"/>
      <c r="RE465" s="156"/>
      <c r="RF465" s="156"/>
      <c r="RG465" s="156"/>
      <c r="RH465" s="156"/>
      <c r="RI465" s="156"/>
      <c r="RJ465" s="156"/>
      <c r="RK465" s="156"/>
      <c r="RL465" s="156"/>
      <c r="RM465" s="156"/>
      <c r="RN465" s="156"/>
      <c r="RO465" s="156"/>
      <c r="RP465" s="156"/>
      <c r="RQ465" s="156"/>
      <c r="RR465" s="156"/>
      <c r="RS465" s="156"/>
      <c r="RT465" s="156"/>
      <c r="RU465" s="156"/>
      <c r="RV465" s="156"/>
      <c r="RW465" s="156"/>
      <c r="RX465" s="156"/>
      <c r="RY465" s="156"/>
      <c r="RZ465" s="156"/>
      <c r="SA465" s="156"/>
      <c r="SB465" s="156"/>
      <c r="SC465" s="156"/>
      <c r="SD465" s="156"/>
      <c r="SE465" s="156"/>
      <c r="SF465" s="156"/>
      <c r="SG465" s="156"/>
      <c r="SH465" s="156"/>
      <c r="SI465" s="156"/>
      <c r="SJ465" s="156"/>
      <c r="SK465" s="156"/>
      <c r="SL465" s="156"/>
      <c r="SM465" s="156"/>
      <c r="SN465" s="156"/>
      <c r="SO465" s="156"/>
      <c r="SP465" s="156"/>
      <c r="SQ465" s="156"/>
      <c r="SR465" s="156"/>
      <c r="SS465" s="156"/>
      <c r="ST465" s="156"/>
      <c r="SU465" s="156"/>
      <c r="SV465" s="156"/>
      <c r="SW465" s="156"/>
      <c r="SX465" s="156"/>
      <c r="SY465" s="156"/>
      <c r="SZ465" s="156"/>
      <c r="TA465" s="156"/>
      <c r="TB465" s="156"/>
      <c r="TC465" s="156"/>
      <c r="TD465" s="156"/>
      <c r="TE465" s="156"/>
      <c r="TF465" s="156"/>
      <c r="TG465" s="156"/>
      <c r="TH465" s="156"/>
      <c r="TI465" s="156"/>
      <c r="TJ465" s="156"/>
      <c r="TK465" s="156"/>
      <c r="TL465" s="156"/>
      <c r="TM465" s="156"/>
      <c r="TN465" s="156"/>
      <c r="TO465" s="156"/>
      <c r="TP465" s="156"/>
      <c r="TQ465" s="156"/>
      <c r="TR465" s="156"/>
      <c r="TS465" s="156"/>
      <c r="TT465" s="156"/>
      <c r="TU465" s="156"/>
      <c r="TV465" s="156"/>
      <c r="TW465" s="156"/>
      <c r="TX465" s="156"/>
      <c r="TY465" s="156"/>
      <c r="TZ465" s="156"/>
      <c r="UA465" s="156"/>
      <c r="UB465" s="156"/>
      <c r="UC465" s="156"/>
      <c r="UD465" s="156"/>
      <c r="UE465" s="156"/>
      <c r="UF465" s="156"/>
      <c r="UG465" s="156"/>
      <c r="UH465" s="156"/>
      <c r="UI465" s="156"/>
      <c r="UJ465" s="156"/>
      <c r="UK465" s="156"/>
      <c r="UL465" s="156"/>
      <c r="UM465" s="156"/>
      <c r="UN465" s="156"/>
      <c r="UO465" s="156"/>
      <c r="UP465" s="156"/>
      <c r="UQ465" s="156"/>
      <c r="UR465" s="156"/>
      <c r="US465" s="156"/>
      <c r="UT465" s="156"/>
      <c r="UU465" s="156"/>
      <c r="UV465" s="156"/>
      <c r="UW465" s="156"/>
      <c r="UX465" s="156"/>
      <c r="UY465" s="156"/>
      <c r="UZ465" s="156"/>
      <c r="VA465" s="156"/>
      <c r="VB465" s="156"/>
      <c r="VC465" s="156"/>
      <c r="VD465" s="156"/>
      <c r="VE465" s="156"/>
      <c r="VF465" s="156"/>
      <c r="VG465" s="156"/>
      <c r="VH465" s="156"/>
      <c r="VI465" s="156"/>
      <c r="VJ465" s="156"/>
      <c r="VK465" s="156"/>
      <c r="VL465" s="156"/>
      <c r="VM465" s="156"/>
      <c r="VN465" s="156"/>
      <c r="VO465" s="156"/>
      <c r="VP465" s="156"/>
      <c r="VQ465" s="156"/>
      <c r="VR465" s="156"/>
      <c r="VS465" s="156"/>
      <c r="VT465" s="156"/>
      <c r="VU465" s="156"/>
      <c r="VV465" s="156"/>
      <c r="VW465" s="156"/>
      <c r="VX465" s="156"/>
      <c r="VY465" s="156"/>
      <c r="VZ465" s="156"/>
      <c r="WA465" s="156"/>
      <c r="WB465" s="156"/>
      <c r="WC465" s="156"/>
      <c r="WD465" s="156"/>
      <c r="WE465" s="156"/>
      <c r="WF465" s="156"/>
      <c r="WG465" s="156"/>
      <c r="WH465" s="156"/>
      <c r="WI465" s="156"/>
      <c r="WJ465" s="156"/>
      <c r="WK465" s="156"/>
      <c r="WL465" s="156"/>
      <c r="WM465" s="156"/>
      <c r="WN465" s="156"/>
      <c r="WO465" s="156"/>
      <c r="WP465" s="156"/>
      <c r="WQ465" s="156"/>
      <c r="WR465" s="156"/>
      <c r="WS465" s="156"/>
      <c r="WT465" s="156"/>
      <c r="WU465" s="156"/>
      <c r="WV465" s="156"/>
      <c r="WW465" s="156"/>
      <c r="WX465" s="156"/>
      <c r="WY465" s="156"/>
      <c r="WZ465" s="156"/>
      <c r="XA465" s="156"/>
      <c r="XB465" s="156"/>
      <c r="XC465" s="156"/>
      <c r="XD465" s="156"/>
      <c r="XE465" s="156"/>
      <c r="XF465" s="156"/>
      <c r="XG465" s="156"/>
      <c r="XH465" s="156"/>
      <c r="XI465" s="156"/>
      <c r="XJ465" s="156"/>
      <c r="XK465" s="156"/>
      <c r="XL465" s="156"/>
      <c r="XM465" s="156"/>
      <c r="XN465" s="156"/>
      <c r="XO465" s="156"/>
      <c r="XP465" s="156"/>
      <c r="XQ465" s="156"/>
      <c r="XR465" s="156"/>
      <c r="XS465" s="156"/>
      <c r="XT465" s="156"/>
      <c r="XU465" s="156"/>
      <c r="XV465" s="156"/>
      <c r="XW465" s="156"/>
      <c r="XX465" s="156"/>
      <c r="XY465" s="156"/>
      <c r="XZ465" s="156"/>
      <c r="YA465" s="156"/>
      <c r="YB465" s="156"/>
      <c r="YC465" s="156"/>
      <c r="YD465" s="156"/>
      <c r="YE465" s="156"/>
      <c r="YF465" s="156"/>
      <c r="YG465" s="156"/>
      <c r="YH465" s="156"/>
      <c r="YI465" s="156"/>
      <c r="YJ465" s="156"/>
      <c r="YK465" s="156"/>
      <c r="YL465" s="156"/>
      <c r="YM465" s="156"/>
      <c r="YN465" s="156"/>
      <c r="YO465" s="156"/>
      <c r="YP465" s="156"/>
      <c r="YQ465" s="156"/>
      <c r="YR465" s="156"/>
      <c r="YS465" s="156"/>
      <c r="YT465" s="156"/>
      <c r="YU465" s="156"/>
      <c r="YV465" s="156"/>
      <c r="YW465" s="156"/>
      <c r="YX465" s="156"/>
      <c r="YY465" s="156"/>
      <c r="YZ465" s="156"/>
      <c r="ZA465" s="156"/>
      <c r="ZB465" s="156"/>
      <c r="ZC465" s="156"/>
      <c r="ZD465" s="156"/>
      <c r="ZE465" s="156"/>
      <c r="ZF465" s="156"/>
      <c r="ZG465" s="156"/>
      <c r="ZH465" s="156"/>
      <c r="ZI465" s="156"/>
      <c r="ZJ465" s="156"/>
      <c r="ZK465" s="156"/>
      <c r="ZL465" s="156"/>
      <c r="ZM465" s="156"/>
      <c r="ZN465" s="156"/>
      <c r="ZO465" s="156"/>
      <c r="ZP465" s="156"/>
      <c r="ZQ465" s="156"/>
      <c r="ZR465" s="156"/>
      <c r="ZS465" s="156"/>
      <c r="ZT465" s="156"/>
      <c r="ZU465" s="156"/>
      <c r="ZV465" s="156"/>
      <c r="ZW465" s="156"/>
      <c r="ZX465" s="156"/>
      <c r="ZY465" s="156"/>
      <c r="ZZ465" s="156"/>
      <c r="AAA465" s="156"/>
      <c r="AAB465" s="156"/>
      <c r="AAC465" s="156"/>
      <c r="AAD465" s="156"/>
      <c r="AAE465" s="156"/>
      <c r="AAF465" s="156"/>
      <c r="AAG465" s="156"/>
      <c r="AAH465" s="156"/>
      <c r="AAI465" s="156"/>
      <c r="AAJ465" s="156"/>
      <c r="AAK465" s="156"/>
      <c r="AAL465" s="156"/>
      <c r="AAM465" s="156"/>
      <c r="AAN465" s="156"/>
      <c r="AAO465" s="156"/>
      <c r="AAP465" s="156"/>
      <c r="AAQ465" s="156"/>
      <c r="AAR465" s="156"/>
      <c r="AAS465" s="156"/>
      <c r="AAT465" s="156"/>
      <c r="AAU465" s="156"/>
      <c r="AAV465" s="156"/>
      <c r="AAW465" s="156"/>
      <c r="AAX465" s="156"/>
      <c r="AAY465" s="156"/>
      <c r="AAZ465" s="156"/>
      <c r="ABA465" s="156"/>
      <c r="ABB465" s="156"/>
      <c r="ABC465" s="156"/>
      <c r="ABD465" s="156"/>
      <c r="ABE465" s="156"/>
      <c r="ABF465" s="156"/>
      <c r="ABG465" s="156"/>
      <c r="ABH465" s="156"/>
      <c r="ABI465" s="156"/>
      <c r="ABJ465" s="156"/>
      <c r="ABK465" s="156"/>
      <c r="ABL465" s="156"/>
      <c r="ABM465" s="156"/>
      <c r="ABN465" s="156"/>
      <c r="ABO465" s="156"/>
      <c r="ABP465" s="156"/>
      <c r="ABQ465" s="156"/>
      <c r="ABR465" s="156"/>
      <c r="ABS465" s="156"/>
      <c r="ABT465" s="156"/>
      <c r="ABU465" s="156"/>
      <c r="ABV465" s="156"/>
      <c r="ABW465" s="156"/>
      <c r="ABX465" s="156"/>
      <c r="ABY465" s="156"/>
      <c r="ABZ465" s="156"/>
      <c r="ACA465" s="156"/>
      <c r="ACB465" s="156"/>
      <c r="ACC465" s="156"/>
      <c r="ACD465" s="156"/>
      <c r="ACE465" s="156"/>
      <c r="ACF465" s="156"/>
      <c r="ACG465" s="156"/>
      <c r="ACH465" s="156"/>
      <c r="ACI465" s="156"/>
      <c r="ACJ465" s="156"/>
      <c r="ACK465" s="156"/>
      <c r="ACL465" s="156"/>
      <c r="ACM465" s="156"/>
      <c r="ACN465" s="156"/>
      <c r="ACO465" s="156"/>
      <c r="ACP465" s="156"/>
      <c r="ACQ465" s="156"/>
      <c r="ACR465" s="156"/>
      <c r="ACS465" s="156"/>
      <c r="ACT465" s="156"/>
      <c r="ACU465" s="156"/>
      <c r="ACV465" s="156"/>
      <c r="ACW465" s="156"/>
      <c r="ACX465" s="156"/>
      <c r="ACY465" s="156"/>
      <c r="ACZ465" s="156"/>
      <c r="ADA465" s="156"/>
      <c r="ADB465" s="156"/>
      <c r="ADC465" s="156"/>
      <c r="ADD465" s="156"/>
      <c r="ADE465" s="156"/>
      <c r="ADF465" s="156"/>
      <c r="ADG465" s="156"/>
      <c r="ADH465" s="156"/>
      <c r="ADI465" s="156"/>
      <c r="ADJ465" s="156"/>
      <c r="ADK465" s="156"/>
      <c r="ADL465" s="156"/>
      <c r="ADM465" s="156"/>
      <c r="ADN465" s="156"/>
      <c r="ADO465" s="156"/>
      <c r="ADP465" s="156"/>
      <c r="ADQ465" s="156"/>
      <c r="ADR465" s="156"/>
      <c r="ADS465" s="156"/>
      <c r="ADT465" s="156"/>
      <c r="ADU465" s="156"/>
      <c r="ADV465" s="156"/>
      <c r="ADW465" s="156"/>
      <c r="ADX465" s="156"/>
      <c r="ADY465" s="156"/>
      <c r="ADZ465" s="156"/>
      <c r="AEA465" s="156"/>
      <c r="AEB465" s="156"/>
      <c r="AEC465" s="156"/>
      <c r="AED465" s="156"/>
      <c r="AEE465" s="156"/>
      <c r="AEF465" s="156"/>
      <c r="AEG465" s="156"/>
      <c r="AEH465" s="156"/>
      <c r="AEI465" s="156"/>
      <c r="AEJ465" s="156"/>
      <c r="AEK465" s="156"/>
      <c r="AEL465" s="156"/>
      <c r="AEM465" s="156"/>
      <c r="AEN465" s="156"/>
      <c r="AEO465" s="156"/>
      <c r="AEP465" s="156"/>
      <c r="AEQ465" s="156"/>
      <c r="AER465" s="156"/>
      <c r="AES465" s="156"/>
      <c r="AET465" s="156"/>
      <c r="AEU465" s="156"/>
      <c r="AEV465" s="156"/>
      <c r="AEW465" s="156"/>
      <c r="AEX465" s="156"/>
      <c r="AEY465" s="156"/>
      <c r="AEZ465" s="156"/>
      <c r="AFA465" s="156"/>
      <c r="AFB465" s="156"/>
      <c r="AFC465" s="156"/>
      <c r="AFD465" s="156"/>
      <c r="AFE465" s="156"/>
      <c r="AFF465" s="156"/>
      <c r="AFG465" s="156"/>
      <c r="AFH465" s="156"/>
      <c r="AFI465" s="156"/>
      <c r="AFJ465" s="156"/>
      <c r="AFK465" s="156"/>
      <c r="AFL465" s="156"/>
      <c r="AFM465" s="156"/>
      <c r="AFN465" s="156"/>
      <c r="AFO465" s="156"/>
      <c r="AFP465" s="156"/>
      <c r="AFQ465" s="156"/>
      <c r="AFR465" s="156"/>
      <c r="AFS465" s="156"/>
      <c r="AFT465" s="156"/>
      <c r="AFU465" s="156"/>
      <c r="AFV465" s="156"/>
      <c r="AFW465" s="156"/>
      <c r="AFX465" s="156"/>
      <c r="AFY465" s="156"/>
      <c r="AFZ465" s="156"/>
      <c r="AGA465" s="156"/>
      <c r="AGB465" s="156"/>
      <c r="AGC465" s="156"/>
      <c r="AGD465" s="156"/>
      <c r="AGE465" s="156"/>
      <c r="AGF465" s="156"/>
      <c r="AGG465" s="156"/>
      <c r="AGH465" s="156"/>
      <c r="AGI465" s="156"/>
      <c r="AGJ465" s="156"/>
      <c r="AGK465" s="156"/>
      <c r="AGL465" s="156"/>
      <c r="AGM465" s="156"/>
      <c r="AGN465" s="156"/>
      <c r="AGO465" s="156"/>
      <c r="AGP465" s="156"/>
      <c r="AGQ465" s="156"/>
      <c r="AGR465" s="156"/>
      <c r="AGS465" s="156"/>
      <c r="AGT465" s="156"/>
      <c r="AGU465" s="156"/>
      <c r="AGV465" s="156"/>
      <c r="AGW465" s="156"/>
      <c r="AGX465" s="156"/>
      <c r="AGY465" s="156"/>
      <c r="AGZ465" s="156"/>
      <c r="AHA465" s="156"/>
      <c r="AHB465" s="156"/>
      <c r="AHC465" s="156"/>
      <c r="AHD465" s="156"/>
      <c r="AHE465" s="156"/>
      <c r="AHF465" s="156"/>
      <c r="AHG465" s="156"/>
      <c r="AHH465" s="156"/>
      <c r="AHI465" s="156"/>
      <c r="AHJ465" s="156"/>
      <c r="AHK465" s="156"/>
      <c r="AHL465" s="156"/>
      <c r="AHM465" s="156"/>
      <c r="AHN465" s="156"/>
      <c r="AHO465" s="156"/>
      <c r="AHP465" s="156"/>
      <c r="AHQ465" s="156"/>
      <c r="AHR465" s="156"/>
      <c r="AHS465" s="156"/>
      <c r="AHT465" s="156"/>
      <c r="AHU465" s="156"/>
      <c r="AHV465" s="156"/>
      <c r="AHW465" s="156"/>
      <c r="AHX465" s="156"/>
      <c r="AHY465" s="156"/>
      <c r="AHZ465" s="156"/>
      <c r="AIA465" s="156"/>
      <c r="AIB465" s="156"/>
      <c r="AIC465" s="156"/>
      <c r="AID465" s="156"/>
      <c r="AIE465" s="156"/>
      <c r="AIF465" s="156"/>
      <c r="AIG465" s="156"/>
      <c r="AIH465" s="156"/>
      <c r="AII465" s="156"/>
      <c r="AIJ465" s="156"/>
      <c r="AIK465" s="156"/>
      <c r="AIL465" s="156"/>
      <c r="AIM465" s="156"/>
      <c r="AIN465" s="156"/>
      <c r="AIO465" s="156"/>
      <c r="AIP465" s="156"/>
      <c r="AIQ465" s="156"/>
      <c r="AIR465" s="156"/>
      <c r="AIS465" s="156"/>
      <c r="AIT465" s="156"/>
      <c r="AIU465" s="156"/>
      <c r="AIV465" s="156"/>
      <c r="AIW465" s="156"/>
      <c r="AIX465" s="156"/>
      <c r="AIY465" s="156"/>
      <c r="AIZ465" s="156"/>
      <c r="AJA465" s="156"/>
      <c r="AJB465" s="156"/>
      <c r="AJC465" s="156"/>
      <c r="AJD465" s="156"/>
      <c r="AJE465" s="156"/>
      <c r="AJF465" s="156"/>
      <c r="AJG465" s="156"/>
      <c r="AJH465" s="156"/>
      <c r="AJI465" s="156"/>
      <c r="AJJ465" s="156"/>
      <c r="AJK465" s="156"/>
      <c r="AJL465" s="156"/>
      <c r="AJM465" s="156"/>
      <c r="AJN465" s="156"/>
      <c r="AJO465" s="156"/>
      <c r="AJP465" s="156"/>
      <c r="AJQ465" s="156"/>
      <c r="AJR465" s="156"/>
      <c r="AJS465" s="156"/>
      <c r="AJT465" s="156"/>
      <c r="AJU465" s="156"/>
      <c r="AJV465" s="156"/>
      <c r="AJW465" s="156"/>
      <c r="AJX465" s="156"/>
      <c r="AJY465" s="156"/>
      <c r="AJZ465" s="156"/>
      <c r="AKA465" s="156"/>
      <c r="AKB465" s="156"/>
      <c r="AKC465" s="156"/>
      <c r="AKD465" s="156"/>
      <c r="AKE465" s="156"/>
      <c r="AKF465" s="156"/>
      <c r="AKG465" s="156"/>
      <c r="AKH465" s="156"/>
      <c r="AKI465" s="156"/>
      <c r="AKJ465" s="156"/>
      <c r="AKK465" s="156"/>
      <c r="AKL465" s="156"/>
      <c r="AKM465" s="156"/>
      <c r="AKN465" s="156"/>
      <c r="AKO465" s="156"/>
      <c r="AKP465" s="156"/>
      <c r="AKQ465" s="156"/>
      <c r="AKR465" s="156"/>
      <c r="AKS465" s="156"/>
      <c r="AKT465" s="156"/>
      <c r="AKU465" s="156"/>
      <c r="AKV465" s="156"/>
      <c r="AKW465" s="156"/>
      <c r="AKX465" s="156"/>
      <c r="AKY465" s="156"/>
      <c r="AKZ465" s="156"/>
      <c r="ALA465" s="156"/>
      <c r="ALB465" s="156"/>
      <c r="ALC465" s="156"/>
      <c r="ALD465" s="156"/>
      <c r="ALE465" s="156"/>
      <c r="ALF465" s="156"/>
      <c r="ALG465" s="156"/>
      <c r="ALH465" s="156"/>
      <c r="ALI465" s="156"/>
      <c r="ALJ465" s="156"/>
      <c r="ALK465" s="156"/>
      <c r="ALL465" s="156"/>
      <c r="ALM465" s="156"/>
      <c r="ALN465" s="156"/>
      <c r="ALO465" s="156"/>
      <c r="ALP465" s="156"/>
      <c r="ALQ465" s="156"/>
      <c r="ALR465" s="156"/>
      <c r="ALS465" s="156"/>
      <c r="ALT465" s="156"/>
      <c r="ALU465" s="156"/>
      <c r="ALV465" s="156"/>
      <c r="ALW465" s="156"/>
      <c r="ALX465" s="156"/>
      <c r="ALY465" s="156"/>
      <c r="ALZ465" s="156"/>
      <c r="AMA465" s="156"/>
      <c r="AMB465" s="156"/>
      <c r="AMC465" s="156"/>
      <c r="AMD465" s="156"/>
      <c r="AME465" s="156"/>
      <c r="AMF465" s="156"/>
      <c r="AMG465" s="156"/>
      <c r="AMH465" s="156"/>
      <c r="AMI465" s="156"/>
      <c r="AMJ465" s="156"/>
      <c r="AMK465" s="156"/>
      <c r="AML465" s="156"/>
      <c r="AMM465" s="156"/>
      <c r="AMN465" s="156"/>
      <c r="AMO465" s="156"/>
      <c r="AMP465" s="156"/>
      <c r="AMQ465" s="156"/>
      <c r="AMR465" s="156"/>
      <c r="AMS465" s="156"/>
      <c r="AMT465" s="156"/>
      <c r="AMU465" s="156"/>
      <c r="AMV465" s="156"/>
      <c r="AMW465" s="156"/>
      <c r="AMX465" s="156"/>
      <c r="AMY465" s="156"/>
      <c r="AMZ465" s="156"/>
      <c r="ANA465" s="156"/>
      <c r="ANB465" s="156"/>
      <c r="ANC465" s="156"/>
      <c r="AND465" s="156"/>
      <c r="ANE465" s="156"/>
      <c r="ANF465" s="156"/>
      <c r="ANG465" s="156"/>
      <c r="ANH465" s="156"/>
      <c r="ANI465" s="156"/>
      <c r="ANJ465" s="156"/>
      <c r="ANK465" s="156"/>
      <c r="ANL465" s="156"/>
      <c r="ANM465" s="156"/>
      <c r="ANN465" s="156"/>
      <c r="ANO465" s="156"/>
      <c r="ANP465" s="156"/>
      <c r="ANQ465" s="156"/>
      <c r="ANR465" s="156"/>
      <c r="ANS465" s="156"/>
      <c r="ANT465" s="156"/>
      <c r="ANU465" s="156"/>
      <c r="ANV465" s="156"/>
      <c r="ANW465" s="156"/>
      <c r="ANX465" s="156"/>
      <c r="ANY465" s="156"/>
      <c r="ANZ465" s="156"/>
      <c r="AOA465" s="156"/>
      <c r="AOB465" s="156"/>
      <c r="AOC465" s="156"/>
      <c r="AOD465" s="156"/>
      <c r="AOE465" s="156"/>
      <c r="AOF465" s="156"/>
      <c r="AOG465" s="156"/>
      <c r="AOH465" s="156"/>
      <c r="AOI465" s="156"/>
      <c r="AOJ465" s="156"/>
      <c r="AOK465" s="156"/>
      <c r="AOL465" s="156"/>
      <c r="AOM465" s="156"/>
      <c r="AON465" s="156"/>
      <c r="AOO465" s="156"/>
      <c r="AOP465" s="156"/>
      <c r="AOQ465" s="156"/>
      <c r="AOR465" s="156"/>
      <c r="AOS465" s="156"/>
      <c r="AOT465" s="156"/>
      <c r="AOU465" s="156"/>
      <c r="AOV465" s="156"/>
      <c r="AOW465" s="156"/>
      <c r="AOX465" s="156"/>
      <c r="AOY465" s="156"/>
      <c r="AOZ465" s="156"/>
      <c r="APA465" s="156"/>
      <c r="APB465" s="156"/>
      <c r="APC465" s="156"/>
      <c r="APD465" s="156"/>
      <c r="APE465" s="156"/>
      <c r="APF465" s="156"/>
      <c r="APG465" s="156"/>
      <c r="APH465" s="156"/>
      <c r="API465" s="156"/>
      <c r="APJ465" s="156"/>
      <c r="APK465" s="156"/>
      <c r="APL465" s="156"/>
      <c r="APM465" s="156"/>
      <c r="APN465" s="156"/>
      <c r="APO465" s="156"/>
      <c r="APP465" s="156"/>
      <c r="APQ465" s="156"/>
      <c r="APR465" s="156"/>
      <c r="APS465" s="156"/>
      <c r="APT465" s="156"/>
      <c r="APU465" s="156"/>
      <c r="APV465" s="156"/>
      <c r="APW465" s="156"/>
      <c r="APX465" s="156"/>
      <c r="APY465" s="156"/>
      <c r="APZ465" s="156"/>
      <c r="AQA465" s="156"/>
      <c r="AQB465" s="156"/>
      <c r="AQC465" s="156"/>
      <c r="AQD465" s="156"/>
      <c r="AQE465" s="156"/>
      <c r="AQF465" s="156"/>
      <c r="AQG465" s="156"/>
      <c r="AQH465" s="156"/>
      <c r="AQI465" s="156"/>
      <c r="AQJ465" s="156"/>
      <c r="AQK465" s="156"/>
      <c r="AQL465" s="156"/>
      <c r="AQM465" s="156"/>
      <c r="AQN465" s="156"/>
      <c r="AQO465" s="156"/>
      <c r="AQP465" s="156"/>
      <c r="AQQ465" s="156"/>
      <c r="AQR465" s="156"/>
      <c r="AQS465" s="156"/>
      <c r="AQT465" s="156"/>
      <c r="AQU465" s="156"/>
      <c r="AQV465" s="156"/>
      <c r="AQW465" s="156"/>
      <c r="AQX465" s="156"/>
      <c r="AQY465" s="156"/>
      <c r="AQZ465" s="156"/>
      <c r="ARA465" s="156"/>
      <c r="ARB465" s="156"/>
      <c r="ARC465" s="156"/>
      <c r="ARD465" s="156"/>
      <c r="ARE465" s="156"/>
      <c r="ARF465" s="156"/>
      <c r="ARG465" s="156"/>
      <c r="ARH465" s="156"/>
      <c r="ARI465" s="156"/>
      <c r="ARJ465" s="156"/>
      <c r="ARK465" s="156"/>
      <c r="ARL465" s="156"/>
      <c r="ARM465" s="156"/>
      <c r="ARN465" s="156"/>
      <c r="ARO465" s="156"/>
      <c r="ARP465" s="156"/>
      <c r="ARQ465" s="156"/>
      <c r="ARR465" s="156"/>
      <c r="ARS465" s="156"/>
      <c r="ART465" s="156"/>
      <c r="ARU465" s="156"/>
      <c r="ARV465" s="156"/>
      <c r="ARW465" s="156"/>
      <c r="ARX465" s="156"/>
      <c r="ARY465" s="156"/>
      <c r="ARZ465" s="156"/>
      <c r="ASA465" s="156"/>
      <c r="ASB465" s="156"/>
      <c r="ASC465" s="156"/>
      <c r="ASD465" s="156"/>
      <c r="ASE465" s="156"/>
      <c r="ASF465" s="156"/>
      <c r="ASG465" s="156"/>
      <c r="ASH465" s="156"/>
      <c r="ASI465" s="156"/>
      <c r="ASJ465" s="156"/>
      <c r="ASK465" s="156"/>
      <c r="ASL465" s="156"/>
      <c r="ASM465" s="156"/>
      <c r="ASN465" s="156"/>
      <c r="ASO465" s="156"/>
      <c r="ASP465" s="156"/>
      <c r="ASQ465" s="156"/>
      <c r="ASR465" s="156"/>
      <c r="ASS465" s="156"/>
      <c r="AST465" s="156"/>
      <c r="ASU465" s="156"/>
      <c r="ASV465" s="156"/>
      <c r="ASW465" s="156"/>
      <c r="ASX465" s="156"/>
      <c r="ASY465" s="156"/>
      <c r="ASZ465" s="156"/>
      <c r="ATA465" s="156"/>
      <c r="ATB465" s="156"/>
      <c r="ATC465" s="156"/>
      <c r="ATD465" s="156"/>
      <c r="ATE465" s="156"/>
      <c r="ATF465" s="156"/>
      <c r="ATG465" s="156"/>
      <c r="ATH465" s="156"/>
      <c r="ATI465" s="156"/>
      <c r="ATJ465" s="156"/>
      <c r="ATK465" s="156"/>
      <c r="ATL465" s="156"/>
      <c r="ATM465" s="156"/>
      <c r="ATN465" s="156"/>
      <c r="ATO465" s="156"/>
      <c r="ATP465" s="156"/>
      <c r="ATQ465" s="156"/>
      <c r="ATR465" s="156"/>
      <c r="ATS465" s="156"/>
      <c r="ATT465" s="156"/>
      <c r="ATU465" s="156"/>
      <c r="ATV465" s="156"/>
      <c r="ATW465" s="156"/>
      <c r="ATX465" s="156"/>
      <c r="ATY465" s="156"/>
      <c r="ATZ465" s="156"/>
      <c r="AUA465" s="156"/>
      <c r="AUB465" s="156"/>
      <c r="AUC465" s="156"/>
      <c r="AUD465" s="156"/>
      <c r="AUE465" s="156"/>
      <c r="AUF465" s="156"/>
      <c r="AUG465" s="156"/>
      <c r="AUH465" s="156"/>
      <c r="AUI465" s="156"/>
      <c r="AUJ465" s="156"/>
      <c r="AUK465" s="156"/>
      <c r="AUL465" s="156"/>
      <c r="AUM465" s="156"/>
      <c r="AUN465" s="156"/>
      <c r="AUO465" s="156"/>
      <c r="AUP465" s="156"/>
      <c r="AUQ465" s="156"/>
      <c r="AUR465" s="156"/>
      <c r="AUS465" s="156"/>
      <c r="AUT465" s="156"/>
      <c r="AUU465" s="156"/>
      <c r="AUV465" s="156"/>
      <c r="AUW465" s="156"/>
      <c r="AUX465" s="156"/>
      <c r="AUY465" s="156"/>
      <c r="AUZ465" s="156"/>
      <c r="AVA465" s="156"/>
      <c r="AVB465" s="156"/>
      <c r="AVC465" s="156"/>
      <c r="AVD465" s="156"/>
      <c r="AVE465" s="156"/>
      <c r="AVF465" s="156"/>
      <c r="AVG465" s="156"/>
      <c r="AVH465" s="156"/>
      <c r="AVI465" s="156"/>
      <c r="AVJ465" s="156"/>
      <c r="AVK465" s="156"/>
      <c r="AVL465" s="156"/>
      <c r="AVM465" s="156"/>
      <c r="AVN465" s="156"/>
      <c r="AVO465" s="156"/>
      <c r="AVP465" s="156"/>
      <c r="AVQ465" s="156"/>
      <c r="AVR465" s="156"/>
      <c r="AVS465" s="156"/>
      <c r="AVT465" s="156"/>
      <c r="AVU465" s="156"/>
      <c r="AVV465" s="156"/>
      <c r="AVW465" s="156"/>
      <c r="AVX465" s="156"/>
      <c r="AVY465" s="156"/>
      <c r="AVZ465" s="156"/>
      <c r="AWA465" s="156"/>
      <c r="AWB465" s="156"/>
      <c r="AWC465" s="156"/>
      <c r="AWD465" s="156"/>
      <c r="AWE465" s="156"/>
      <c r="AWF465" s="156"/>
      <c r="AWG465" s="156"/>
      <c r="AWH465" s="156"/>
      <c r="AWI465" s="156"/>
      <c r="AWJ465" s="156"/>
      <c r="AWK465" s="156"/>
      <c r="AWL465" s="156"/>
      <c r="AWM465" s="156"/>
      <c r="AWN465" s="156"/>
      <c r="AWO465" s="156"/>
      <c r="AWP465" s="156"/>
      <c r="AWQ465" s="156"/>
      <c r="AWR465" s="156"/>
      <c r="AWS465" s="156"/>
      <c r="AWT465" s="156"/>
      <c r="AWU465" s="156"/>
      <c r="AWV465" s="156"/>
      <c r="AWW465" s="156"/>
      <c r="AWX465" s="156"/>
      <c r="AWY465" s="156"/>
      <c r="AWZ465" s="156"/>
      <c r="AXA465" s="156"/>
      <c r="AXB465" s="156"/>
      <c r="AXC465" s="156"/>
      <c r="AXD465" s="156"/>
      <c r="AXE465" s="156"/>
      <c r="AXF465" s="156"/>
      <c r="AXG465" s="156"/>
      <c r="AXH465" s="156"/>
      <c r="AXI465" s="156"/>
      <c r="AXJ465" s="156"/>
      <c r="AXK465" s="156"/>
      <c r="AXL465" s="156"/>
      <c r="AXM465" s="156"/>
      <c r="AXN465" s="156"/>
      <c r="AXO465" s="156"/>
      <c r="AXP465" s="156"/>
      <c r="AXQ465" s="156"/>
      <c r="AXR465" s="156"/>
      <c r="AXS465" s="156"/>
      <c r="AXT465" s="156"/>
      <c r="AXU465" s="156"/>
      <c r="AXV465" s="156"/>
      <c r="AXW465" s="156"/>
      <c r="AXX465" s="156"/>
      <c r="AXY465" s="156"/>
      <c r="AXZ465" s="156"/>
      <c r="AYA465" s="156"/>
      <c r="AYB465" s="156"/>
      <c r="AYC465" s="156"/>
      <c r="AYD465" s="156"/>
      <c r="AYE465" s="156"/>
      <c r="AYF465" s="156"/>
      <c r="AYG465" s="156"/>
      <c r="AYH465" s="156"/>
      <c r="AYI465" s="156"/>
      <c r="AYJ465" s="156"/>
      <c r="AYK465" s="156"/>
      <c r="AYL465" s="156"/>
      <c r="AYM465" s="156"/>
      <c r="AYN465" s="156"/>
      <c r="AYO465" s="156"/>
      <c r="AYP465" s="156"/>
      <c r="AYQ465" s="156"/>
      <c r="AYR465" s="156"/>
      <c r="AYS465" s="156"/>
      <c r="AYT465" s="156"/>
      <c r="AYU465" s="156"/>
      <c r="AYV465" s="156"/>
      <c r="AYW465" s="156"/>
      <c r="AYX465" s="156"/>
      <c r="AYY465" s="156"/>
      <c r="AYZ465" s="156"/>
      <c r="AZA465" s="156"/>
      <c r="AZB465" s="156"/>
      <c r="AZC465" s="156"/>
      <c r="AZD465" s="156"/>
      <c r="AZE465" s="156"/>
      <c r="AZF465" s="156"/>
      <c r="AZG465" s="156"/>
      <c r="AZH465" s="156"/>
      <c r="AZI465" s="156"/>
      <c r="AZJ465" s="156"/>
      <c r="AZK465" s="156"/>
      <c r="AZL465" s="156"/>
      <c r="AZM465" s="156"/>
      <c r="AZN465" s="156"/>
      <c r="AZO465" s="156"/>
      <c r="AZP465" s="156"/>
      <c r="AZQ465" s="156"/>
      <c r="AZR465" s="156"/>
      <c r="AZS465" s="156"/>
      <c r="AZT465" s="156"/>
      <c r="AZU465" s="156"/>
      <c r="AZV465" s="156"/>
      <c r="AZW465" s="156"/>
      <c r="AZX465" s="156"/>
      <c r="AZY465" s="156"/>
      <c r="AZZ465" s="156"/>
      <c r="BAA465" s="156"/>
      <c r="BAB465" s="156"/>
      <c r="BAC465" s="156"/>
      <c r="BAD465" s="156"/>
      <c r="BAE465" s="156"/>
      <c r="BAF465" s="156"/>
      <c r="BAG465" s="156"/>
      <c r="BAH465" s="156"/>
      <c r="BAI465" s="156"/>
      <c r="BAJ465" s="156"/>
      <c r="BAK465" s="156"/>
      <c r="BAL465" s="156"/>
      <c r="BAM465" s="156"/>
      <c r="BAN465" s="156"/>
      <c r="BAO465" s="156"/>
      <c r="BAP465" s="156"/>
      <c r="BAQ465" s="156"/>
      <c r="BAR465" s="156"/>
      <c r="BAS465" s="156"/>
      <c r="BAT465" s="156"/>
      <c r="BAU465" s="156"/>
      <c r="BAV465" s="156"/>
      <c r="BAW465" s="156"/>
      <c r="BAX465" s="156"/>
      <c r="BAY465" s="156"/>
      <c r="BAZ465" s="156"/>
      <c r="BBA465" s="156"/>
      <c r="BBB465" s="156"/>
      <c r="BBC465" s="156"/>
      <c r="BBD465" s="156"/>
      <c r="BBE465" s="156"/>
      <c r="BBF465" s="156"/>
      <c r="BBG465" s="156"/>
      <c r="BBH465" s="156"/>
      <c r="BBI465" s="156"/>
      <c r="BBJ465" s="156"/>
      <c r="BBK465" s="156"/>
      <c r="BBL465" s="156"/>
      <c r="BBM465" s="156"/>
      <c r="BBN465" s="156"/>
      <c r="BBO465" s="156"/>
      <c r="BBP465" s="156"/>
      <c r="BBQ465" s="156"/>
      <c r="BBR465" s="156"/>
      <c r="BBS465" s="156"/>
      <c r="BBT465" s="156"/>
      <c r="BBU465" s="156"/>
      <c r="BBV465" s="156"/>
      <c r="BBW465" s="156"/>
      <c r="BBX465" s="156"/>
      <c r="BBY465" s="156"/>
      <c r="BBZ465" s="156"/>
      <c r="BCA465" s="156"/>
      <c r="BCB465" s="156"/>
      <c r="BCC465" s="156"/>
      <c r="BCD465" s="156"/>
      <c r="BCE465" s="156"/>
      <c r="BCF465" s="156"/>
      <c r="BCG465" s="156"/>
      <c r="BCH465" s="156"/>
      <c r="BCI465" s="156"/>
      <c r="BCJ465" s="156"/>
      <c r="BCK465" s="156"/>
      <c r="BCL465" s="156"/>
      <c r="BCM465" s="156"/>
      <c r="BCN465" s="156"/>
      <c r="BCO465" s="156"/>
      <c r="BCP465" s="156"/>
      <c r="BCQ465" s="156"/>
      <c r="BCR465" s="156"/>
      <c r="BCS465" s="156"/>
      <c r="BCT465" s="156"/>
      <c r="BCU465" s="156"/>
      <c r="BCV465" s="156"/>
      <c r="BCW465" s="156"/>
      <c r="BCX465" s="156"/>
      <c r="BCY465" s="156"/>
      <c r="BCZ465" s="156"/>
      <c r="BDA465" s="156"/>
      <c r="BDB465" s="156"/>
      <c r="BDC465" s="156"/>
      <c r="BDD465" s="156"/>
      <c r="BDE465" s="156"/>
      <c r="BDF465" s="156"/>
      <c r="BDG465" s="156"/>
      <c r="BDH465" s="156"/>
      <c r="BDI465" s="156"/>
      <c r="BDJ465" s="156"/>
      <c r="BDK465" s="156"/>
      <c r="BDL465" s="156"/>
      <c r="BDM465" s="156"/>
      <c r="BDN465" s="156"/>
      <c r="BDO465" s="156"/>
      <c r="BDP465" s="156"/>
      <c r="BDQ465" s="156"/>
      <c r="BDR465" s="156"/>
      <c r="BDS465" s="156"/>
      <c r="BDT465" s="156"/>
      <c r="BDU465" s="156"/>
      <c r="BDV465" s="156"/>
      <c r="BDW465" s="156"/>
      <c r="BDX465" s="156"/>
      <c r="BDY465" s="156"/>
      <c r="BDZ465" s="156"/>
      <c r="BEA465" s="156"/>
      <c r="BEB465" s="156"/>
      <c r="BEC465" s="156"/>
      <c r="BED465" s="156"/>
      <c r="BEE465" s="156"/>
      <c r="BEF465" s="156"/>
      <c r="BEG465" s="156"/>
      <c r="BEH465" s="156"/>
      <c r="BEI465" s="156"/>
      <c r="BEJ465" s="156"/>
      <c r="BEK465" s="156"/>
      <c r="BEL465" s="156"/>
      <c r="BEM465" s="156"/>
      <c r="BEN465" s="156"/>
      <c r="BEO465" s="156"/>
      <c r="BEP465" s="156"/>
      <c r="BEQ465" s="156"/>
      <c r="BER465" s="156"/>
      <c r="BES465" s="156"/>
      <c r="BET465" s="156"/>
      <c r="BEU465" s="156"/>
      <c r="BEV465" s="156"/>
      <c r="BEW465" s="156"/>
      <c r="BEX465" s="156"/>
      <c r="BEY465" s="156"/>
      <c r="BEZ465" s="156"/>
      <c r="BFA465" s="156"/>
      <c r="BFB465" s="156"/>
      <c r="BFC465" s="156"/>
      <c r="BFD465" s="156"/>
      <c r="BFE465" s="156"/>
      <c r="BFF465" s="156"/>
      <c r="BFG465" s="156"/>
      <c r="BFH465" s="156"/>
      <c r="BFI465" s="156"/>
      <c r="BFJ465" s="156"/>
      <c r="BFK465" s="156"/>
      <c r="BFL465" s="156"/>
      <c r="BFM465" s="156"/>
      <c r="BFN465" s="156"/>
      <c r="BFO465" s="156"/>
      <c r="BFP465" s="156"/>
      <c r="BFQ465" s="156"/>
      <c r="BFR465" s="156"/>
      <c r="BFS465" s="156"/>
      <c r="BFT465" s="156"/>
      <c r="BFU465" s="156"/>
      <c r="BFV465" s="156"/>
      <c r="BFW465" s="156"/>
      <c r="BFX465" s="156"/>
      <c r="BFY465" s="156"/>
      <c r="BFZ465" s="156"/>
      <c r="BGA465" s="156"/>
      <c r="BGB465" s="156"/>
      <c r="BGC465" s="156"/>
      <c r="BGD465" s="156"/>
      <c r="BGE465" s="156"/>
      <c r="BGF465" s="156"/>
      <c r="BGG465" s="156"/>
      <c r="BGH465" s="156"/>
      <c r="BGI465" s="156"/>
      <c r="BGJ465" s="156"/>
      <c r="BGK465" s="156"/>
      <c r="BGL465" s="156"/>
      <c r="BGM465" s="156"/>
      <c r="BGN465" s="156"/>
      <c r="BGO465" s="156"/>
      <c r="BGP465" s="156"/>
      <c r="BGQ465" s="156"/>
      <c r="BGR465" s="156"/>
      <c r="BGS465" s="156"/>
      <c r="BGT465" s="156"/>
      <c r="BGU465" s="156"/>
      <c r="BGV465" s="156"/>
      <c r="BGW465" s="156"/>
      <c r="BGX465" s="156"/>
      <c r="BGY465" s="156"/>
      <c r="BGZ465" s="156"/>
      <c r="BHA465" s="156"/>
      <c r="BHB465" s="156"/>
      <c r="BHC465" s="156"/>
      <c r="BHD465" s="156"/>
      <c r="BHE465" s="156"/>
      <c r="BHF465" s="156"/>
      <c r="BHG465" s="156"/>
      <c r="BHH465" s="156"/>
      <c r="BHI465" s="156"/>
      <c r="BHJ465" s="156"/>
      <c r="BHK465" s="156"/>
      <c r="BHL465" s="156"/>
      <c r="BHM465" s="156"/>
      <c r="BHN465" s="156"/>
      <c r="BHO465" s="156"/>
      <c r="BHP465" s="156"/>
      <c r="BHQ465" s="156"/>
      <c r="BHR465" s="156"/>
      <c r="BHS465" s="156"/>
      <c r="BHT465" s="156"/>
      <c r="BHU465" s="156"/>
      <c r="BHV465" s="156"/>
      <c r="BHW465" s="156"/>
      <c r="BHX465" s="156"/>
      <c r="BHY465" s="156"/>
      <c r="BHZ465" s="156"/>
      <c r="BIA465" s="156"/>
      <c r="BIB465" s="156"/>
      <c r="BIC465" s="156"/>
      <c r="BID465" s="156"/>
      <c r="BIE465" s="156"/>
      <c r="BIF465" s="156"/>
      <c r="BIG465" s="156"/>
      <c r="BIH465" s="156"/>
      <c r="BII465" s="156"/>
      <c r="BIJ465" s="156"/>
      <c r="BIK465" s="156"/>
      <c r="BIL465" s="156"/>
      <c r="BIM465" s="156"/>
      <c r="BIN465" s="156"/>
      <c r="BIO465" s="156"/>
      <c r="BIP465" s="156"/>
      <c r="BIQ465" s="156"/>
      <c r="BIR465" s="156"/>
      <c r="BIS465" s="156"/>
      <c r="BIT465" s="156"/>
      <c r="BIU465" s="156"/>
      <c r="BIV465" s="156"/>
      <c r="BIW465" s="156"/>
      <c r="BIX465" s="156"/>
      <c r="BIY465" s="156"/>
      <c r="BIZ465" s="156"/>
      <c r="BJA465" s="156"/>
      <c r="BJB465" s="156"/>
      <c r="BJC465" s="156"/>
      <c r="BJD465" s="156"/>
      <c r="BJE465" s="156"/>
      <c r="BJF465" s="156"/>
      <c r="BJG465" s="156"/>
      <c r="BJH465" s="156"/>
      <c r="BJI465" s="156"/>
      <c r="BJJ465" s="156"/>
      <c r="BJK465" s="156"/>
      <c r="BJL465" s="156"/>
      <c r="BJM465" s="156"/>
      <c r="BJN465" s="156"/>
      <c r="BJO465" s="156"/>
      <c r="BJP465" s="156"/>
      <c r="BJQ465" s="156"/>
      <c r="BJR465" s="156"/>
      <c r="BJS465" s="156"/>
      <c r="BJT465" s="156"/>
      <c r="BJU465" s="156"/>
      <c r="BJV465" s="156"/>
      <c r="BJW465" s="156"/>
      <c r="BJX465" s="156"/>
      <c r="BJY465" s="156"/>
      <c r="BJZ465" s="156"/>
      <c r="BKA465" s="156"/>
      <c r="BKB465" s="156"/>
      <c r="BKC465" s="156"/>
      <c r="BKD465" s="156"/>
      <c r="BKE465" s="156"/>
      <c r="BKF465" s="156"/>
      <c r="BKG465" s="156"/>
      <c r="BKH465" s="156"/>
      <c r="BKI465" s="156"/>
      <c r="BKJ465" s="156"/>
      <c r="BKK465" s="156"/>
      <c r="BKL465" s="156"/>
      <c r="BKM465" s="156"/>
      <c r="BKN465" s="156"/>
      <c r="BKO465" s="156"/>
      <c r="BKP465" s="156"/>
      <c r="BKQ465" s="156"/>
      <c r="BKR465" s="156"/>
      <c r="BKS465" s="156"/>
      <c r="BKT465" s="156"/>
      <c r="BKU465" s="156"/>
      <c r="BKV465" s="156"/>
      <c r="BKW465" s="156"/>
      <c r="BKX465" s="156"/>
      <c r="BKY465" s="156"/>
      <c r="BKZ465" s="156"/>
      <c r="BLA465" s="156"/>
      <c r="BLB465" s="156"/>
      <c r="BLC465" s="156"/>
      <c r="BLD465" s="156"/>
      <c r="BLE465" s="156"/>
      <c r="BLF465" s="156"/>
      <c r="BLG465" s="156"/>
      <c r="BLH465" s="156"/>
      <c r="BLI465" s="156"/>
      <c r="BLJ465" s="156"/>
      <c r="BLK465" s="156"/>
      <c r="BLL465" s="156"/>
      <c r="BLM465" s="156"/>
      <c r="BLN465" s="156"/>
      <c r="BLO465" s="156"/>
      <c r="BLP465" s="156"/>
      <c r="BLQ465" s="156"/>
      <c r="BLR465" s="156"/>
      <c r="BLS465" s="156"/>
      <c r="BLT465" s="156"/>
      <c r="BLU465" s="156"/>
      <c r="BLV465" s="156"/>
      <c r="BLW465" s="156"/>
      <c r="BLX465" s="156"/>
      <c r="BLY465" s="156"/>
      <c r="BLZ465" s="156"/>
      <c r="BMA465" s="156"/>
      <c r="BMB465" s="156"/>
      <c r="BMC465" s="156"/>
      <c r="BMD465" s="156"/>
      <c r="BME465" s="156"/>
      <c r="BMF465" s="156"/>
      <c r="BMG465" s="156"/>
      <c r="BMH465" s="156"/>
      <c r="BMI465" s="156"/>
      <c r="BMJ465" s="156"/>
      <c r="BMK465" s="156"/>
      <c r="BML465" s="156"/>
      <c r="BMM465" s="156"/>
      <c r="BMN465" s="156"/>
      <c r="BMO465" s="156"/>
      <c r="BMP465" s="156"/>
      <c r="BMQ465" s="156"/>
      <c r="BMR465" s="156"/>
      <c r="BMS465" s="156"/>
      <c r="BMT465" s="156"/>
      <c r="BMU465" s="156"/>
      <c r="BMV465" s="156"/>
      <c r="BMW465" s="156"/>
      <c r="BMX465" s="156"/>
      <c r="BMY465" s="156"/>
      <c r="BMZ465" s="156"/>
      <c r="BNA465" s="156"/>
      <c r="BNB465" s="156"/>
      <c r="BNC465" s="156"/>
      <c r="BND465" s="156"/>
      <c r="BNE465" s="156"/>
      <c r="BNF465" s="156"/>
      <c r="BNG465" s="156"/>
      <c r="BNH465" s="156"/>
      <c r="BNI465" s="156"/>
      <c r="BNJ465" s="156"/>
      <c r="BNK465" s="156"/>
      <c r="BNL465" s="156"/>
      <c r="BNM465" s="156"/>
      <c r="BNN465" s="156"/>
      <c r="BNO465" s="156"/>
      <c r="BNP465" s="156"/>
      <c r="BNQ465" s="156"/>
      <c r="BNR465" s="156"/>
      <c r="BNS465" s="156"/>
      <c r="BNT465" s="156"/>
      <c r="BNU465" s="156"/>
      <c r="BNV465" s="156"/>
      <c r="BNW465" s="156"/>
      <c r="BNX465" s="156"/>
      <c r="BNY465" s="156"/>
      <c r="BNZ465" s="156"/>
      <c r="BOA465" s="156"/>
      <c r="BOB465" s="156"/>
      <c r="BOC465" s="156"/>
      <c r="BOD465" s="156"/>
      <c r="BOE465" s="156"/>
      <c r="BOF465" s="156"/>
      <c r="BOG465" s="156"/>
      <c r="BOH465" s="156"/>
      <c r="BOI465" s="156"/>
      <c r="BOJ465" s="156"/>
      <c r="BOK465" s="156"/>
      <c r="BOL465" s="156"/>
      <c r="BOM465" s="156"/>
      <c r="BON465" s="156"/>
      <c r="BOO465" s="156"/>
      <c r="BOP465" s="156"/>
      <c r="BOQ465" s="156"/>
      <c r="BOR465" s="156"/>
      <c r="BOS465" s="156"/>
      <c r="BOT465" s="156"/>
      <c r="BOU465" s="156"/>
      <c r="BOV465" s="156"/>
      <c r="BOW465" s="156"/>
      <c r="BOX465" s="156"/>
      <c r="BOY465" s="156"/>
      <c r="BOZ465" s="156"/>
      <c r="BPA465" s="156"/>
      <c r="BPB465" s="156"/>
      <c r="BPC465" s="156"/>
      <c r="BPD465" s="156"/>
      <c r="BPE465" s="156"/>
      <c r="BPF465" s="156"/>
      <c r="BPG465" s="156"/>
      <c r="BPH465" s="156"/>
      <c r="BPI465" s="156"/>
      <c r="BPJ465" s="156"/>
      <c r="BPK465" s="156"/>
      <c r="BPL465" s="156"/>
      <c r="BPM465" s="156"/>
      <c r="BPN465" s="156"/>
      <c r="BPO465" s="156"/>
      <c r="BPP465" s="156"/>
      <c r="BPQ465" s="156"/>
      <c r="BPR465" s="156"/>
      <c r="BPS465" s="156"/>
      <c r="BPT465" s="156"/>
      <c r="BPU465" s="156"/>
      <c r="BPV465" s="156"/>
      <c r="BPW465" s="156"/>
      <c r="BPX465" s="156"/>
      <c r="BPY465" s="156"/>
      <c r="BPZ465" s="156"/>
      <c r="BQA465" s="156"/>
      <c r="BQB465" s="156"/>
      <c r="BQC465" s="156"/>
      <c r="BQD465" s="156"/>
      <c r="BQE465" s="156"/>
      <c r="BQF465" s="156"/>
      <c r="BQG465" s="156"/>
      <c r="BQH465" s="156"/>
      <c r="BQI465" s="156"/>
      <c r="BQJ465" s="156"/>
      <c r="BQK465" s="156"/>
      <c r="BQL465" s="156"/>
      <c r="BQM465" s="156"/>
      <c r="BQN465" s="156"/>
      <c r="BQO465" s="156"/>
      <c r="BQP465" s="156"/>
      <c r="BQQ465" s="156"/>
      <c r="BQR465" s="156"/>
      <c r="BQS465" s="156"/>
      <c r="BQT465" s="156"/>
      <c r="BQU465" s="156"/>
      <c r="BQV465" s="156"/>
      <c r="BQW465" s="156"/>
      <c r="BQX465" s="156"/>
      <c r="BQY465" s="156"/>
      <c r="BQZ465" s="156"/>
      <c r="BRA465" s="156"/>
      <c r="BRB465" s="156"/>
      <c r="BRC465" s="156"/>
      <c r="BRD465" s="156"/>
      <c r="BRE465" s="156"/>
      <c r="BRF465" s="156"/>
      <c r="BRG465" s="156"/>
      <c r="BRH465" s="156"/>
      <c r="BRI465" s="156"/>
      <c r="BRJ465" s="156"/>
      <c r="BRK465" s="156"/>
      <c r="BRL465" s="156"/>
      <c r="BRM465" s="156"/>
      <c r="BRN465" s="156"/>
      <c r="BRO465" s="156"/>
      <c r="BRP465" s="156"/>
      <c r="BRQ465" s="156"/>
      <c r="BRR465" s="156"/>
      <c r="BRS465" s="156"/>
      <c r="BRT465" s="156"/>
      <c r="BRU465" s="156"/>
      <c r="BRV465" s="156"/>
      <c r="BRW465" s="156"/>
      <c r="BRX465" s="156"/>
      <c r="BRY465" s="156"/>
      <c r="BRZ465" s="156"/>
      <c r="BSA465" s="156"/>
      <c r="BSB465" s="156"/>
      <c r="BSC465" s="156"/>
      <c r="BSD465" s="156"/>
      <c r="BSE465" s="156"/>
      <c r="BSF465" s="156"/>
      <c r="BSG465" s="156"/>
      <c r="BSH465" s="156"/>
      <c r="BSI465" s="156"/>
      <c r="BSJ465" s="156"/>
      <c r="BSK465" s="156"/>
      <c r="BSL465" s="156"/>
      <c r="BSM465" s="156"/>
      <c r="BSN465" s="156"/>
      <c r="BSO465" s="156"/>
      <c r="BSP465" s="156"/>
      <c r="BSQ465" s="156"/>
      <c r="BSR465" s="156"/>
      <c r="BSS465" s="156"/>
      <c r="BST465" s="156"/>
      <c r="BSU465" s="156"/>
      <c r="BSV465" s="156"/>
      <c r="BSW465" s="156"/>
      <c r="BSX465" s="156"/>
      <c r="BSY465" s="156"/>
      <c r="BSZ465" s="156"/>
      <c r="BTA465" s="156"/>
      <c r="BTB465" s="156"/>
      <c r="BTC465" s="156"/>
      <c r="BTD465" s="156"/>
      <c r="BTE465" s="156"/>
      <c r="BTF465" s="156"/>
      <c r="BTG465" s="156"/>
      <c r="BTH465" s="156"/>
      <c r="BTI465" s="156"/>
      <c r="BTJ465" s="156"/>
      <c r="BTK465" s="156"/>
      <c r="BTL465" s="156"/>
      <c r="BTM465" s="156"/>
      <c r="BTN465" s="156"/>
      <c r="BTO465" s="156"/>
      <c r="BTP465" s="156"/>
      <c r="BTQ465" s="156"/>
      <c r="BTR465" s="156"/>
      <c r="BTS465" s="156"/>
      <c r="BTT465" s="156"/>
      <c r="BTU465" s="156"/>
      <c r="BTV465" s="156"/>
      <c r="BTW465" s="156"/>
      <c r="BTX465" s="156"/>
      <c r="BTY465" s="156"/>
      <c r="BTZ465" s="156"/>
      <c r="BUA465" s="156"/>
      <c r="BUB465" s="156"/>
      <c r="BUC465" s="156"/>
      <c r="BUD465" s="156"/>
      <c r="BUE465" s="156"/>
      <c r="BUF465" s="156"/>
      <c r="BUG465" s="156"/>
      <c r="BUH465" s="156"/>
      <c r="BUI465" s="156"/>
      <c r="BUJ465" s="156"/>
      <c r="BUK465" s="156"/>
      <c r="BUL465" s="156"/>
      <c r="BUM465" s="156"/>
      <c r="BUN465" s="156"/>
      <c r="BUO465" s="156"/>
      <c r="BUP465" s="156"/>
      <c r="BUQ465" s="156"/>
      <c r="BUR465" s="156"/>
      <c r="BUS465" s="156"/>
      <c r="BUT465" s="156"/>
      <c r="BUU465" s="156"/>
      <c r="BUV465" s="156"/>
      <c r="BUW465" s="156"/>
      <c r="BUX465" s="156"/>
      <c r="BUY465" s="156"/>
      <c r="BUZ465" s="156"/>
      <c r="BVA465" s="156"/>
      <c r="BVB465" s="156"/>
      <c r="BVC465" s="156"/>
      <c r="BVD465" s="156"/>
      <c r="BVE465" s="156"/>
      <c r="BVF465" s="156"/>
      <c r="BVG465" s="156"/>
      <c r="BVH465" s="156"/>
      <c r="BVI465" s="156"/>
      <c r="BVJ465" s="156"/>
      <c r="BVK465" s="156"/>
      <c r="BVL465" s="156"/>
      <c r="BVM465" s="156"/>
      <c r="BVN465" s="156"/>
      <c r="BVO465" s="156"/>
      <c r="BVP465" s="156"/>
      <c r="BVQ465" s="156"/>
      <c r="BVR465" s="156"/>
      <c r="BVS465" s="156"/>
      <c r="BVT465" s="156"/>
      <c r="BVU465" s="156"/>
      <c r="BVV465" s="156"/>
      <c r="BVW465" s="156"/>
      <c r="BVX465" s="156"/>
      <c r="BVY465" s="156"/>
      <c r="BVZ465" s="156"/>
      <c r="BWA465" s="156"/>
      <c r="BWB465" s="156"/>
      <c r="BWC465" s="156"/>
      <c r="BWD465" s="156"/>
      <c r="BWE465" s="156"/>
      <c r="BWF465" s="156"/>
      <c r="BWG465" s="156"/>
      <c r="BWH465" s="156"/>
      <c r="BWI465" s="156"/>
      <c r="BWJ465" s="156"/>
      <c r="BWK465" s="156"/>
      <c r="BWL465" s="156"/>
      <c r="BWM465" s="156"/>
      <c r="BWN465" s="156"/>
      <c r="BWO465" s="156"/>
      <c r="BWP465" s="156"/>
      <c r="BWQ465" s="156"/>
      <c r="BWR465" s="156"/>
      <c r="BWS465" s="156"/>
      <c r="BWT465" s="156"/>
      <c r="BWU465" s="156"/>
      <c r="BWV465" s="156"/>
      <c r="BWW465" s="156"/>
      <c r="BWX465" s="156"/>
      <c r="BWY465" s="156"/>
      <c r="BWZ465" s="156"/>
      <c r="BXA465" s="156"/>
      <c r="BXB465" s="156"/>
      <c r="BXC465" s="156"/>
      <c r="BXD465" s="156"/>
      <c r="BXE465" s="156"/>
      <c r="BXF465" s="156"/>
      <c r="BXG465" s="156"/>
      <c r="BXH465" s="156"/>
      <c r="BXI465" s="156"/>
      <c r="BXJ465" s="156"/>
      <c r="BXK465" s="156"/>
      <c r="BXL465" s="156"/>
      <c r="BXM465" s="156"/>
      <c r="BXN465" s="156"/>
      <c r="BXO465" s="156"/>
      <c r="BXP465" s="156"/>
      <c r="BXQ465" s="156"/>
      <c r="BXR465" s="156"/>
      <c r="BXS465" s="156"/>
      <c r="BXT465" s="156"/>
      <c r="BXU465" s="156"/>
      <c r="BXV465" s="156"/>
      <c r="BXW465" s="156"/>
      <c r="BXX465" s="156"/>
      <c r="BXY465" s="156"/>
      <c r="BXZ465" s="156"/>
      <c r="BYA465" s="156"/>
      <c r="BYB465" s="156"/>
      <c r="BYC465" s="156"/>
      <c r="BYD465" s="156"/>
      <c r="BYE465" s="156"/>
      <c r="BYF465" s="156"/>
      <c r="BYG465" s="156"/>
      <c r="BYH465" s="156"/>
      <c r="BYI465" s="156"/>
      <c r="BYJ465" s="156"/>
      <c r="BYK465" s="156"/>
      <c r="BYL465" s="156"/>
      <c r="BYM465" s="156"/>
      <c r="BYN465" s="156"/>
      <c r="BYO465" s="156"/>
      <c r="BYP465" s="156"/>
      <c r="BYQ465" s="156"/>
      <c r="BYR465" s="156"/>
      <c r="BYS465" s="156"/>
      <c r="BYT465" s="156"/>
      <c r="BYU465" s="156"/>
      <c r="BYV465" s="156"/>
      <c r="BYW465" s="156"/>
      <c r="BYX465" s="156"/>
      <c r="BYY465" s="156"/>
      <c r="BYZ465" s="156"/>
      <c r="BZA465" s="156"/>
      <c r="BZB465" s="156"/>
      <c r="BZC465" s="156"/>
      <c r="BZD465" s="156"/>
      <c r="BZE465" s="156"/>
      <c r="BZF465" s="156"/>
      <c r="BZG465" s="156"/>
      <c r="BZH465" s="156"/>
      <c r="BZI465" s="156"/>
      <c r="BZJ465" s="156"/>
      <c r="BZK465" s="156"/>
      <c r="BZL465" s="156"/>
      <c r="BZM465" s="156"/>
      <c r="BZN465" s="156"/>
      <c r="BZO465" s="156"/>
      <c r="BZP465" s="156"/>
      <c r="BZQ465" s="156"/>
      <c r="BZR465" s="156"/>
      <c r="BZS465" s="156"/>
      <c r="BZT465" s="156"/>
      <c r="BZU465" s="156"/>
      <c r="BZV465" s="156"/>
      <c r="BZW465" s="156"/>
      <c r="BZX465" s="156"/>
      <c r="BZY465" s="156"/>
      <c r="BZZ465" s="156"/>
      <c r="CAA465" s="156"/>
      <c r="CAB465" s="156"/>
      <c r="CAC465" s="156"/>
      <c r="CAD465" s="156"/>
      <c r="CAE465" s="156"/>
      <c r="CAF465" s="156"/>
      <c r="CAG465" s="156"/>
      <c r="CAH465" s="156"/>
      <c r="CAI465" s="156"/>
      <c r="CAJ465" s="156"/>
      <c r="CAK465" s="156"/>
      <c r="CAL465" s="156"/>
      <c r="CAM465" s="156"/>
      <c r="CAN465" s="156"/>
      <c r="CAO465" s="156"/>
      <c r="CAP465" s="156"/>
      <c r="CAQ465" s="156"/>
      <c r="CAR465" s="156"/>
      <c r="CAS465" s="156"/>
      <c r="CAT465" s="156"/>
      <c r="CAU465" s="156"/>
      <c r="CAV465" s="156"/>
      <c r="CAW465" s="156"/>
      <c r="CAX465" s="156"/>
      <c r="CAY465" s="156"/>
      <c r="CAZ465" s="156"/>
      <c r="CBA465" s="156"/>
      <c r="CBB465" s="156"/>
      <c r="CBC465" s="156"/>
      <c r="CBD465" s="156"/>
      <c r="CBE465" s="156"/>
      <c r="CBF465" s="156"/>
      <c r="CBG465" s="156"/>
      <c r="CBH465" s="156"/>
      <c r="CBI465" s="156"/>
      <c r="CBJ465" s="156"/>
      <c r="CBK465" s="156"/>
      <c r="CBL465" s="156"/>
      <c r="CBM465" s="156"/>
      <c r="CBN465" s="156"/>
      <c r="CBO465" s="156"/>
      <c r="CBP465" s="156"/>
      <c r="CBQ465" s="156"/>
      <c r="CBR465" s="156"/>
      <c r="CBS465" s="156"/>
      <c r="CBT465" s="156"/>
      <c r="CBU465" s="156"/>
      <c r="CBV465" s="156"/>
      <c r="CBW465" s="156"/>
      <c r="CBX465" s="156"/>
      <c r="CBY465" s="156"/>
      <c r="CBZ465" s="156"/>
      <c r="CCA465" s="156"/>
      <c r="CCB465" s="156"/>
      <c r="CCC465" s="156"/>
      <c r="CCD465" s="156"/>
      <c r="CCE465" s="156"/>
      <c r="CCF465" s="156"/>
      <c r="CCG465" s="156"/>
      <c r="CCH465" s="156"/>
      <c r="CCI465" s="156"/>
      <c r="CCJ465" s="156"/>
      <c r="CCK465" s="156"/>
      <c r="CCL465" s="156"/>
      <c r="CCM465" s="156"/>
      <c r="CCN465" s="156"/>
      <c r="CCO465" s="156"/>
      <c r="CCP465" s="156"/>
      <c r="CCQ465" s="156"/>
      <c r="CCR465" s="156"/>
      <c r="CCS465" s="156"/>
      <c r="CCT465" s="156"/>
      <c r="CCU465" s="156"/>
      <c r="CCV465" s="156"/>
      <c r="CCW465" s="156"/>
      <c r="CCX465" s="156"/>
      <c r="CCY465" s="156"/>
      <c r="CCZ465" s="156"/>
      <c r="CDA465" s="156"/>
      <c r="CDB465" s="156"/>
      <c r="CDC465" s="156"/>
      <c r="CDD465" s="156"/>
      <c r="CDE465" s="156"/>
      <c r="CDF465" s="156"/>
      <c r="CDG465" s="156"/>
      <c r="CDH465" s="156"/>
      <c r="CDI465" s="156"/>
      <c r="CDJ465" s="156"/>
      <c r="CDK465" s="156"/>
      <c r="CDL465" s="156"/>
      <c r="CDM465" s="156"/>
      <c r="CDN465" s="156"/>
      <c r="CDO465" s="156"/>
      <c r="CDP465" s="156"/>
      <c r="CDQ465" s="156"/>
      <c r="CDR465" s="156"/>
      <c r="CDS465" s="156"/>
      <c r="CDT465" s="156"/>
      <c r="CDU465" s="156"/>
      <c r="CDV465" s="156"/>
      <c r="CDW465" s="156"/>
      <c r="CDX465" s="156"/>
      <c r="CDY465" s="156"/>
      <c r="CDZ465" s="156"/>
      <c r="CEA465" s="156"/>
      <c r="CEB465" s="156"/>
      <c r="CEC465" s="156"/>
      <c r="CED465" s="156"/>
      <c r="CEE465" s="156"/>
      <c r="CEF465" s="156"/>
      <c r="CEG465" s="156"/>
      <c r="CEH465" s="156"/>
      <c r="CEI465" s="156"/>
      <c r="CEJ465" s="156"/>
      <c r="CEK465" s="156"/>
      <c r="CEL465" s="156"/>
      <c r="CEM465" s="156"/>
      <c r="CEN465" s="156"/>
      <c r="CEO465" s="156"/>
      <c r="CEP465" s="156"/>
      <c r="CEQ465" s="156"/>
      <c r="CER465" s="156"/>
      <c r="CES465" s="156"/>
      <c r="CET465" s="156"/>
      <c r="CEU465" s="156"/>
      <c r="CEV465" s="156"/>
      <c r="CEW465" s="156"/>
      <c r="CEX465" s="156"/>
      <c r="CEY465" s="156"/>
      <c r="CEZ465" s="156"/>
      <c r="CFA465" s="156"/>
      <c r="CFB465" s="156"/>
      <c r="CFC465" s="156"/>
      <c r="CFD465" s="156"/>
      <c r="CFE465" s="156"/>
      <c r="CFF465" s="156"/>
      <c r="CFG465" s="156"/>
      <c r="CFH465" s="156"/>
      <c r="CFI465" s="156"/>
      <c r="CFJ465" s="156"/>
      <c r="CFK465" s="156"/>
      <c r="CFL465" s="156"/>
      <c r="CFM465" s="156"/>
      <c r="CFN465" s="156"/>
      <c r="CFO465" s="156"/>
      <c r="CFP465" s="156"/>
      <c r="CFQ465" s="156"/>
      <c r="CFR465" s="156"/>
      <c r="CFS465" s="156"/>
      <c r="CFT465" s="156"/>
      <c r="CFU465" s="156"/>
      <c r="CFV465" s="156"/>
      <c r="CFW465" s="156"/>
      <c r="CFX465" s="156"/>
      <c r="CFY465" s="156"/>
      <c r="CFZ465" s="156"/>
      <c r="CGA465" s="156"/>
      <c r="CGB465" s="156"/>
      <c r="CGC465" s="156"/>
      <c r="CGD465" s="156"/>
      <c r="CGE465" s="156"/>
      <c r="CGF465" s="156"/>
      <c r="CGG465" s="156"/>
      <c r="CGH465" s="156"/>
      <c r="CGI465" s="156"/>
      <c r="CGJ465" s="156"/>
      <c r="CGK465" s="156"/>
      <c r="CGL465" s="156"/>
      <c r="CGM465" s="156"/>
      <c r="CGN465" s="156"/>
      <c r="CGO465" s="156"/>
      <c r="CGP465" s="156"/>
      <c r="CGQ465" s="156"/>
      <c r="CGR465" s="156"/>
      <c r="CGS465" s="156"/>
      <c r="CGT465" s="156"/>
      <c r="CGU465" s="156"/>
      <c r="CGV465" s="156"/>
      <c r="CGW465" s="156"/>
      <c r="CGX465" s="156"/>
      <c r="CGY465" s="156"/>
      <c r="CGZ465" s="156"/>
      <c r="CHA465" s="156"/>
      <c r="CHB465" s="156"/>
      <c r="CHC465" s="156"/>
      <c r="CHD465" s="156"/>
      <c r="CHE465" s="156"/>
      <c r="CHF465" s="156"/>
      <c r="CHG465" s="156"/>
      <c r="CHH465" s="156"/>
      <c r="CHI465" s="156"/>
      <c r="CHJ465" s="156"/>
      <c r="CHK465" s="156"/>
      <c r="CHL465" s="156"/>
      <c r="CHM465" s="156"/>
      <c r="CHN465" s="156"/>
      <c r="CHO465" s="156"/>
      <c r="CHP465" s="156"/>
      <c r="CHQ465" s="156"/>
      <c r="CHR465" s="156"/>
      <c r="CHS465" s="156"/>
      <c r="CHT465" s="156"/>
      <c r="CHU465" s="156"/>
      <c r="CHV465" s="156"/>
      <c r="CHW465" s="156"/>
      <c r="CHX465" s="156"/>
      <c r="CHY465" s="156"/>
      <c r="CHZ465" s="156"/>
      <c r="CIA465" s="156"/>
      <c r="CIB465" s="156"/>
      <c r="CIC465" s="156"/>
      <c r="CID465" s="156"/>
      <c r="CIE465" s="156"/>
      <c r="CIF465" s="156"/>
      <c r="CIG465" s="156"/>
      <c r="CIH465" s="156"/>
      <c r="CII465" s="156"/>
      <c r="CIJ465" s="156"/>
      <c r="CIK465" s="156"/>
      <c r="CIL465" s="156"/>
      <c r="CIM465" s="156"/>
      <c r="CIN465" s="156"/>
      <c r="CIO465" s="156"/>
      <c r="CIP465" s="156"/>
      <c r="CIQ465" s="156"/>
      <c r="CIR465" s="156"/>
      <c r="CIS465" s="156"/>
      <c r="CIT465" s="156"/>
      <c r="CIU465" s="156"/>
      <c r="CIV465" s="156"/>
      <c r="CIW465" s="156"/>
      <c r="CIX465" s="156"/>
      <c r="CIY465" s="156"/>
      <c r="CIZ465" s="156"/>
      <c r="CJA465" s="156"/>
      <c r="CJB465" s="156"/>
      <c r="CJC465" s="156"/>
      <c r="CJD465" s="156"/>
      <c r="CJE465" s="156"/>
      <c r="CJF465" s="156"/>
      <c r="CJG465" s="156"/>
      <c r="CJH465" s="156"/>
      <c r="CJI465" s="156"/>
      <c r="CJJ465" s="156"/>
      <c r="CJK465" s="156"/>
      <c r="CJL465" s="156"/>
      <c r="CJM465" s="156"/>
      <c r="CJN465" s="156"/>
      <c r="CJO465" s="156"/>
      <c r="CJP465" s="156"/>
      <c r="CJQ465" s="156"/>
      <c r="CJR465" s="156"/>
      <c r="CJS465" s="156"/>
      <c r="CJT465" s="156"/>
      <c r="CJU465" s="156"/>
      <c r="CJV465" s="156"/>
      <c r="CJW465" s="156"/>
      <c r="CJX465" s="156"/>
      <c r="CJY465" s="156"/>
      <c r="CJZ465" s="156"/>
      <c r="CKA465" s="156"/>
      <c r="CKB465" s="156"/>
      <c r="CKC465" s="156"/>
      <c r="CKD465" s="156"/>
      <c r="CKE465" s="156"/>
      <c r="CKF465" s="156"/>
      <c r="CKG465" s="156"/>
      <c r="CKH465" s="156"/>
      <c r="CKI465" s="156"/>
      <c r="CKJ465" s="156"/>
      <c r="CKK465" s="156"/>
      <c r="CKL465" s="156"/>
      <c r="CKM465" s="156"/>
      <c r="CKN465" s="156"/>
      <c r="CKO465" s="156"/>
      <c r="CKP465" s="156"/>
      <c r="CKQ465" s="156"/>
      <c r="CKR465" s="156"/>
      <c r="CKS465" s="156"/>
      <c r="CKT465" s="156"/>
      <c r="CKU465" s="156"/>
      <c r="CKV465" s="156"/>
      <c r="CKW465" s="156"/>
      <c r="CKX465" s="156"/>
      <c r="CKY465" s="156"/>
      <c r="CKZ465" s="156"/>
      <c r="CLA465" s="156"/>
      <c r="CLB465" s="156"/>
      <c r="CLC465" s="156"/>
      <c r="CLD465" s="156"/>
      <c r="CLE465" s="156"/>
      <c r="CLF465" s="156"/>
      <c r="CLG465" s="156"/>
      <c r="CLH465" s="156"/>
      <c r="CLI465" s="156"/>
      <c r="CLJ465" s="156"/>
      <c r="CLK465" s="156"/>
      <c r="CLL465" s="156"/>
      <c r="CLM465" s="156"/>
      <c r="CLN465" s="156"/>
      <c r="CLO465" s="156"/>
      <c r="CLP465" s="156"/>
      <c r="CLQ465" s="156"/>
      <c r="CLR465" s="156"/>
      <c r="CLS465" s="156"/>
      <c r="CLT465" s="156"/>
      <c r="CLU465" s="156"/>
      <c r="CLV465" s="156"/>
      <c r="CLW465" s="156"/>
      <c r="CLX465" s="156"/>
      <c r="CLY465" s="156"/>
      <c r="CLZ465" s="156"/>
      <c r="CMA465" s="156"/>
      <c r="CMB465" s="156"/>
      <c r="CMC465" s="156"/>
      <c r="CMD465" s="156"/>
      <c r="CME465" s="156"/>
      <c r="CMF465" s="156"/>
      <c r="CMG465" s="156"/>
      <c r="CMH465" s="156"/>
      <c r="CMI465" s="156"/>
      <c r="CMJ465" s="156"/>
      <c r="CMK465" s="156"/>
      <c r="CML465" s="156"/>
      <c r="CMM465" s="156"/>
      <c r="CMN465" s="156"/>
      <c r="CMO465" s="156"/>
      <c r="CMP465" s="156"/>
      <c r="CMQ465" s="156"/>
      <c r="CMR465" s="156"/>
      <c r="CMS465" s="156"/>
      <c r="CMT465" s="156"/>
      <c r="CMU465" s="156"/>
      <c r="CMV465" s="156"/>
      <c r="CMW465" s="156"/>
      <c r="CMX465" s="156"/>
      <c r="CMY465" s="156"/>
      <c r="CMZ465" s="156"/>
      <c r="CNA465" s="156"/>
      <c r="CNB465" s="156"/>
      <c r="CNC465" s="156"/>
      <c r="CND465" s="156"/>
      <c r="CNE465" s="156"/>
      <c r="CNF465" s="156"/>
      <c r="CNG465" s="156"/>
      <c r="CNH465" s="156"/>
      <c r="CNI465" s="156"/>
      <c r="CNJ465" s="156"/>
      <c r="CNK465" s="156"/>
      <c r="CNL465" s="156"/>
      <c r="CNM465" s="156"/>
      <c r="CNN465" s="156"/>
      <c r="CNO465" s="156"/>
      <c r="CNP465" s="156"/>
      <c r="CNQ465" s="156"/>
      <c r="CNR465" s="156"/>
      <c r="CNS465" s="156"/>
      <c r="CNT465" s="156"/>
      <c r="CNU465" s="156"/>
      <c r="CNV465" s="156"/>
      <c r="CNW465" s="156"/>
      <c r="CNX465" s="156"/>
      <c r="CNY465" s="156"/>
      <c r="CNZ465" s="156"/>
      <c r="COA465" s="156"/>
      <c r="COB465" s="156"/>
      <c r="COC465" s="156"/>
      <c r="COD465" s="156"/>
      <c r="COE465" s="156"/>
      <c r="COF465" s="156"/>
      <c r="COG465" s="156"/>
      <c r="COH465" s="156"/>
      <c r="COI465" s="156"/>
      <c r="COJ465" s="156"/>
      <c r="COK465" s="156"/>
      <c r="COL465" s="156"/>
      <c r="COM465" s="156"/>
      <c r="CON465" s="156"/>
      <c r="COO465" s="156"/>
      <c r="COP465" s="156"/>
      <c r="COQ465" s="156"/>
      <c r="COR465" s="156"/>
      <c r="COS465" s="156"/>
      <c r="COT465" s="156"/>
      <c r="COU465" s="156"/>
      <c r="COV465" s="156"/>
      <c r="COW465" s="156"/>
      <c r="COX465" s="156"/>
      <c r="COY465" s="156"/>
      <c r="COZ465" s="156"/>
      <c r="CPA465" s="156"/>
      <c r="CPB465" s="156"/>
      <c r="CPC465" s="156"/>
      <c r="CPD465" s="156"/>
      <c r="CPE465" s="156"/>
      <c r="CPF465" s="156"/>
      <c r="CPG465" s="156"/>
      <c r="CPH465" s="156"/>
      <c r="CPI465" s="156"/>
      <c r="CPJ465" s="156"/>
      <c r="CPK465" s="156"/>
      <c r="CPL465" s="156"/>
      <c r="CPM465" s="156"/>
      <c r="CPN465" s="156"/>
      <c r="CPO465" s="156"/>
      <c r="CPP465" s="156"/>
      <c r="CPQ465" s="156"/>
      <c r="CPR465" s="156"/>
      <c r="CPS465" s="156"/>
      <c r="CPT465" s="156"/>
      <c r="CPU465" s="156"/>
      <c r="CPV465" s="156"/>
      <c r="CPW465" s="156"/>
      <c r="CPX465" s="156"/>
      <c r="CPY465" s="156"/>
      <c r="CPZ465" s="156"/>
      <c r="CQA465" s="156"/>
      <c r="CQB465" s="156"/>
      <c r="CQC465" s="156"/>
      <c r="CQD465" s="156"/>
      <c r="CQE465" s="156"/>
      <c r="CQF465" s="156"/>
      <c r="CQG465" s="156"/>
      <c r="CQH465" s="156"/>
      <c r="CQI465" s="156"/>
      <c r="CQJ465" s="156"/>
      <c r="CQK465" s="156"/>
      <c r="CQL465" s="156"/>
      <c r="CQM465" s="156"/>
      <c r="CQN465" s="156"/>
      <c r="CQO465" s="156"/>
      <c r="CQP465" s="156"/>
      <c r="CQQ465" s="156"/>
      <c r="CQR465" s="156"/>
      <c r="CQS465" s="156"/>
      <c r="CQT465" s="156"/>
      <c r="CQU465" s="156"/>
      <c r="CQV465" s="156"/>
      <c r="CQW465" s="156"/>
      <c r="CQX465" s="156"/>
      <c r="CQY465" s="156"/>
      <c r="CQZ465" s="156"/>
      <c r="CRA465" s="156"/>
      <c r="CRB465" s="156"/>
      <c r="CRC465" s="156"/>
      <c r="CRD465" s="156"/>
      <c r="CRE465" s="156"/>
      <c r="CRF465" s="156"/>
      <c r="CRG465" s="156"/>
      <c r="CRH465" s="156"/>
      <c r="CRI465" s="156"/>
      <c r="CRJ465" s="156"/>
      <c r="CRK465" s="156"/>
      <c r="CRL465" s="156"/>
      <c r="CRM465" s="156"/>
      <c r="CRN465" s="156"/>
      <c r="CRO465" s="156"/>
      <c r="CRP465" s="156"/>
      <c r="CRQ465" s="156"/>
      <c r="CRR465" s="156"/>
      <c r="CRS465" s="156"/>
      <c r="CRT465" s="156"/>
      <c r="CRU465" s="156"/>
      <c r="CRV465" s="156"/>
      <c r="CRW465" s="156"/>
      <c r="CRX465" s="156"/>
      <c r="CRY465" s="156"/>
      <c r="CRZ465" s="156"/>
      <c r="CSA465" s="156"/>
      <c r="CSB465" s="156"/>
      <c r="CSC465" s="156"/>
      <c r="CSD465" s="156"/>
      <c r="CSE465" s="156"/>
      <c r="CSF465" s="156"/>
      <c r="CSG465" s="156"/>
      <c r="CSH465" s="156"/>
      <c r="CSI465" s="156"/>
      <c r="CSJ465" s="156"/>
      <c r="CSK465" s="156"/>
      <c r="CSL465" s="156"/>
      <c r="CSM465" s="156"/>
      <c r="CSN465" s="156"/>
      <c r="CSO465" s="156"/>
      <c r="CSP465" s="156"/>
      <c r="CSQ465" s="156"/>
      <c r="CSR465" s="156"/>
      <c r="CSS465" s="156"/>
      <c r="CST465" s="156"/>
      <c r="CSU465" s="156"/>
      <c r="CSV465" s="156"/>
      <c r="CSW465" s="156"/>
      <c r="CSX465" s="156"/>
      <c r="CSY465" s="156"/>
      <c r="CSZ465" s="156"/>
      <c r="CTA465" s="156"/>
      <c r="CTB465" s="156"/>
      <c r="CTC465" s="156"/>
      <c r="CTD465" s="156"/>
      <c r="CTE465" s="156"/>
      <c r="CTF465" s="156"/>
      <c r="CTG465" s="156"/>
      <c r="CTH465" s="156"/>
      <c r="CTI465" s="156"/>
      <c r="CTJ465" s="156"/>
      <c r="CTK465" s="156"/>
      <c r="CTL465" s="156"/>
      <c r="CTM465" s="156"/>
      <c r="CTN465" s="156"/>
      <c r="CTO465" s="156"/>
      <c r="CTP465" s="156"/>
      <c r="CTQ465" s="156"/>
      <c r="CTR465" s="156"/>
      <c r="CTS465" s="156"/>
      <c r="CTT465" s="156"/>
      <c r="CTU465" s="156"/>
      <c r="CTV465" s="156"/>
      <c r="CTW465" s="156"/>
      <c r="CTX465" s="156"/>
      <c r="CTY465" s="156"/>
      <c r="CTZ465" s="156"/>
      <c r="CUA465" s="156"/>
      <c r="CUB465" s="156"/>
      <c r="CUC465" s="156"/>
      <c r="CUD465" s="156"/>
      <c r="CUE465" s="156"/>
      <c r="CUF465" s="156"/>
      <c r="CUG465" s="156"/>
      <c r="CUH465" s="156"/>
      <c r="CUI465" s="156"/>
      <c r="CUJ465" s="156"/>
      <c r="CUK465" s="156"/>
      <c r="CUL465" s="156"/>
      <c r="CUM465" s="156"/>
      <c r="CUN465" s="156"/>
      <c r="CUO465" s="156"/>
      <c r="CUP465" s="156"/>
      <c r="CUQ465" s="156"/>
      <c r="CUR465" s="156"/>
      <c r="CUS465" s="156"/>
      <c r="CUT465" s="156"/>
      <c r="CUU465" s="156"/>
      <c r="CUV465" s="156"/>
      <c r="CUW465" s="156"/>
      <c r="CUX465" s="156"/>
      <c r="CUY465" s="156"/>
      <c r="CUZ465" s="156"/>
      <c r="CVA465" s="156"/>
      <c r="CVB465" s="156"/>
      <c r="CVC465" s="156"/>
      <c r="CVD465" s="156"/>
      <c r="CVE465" s="156"/>
      <c r="CVF465" s="156"/>
      <c r="CVG465" s="156"/>
      <c r="CVH465" s="156"/>
      <c r="CVI465" s="156"/>
      <c r="CVJ465" s="156"/>
      <c r="CVK465" s="156"/>
      <c r="CVL465" s="156"/>
      <c r="CVM465" s="156"/>
      <c r="CVN465" s="156"/>
      <c r="CVO465" s="156"/>
      <c r="CVP465" s="156"/>
      <c r="CVQ465" s="156"/>
      <c r="CVR465" s="156"/>
      <c r="CVS465" s="156"/>
      <c r="CVT465" s="156"/>
      <c r="CVU465" s="156"/>
      <c r="CVV465" s="156"/>
      <c r="CVW465" s="156"/>
      <c r="CVX465" s="156"/>
      <c r="CVY465" s="156"/>
      <c r="CVZ465" s="156"/>
      <c r="CWA465" s="156"/>
      <c r="CWB465" s="156"/>
      <c r="CWC465" s="156"/>
      <c r="CWD465" s="156"/>
      <c r="CWE465" s="156"/>
      <c r="CWF465" s="156"/>
      <c r="CWG465" s="156"/>
      <c r="CWH465" s="156"/>
      <c r="CWI465" s="156"/>
      <c r="CWJ465" s="156"/>
      <c r="CWK465" s="156"/>
      <c r="CWL465" s="156"/>
      <c r="CWM465" s="156"/>
      <c r="CWN465" s="156"/>
      <c r="CWO465" s="156"/>
      <c r="CWP465" s="156"/>
      <c r="CWQ465" s="156"/>
      <c r="CWR465" s="156"/>
      <c r="CWS465" s="156"/>
      <c r="CWT465" s="156"/>
      <c r="CWU465" s="156"/>
      <c r="CWV465" s="156"/>
      <c r="CWW465" s="156"/>
      <c r="CWX465" s="156"/>
      <c r="CWY465" s="156"/>
      <c r="CWZ465" s="156"/>
      <c r="CXA465" s="156"/>
      <c r="CXB465" s="156"/>
      <c r="CXC465" s="156"/>
      <c r="CXD465" s="156"/>
      <c r="CXE465" s="156"/>
      <c r="CXF465" s="156"/>
      <c r="CXG465" s="156"/>
      <c r="CXH465" s="156"/>
      <c r="CXI465" s="156"/>
      <c r="CXJ465" s="156"/>
      <c r="CXK465" s="156"/>
      <c r="CXL465" s="156"/>
      <c r="CXM465" s="156"/>
      <c r="CXN465" s="156"/>
      <c r="CXO465" s="156"/>
      <c r="CXP465" s="156"/>
      <c r="CXQ465" s="156"/>
      <c r="CXR465" s="156"/>
      <c r="CXS465" s="156"/>
      <c r="CXT465" s="156"/>
      <c r="CXU465" s="156"/>
      <c r="CXV465" s="156"/>
      <c r="CXW465" s="156"/>
      <c r="CXX465" s="156"/>
      <c r="CXY465" s="156"/>
      <c r="CXZ465" s="156"/>
      <c r="CYA465" s="156"/>
      <c r="CYB465" s="156"/>
      <c r="CYC465" s="156"/>
      <c r="CYD465" s="156"/>
      <c r="CYE465" s="156"/>
      <c r="CYF465" s="156"/>
      <c r="CYG465" s="156"/>
      <c r="CYH465" s="156"/>
      <c r="CYI465" s="156"/>
      <c r="CYJ465" s="156"/>
      <c r="CYK465" s="156"/>
      <c r="CYL465" s="156"/>
      <c r="CYM465" s="156"/>
      <c r="CYN465" s="156"/>
      <c r="CYO465" s="156"/>
      <c r="CYP465" s="156"/>
      <c r="CYQ465" s="156"/>
      <c r="CYR465" s="156"/>
      <c r="CYS465" s="156"/>
      <c r="CYT465" s="156"/>
      <c r="CYU465" s="156"/>
      <c r="CYV465" s="156"/>
      <c r="CYW465" s="156"/>
      <c r="CYX465" s="156"/>
      <c r="CYY465" s="156"/>
      <c r="CYZ465" s="156"/>
      <c r="CZA465" s="156"/>
      <c r="CZB465" s="156"/>
      <c r="CZC465" s="156"/>
      <c r="CZD465" s="156"/>
      <c r="CZE465" s="156"/>
      <c r="CZF465" s="156"/>
      <c r="CZG465" s="156"/>
      <c r="CZH465" s="156"/>
      <c r="CZI465" s="156"/>
      <c r="CZJ465" s="156"/>
      <c r="CZK465" s="156"/>
      <c r="CZL465" s="156"/>
      <c r="CZM465" s="156"/>
      <c r="CZN465" s="156"/>
      <c r="CZO465" s="156"/>
      <c r="CZP465" s="156"/>
      <c r="CZQ465" s="156"/>
      <c r="CZR465" s="156"/>
      <c r="CZS465" s="156"/>
      <c r="CZT465" s="156"/>
      <c r="CZU465" s="156"/>
      <c r="CZV465" s="156"/>
      <c r="CZW465" s="156"/>
      <c r="CZX465" s="156"/>
      <c r="CZY465" s="156"/>
      <c r="CZZ465" s="156"/>
      <c r="DAA465" s="156"/>
      <c r="DAB465" s="156"/>
      <c r="DAC465" s="156"/>
      <c r="DAD465" s="156"/>
      <c r="DAE465" s="156"/>
      <c r="DAF465" s="156"/>
      <c r="DAG465" s="156"/>
      <c r="DAH465" s="156"/>
      <c r="DAI465" s="156"/>
      <c r="DAJ465" s="156"/>
      <c r="DAK465" s="156"/>
      <c r="DAL465" s="156"/>
      <c r="DAM465" s="156"/>
      <c r="DAN465" s="156"/>
      <c r="DAO465" s="156"/>
      <c r="DAP465" s="156"/>
      <c r="DAQ465" s="156"/>
      <c r="DAR465" s="156"/>
      <c r="DAS465" s="156"/>
      <c r="DAT465" s="156"/>
      <c r="DAU465" s="156"/>
      <c r="DAV465" s="156"/>
      <c r="DAW465" s="156"/>
      <c r="DAX465" s="156"/>
      <c r="DAY465" s="156"/>
      <c r="DAZ465" s="156"/>
      <c r="DBA465" s="156"/>
      <c r="DBB465" s="156"/>
      <c r="DBC465" s="156"/>
      <c r="DBD465" s="156"/>
      <c r="DBE465" s="156"/>
      <c r="DBF465" s="156"/>
      <c r="DBG465" s="156"/>
      <c r="DBH465" s="156"/>
      <c r="DBI465" s="156"/>
      <c r="DBJ465" s="156"/>
      <c r="DBK465" s="156"/>
      <c r="DBL465" s="156"/>
      <c r="DBM465" s="156"/>
      <c r="DBN465" s="156"/>
      <c r="DBO465" s="156"/>
      <c r="DBP465" s="156"/>
      <c r="DBQ465" s="156"/>
      <c r="DBR465" s="156"/>
      <c r="DBS465" s="156"/>
      <c r="DBT465" s="156"/>
      <c r="DBU465" s="156"/>
      <c r="DBV465" s="156"/>
      <c r="DBW465" s="156"/>
      <c r="DBX465" s="156"/>
      <c r="DBY465" s="156"/>
      <c r="DBZ465" s="156"/>
      <c r="DCA465" s="156"/>
      <c r="DCB465" s="156"/>
      <c r="DCC465" s="156"/>
      <c r="DCD465" s="156"/>
      <c r="DCE465" s="156"/>
      <c r="DCF465" s="156"/>
      <c r="DCG465" s="156"/>
      <c r="DCH465" s="156"/>
      <c r="DCI465" s="156"/>
      <c r="DCJ465" s="156"/>
      <c r="DCK465" s="156"/>
      <c r="DCL465" s="156"/>
      <c r="DCM465" s="156"/>
      <c r="DCN465" s="156"/>
      <c r="DCO465" s="156"/>
      <c r="DCP465" s="156"/>
      <c r="DCQ465" s="156"/>
      <c r="DCR465" s="156"/>
      <c r="DCS465" s="156"/>
      <c r="DCT465" s="156"/>
      <c r="DCU465" s="156"/>
      <c r="DCV465" s="156"/>
      <c r="DCW465" s="156"/>
      <c r="DCX465" s="156"/>
      <c r="DCY465" s="156"/>
      <c r="DCZ465" s="156"/>
      <c r="DDA465" s="156"/>
      <c r="DDB465" s="156"/>
      <c r="DDC465" s="156"/>
      <c r="DDD465" s="156"/>
      <c r="DDE465" s="156"/>
      <c r="DDF465" s="156"/>
      <c r="DDG465" s="156"/>
      <c r="DDH465" s="156"/>
      <c r="DDI465" s="156"/>
      <c r="DDJ465" s="156"/>
      <c r="DDK465" s="156"/>
      <c r="DDL465" s="156"/>
      <c r="DDM465" s="156"/>
      <c r="DDN465" s="156"/>
      <c r="DDO465" s="156"/>
      <c r="DDP465" s="156"/>
      <c r="DDQ465" s="156"/>
      <c r="DDR465" s="156"/>
      <c r="DDS465" s="156"/>
      <c r="DDT465" s="156"/>
      <c r="DDU465" s="156"/>
      <c r="DDV465" s="156"/>
      <c r="DDW465" s="156"/>
      <c r="DDX465" s="156"/>
      <c r="DDY465" s="156"/>
      <c r="DDZ465" s="156"/>
      <c r="DEA465" s="156"/>
      <c r="DEB465" s="156"/>
      <c r="DEC465" s="156"/>
      <c r="DED465" s="156"/>
      <c r="DEE465" s="156"/>
      <c r="DEF465" s="156"/>
      <c r="DEG465" s="156"/>
      <c r="DEH465" s="156"/>
      <c r="DEI465" s="156"/>
      <c r="DEJ465" s="156"/>
      <c r="DEK465" s="156"/>
      <c r="DEL465" s="156"/>
      <c r="DEM465" s="156"/>
      <c r="DEN465" s="156"/>
      <c r="DEO465" s="156"/>
      <c r="DEP465" s="156"/>
      <c r="DEQ465" s="156"/>
      <c r="DER465" s="156"/>
      <c r="DES465" s="156"/>
      <c r="DET465" s="156"/>
      <c r="DEU465" s="156"/>
      <c r="DEV465" s="156"/>
      <c r="DEW465" s="156"/>
      <c r="DEX465" s="156"/>
      <c r="DEY465" s="156"/>
      <c r="DEZ465" s="156"/>
      <c r="DFA465" s="156"/>
      <c r="DFB465" s="156"/>
      <c r="DFC465" s="156"/>
      <c r="DFD465" s="156"/>
      <c r="DFE465" s="156"/>
      <c r="DFF465" s="156"/>
      <c r="DFG465" s="156"/>
      <c r="DFH465" s="156"/>
      <c r="DFI465" s="156"/>
      <c r="DFJ465" s="156"/>
      <c r="DFK465" s="156"/>
      <c r="DFL465" s="156"/>
      <c r="DFM465" s="156"/>
      <c r="DFN465" s="156"/>
      <c r="DFO465" s="156"/>
      <c r="DFP465" s="156"/>
      <c r="DFQ465" s="156"/>
      <c r="DFR465" s="156"/>
      <c r="DFS465" s="156"/>
      <c r="DFT465" s="156"/>
      <c r="DFU465" s="156"/>
      <c r="DFV465" s="156"/>
      <c r="DFW465" s="156"/>
      <c r="DFX465" s="156"/>
      <c r="DFY465" s="156"/>
      <c r="DFZ465" s="156"/>
      <c r="DGA465" s="156"/>
      <c r="DGB465" s="156"/>
      <c r="DGC465" s="156"/>
      <c r="DGD465" s="156"/>
      <c r="DGE465" s="156"/>
      <c r="DGF465" s="156"/>
      <c r="DGG465" s="156"/>
      <c r="DGH465" s="156"/>
      <c r="DGI465" s="156"/>
      <c r="DGJ465" s="156"/>
      <c r="DGK465" s="156"/>
      <c r="DGL465" s="156"/>
      <c r="DGM465" s="156"/>
      <c r="DGN465" s="156"/>
      <c r="DGO465" s="156"/>
      <c r="DGP465" s="156"/>
      <c r="DGQ465" s="156"/>
      <c r="DGR465" s="156"/>
      <c r="DGS465" s="156"/>
      <c r="DGT465" s="156"/>
      <c r="DGU465" s="156"/>
      <c r="DGV465" s="156"/>
      <c r="DGW465" s="156"/>
      <c r="DGX465" s="156"/>
      <c r="DGY465" s="156"/>
      <c r="DGZ465" s="156"/>
      <c r="DHA465" s="156"/>
      <c r="DHB465" s="156"/>
      <c r="DHC465" s="156"/>
      <c r="DHD465" s="156"/>
      <c r="DHE465" s="156"/>
      <c r="DHF465" s="156"/>
      <c r="DHG465" s="156"/>
      <c r="DHH465" s="156"/>
      <c r="DHI465" s="156"/>
      <c r="DHJ465" s="156"/>
      <c r="DHK465" s="156"/>
      <c r="DHL465" s="156"/>
      <c r="DHM465" s="156"/>
      <c r="DHN465" s="156"/>
      <c r="DHO465" s="156"/>
      <c r="DHP465" s="156"/>
      <c r="DHQ465" s="156"/>
      <c r="DHR465" s="156"/>
      <c r="DHS465" s="156"/>
      <c r="DHT465" s="156"/>
      <c r="DHU465" s="156"/>
      <c r="DHV465" s="156"/>
      <c r="DHW465" s="156"/>
      <c r="DHX465" s="156"/>
      <c r="DHY465" s="156"/>
      <c r="DHZ465" s="156"/>
      <c r="DIA465" s="156"/>
      <c r="DIB465" s="156"/>
      <c r="DIC465" s="156"/>
      <c r="DID465" s="156"/>
      <c r="DIE465" s="156"/>
      <c r="DIF465" s="156"/>
      <c r="DIG465" s="156"/>
      <c r="DIH465" s="156"/>
      <c r="DII465" s="156"/>
      <c r="DIJ465" s="156"/>
      <c r="DIK465" s="156"/>
      <c r="DIL465" s="156"/>
      <c r="DIM465" s="156"/>
      <c r="DIN465" s="156"/>
      <c r="DIO465" s="156"/>
      <c r="DIP465" s="156"/>
      <c r="DIQ465" s="156"/>
      <c r="DIR465" s="156"/>
      <c r="DIS465" s="156"/>
      <c r="DIT465" s="156"/>
      <c r="DIU465" s="156"/>
      <c r="DIV465" s="156"/>
      <c r="DIW465" s="156"/>
      <c r="DIX465" s="156"/>
      <c r="DIY465" s="156"/>
      <c r="DIZ465" s="156"/>
      <c r="DJA465" s="156"/>
      <c r="DJB465" s="156"/>
      <c r="DJC465" s="156"/>
      <c r="DJD465" s="156"/>
      <c r="DJE465" s="156"/>
      <c r="DJF465" s="156"/>
      <c r="DJG465" s="156"/>
      <c r="DJH465" s="156"/>
      <c r="DJI465" s="156"/>
      <c r="DJJ465" s="156"/>
      <c r="DJK465" s="156"/>
      <c r="DJL465" s="156"/>
      <c r="DJM465" s="156"/>
      <c r="DJN465" s="156"/>
      <c r="DJO465" s="156"/>
      <c r="DJP465" s="156"/>
      <c r="DJQ465" s="156"/>
      <c r="DJR465" s="156"/>
      <c r="DJS465" s="156"/>
      <c r="DJT465" s="156"/>
      <c r="DJU465" s="156"/>
      <c r="DJV465" s="156"/>
      <c r="DJW465" s="156"/>
      <c r="DJX465" s="156"/>
      <c r="DJY465" s="156"/>
      <c r="DJZ465" s="156"/>
      <c r="DKA465" s="156"/>
      <c r="DKB465" s="156"/>
      <c r="DKC465" s="156"/>
      <c r="DKD465" s="156"/>
      <c r="DKE465" s="156"/>
      <c r="DKF465" s="156"/>
      <c r="DKG465" s="156"/>
      <c r="DKH465" s="156"/>
      <c r="DKI465" s="156"/>
      <c r="DKJ465" s="156"/>
      <c r="DKK465" s="156"/>
      <c r="DKL465" s="156"/>
      <c r="DKM465" s="156"/>
      <c r="DKN465" s="156"/>
      <c r="DKO465" s="156"/>
      <c r="DKP465" s="156"/>
      <c r="DKQ465" s="156"/>
      <c r="DKR465" s="156"/>
      <c r="DKS465" s="156"/>
      <c r="DKT465" s="156"/>
      <c r="DKU465" s="156"/>
      <c r="DKV465" s="156"/>
      <c r="DKW465" s="156"/>
      <c r="DKX465" s="156"/>
      <c r="DKY465" s="156"/>
      <c r="DKZ465" s="156"/>
      <c r="DLA465" s="156"/>
      <c r="DLB465" s="156"/>
      <c r="DLC465" s="156"/>
      <c r="DLD465" s="156"/>
      <c r="DLE465" s="156"/>
      <c r="DLF465" s="156"/>
      <c r="DLG465" s="156"/>
      <c r="DLH465" s="156"/>
      <c r="DLI465" s="156"/>
      <c r="DLJ465" s="156"/>
      <c r="DLK465" s="156"/>
      <c r="DLL465" s="156"/>
      <c r="DLM465" s="156"/>
      <c r="DLN465" s="156"/>
      <c r="DLO465" s="156"/>
      <c r="DLP465" s="156"/>
      <c r="DLQ465" s="156"/>
      <c r="DLR465" s="156"/>
      <c r="DLS465" s="156"/>
      <c r="DLT465" s="156"/>
      <c r="DLU465" s="156"/>
      <c r="DLV465" s="156"/>
      <c r="DLW465" s="156"/>
      <c r="DLX465" s="156"/>
      <c r="DLY465" s="156"/>
      <c r="DLZ465" s="156"/>
      <c r="DMA465" s="156"/>
      <c r="DMB465" s="156"/>
      <c r="DMC465" s="156"/>
      <c r="DMD465" s="156"/>
      <c r="DME465" s="156"/>
      <c r="DMF465" s="156"/>
      <c r="DMG465" s="156"/>
      <c r="DMH465" s="156"/>
      <c r="DMI465" s="156"/>
      <c r="DMJ465" s="156"/>
      <c r="DMK465" s="156"/>
      <c r="DML465" s="156"/>
      <c r="DMM465" s="156"/>
      <c r="DMN465" s="156"/>
      <c r="DMO465" s="156"/>
      <c r="DMP465" s="156"/>
      <c r="DMQ465" s="156"/>
      <c r="DMR465" s="156"/>
      <c r="DMS465" s="156"/>
      <c r="DMT465" s="156"/>
      <c r="DMU465" s="156"/>
      <c r="DMV465" s="156"/>
      <c r="DMW465" s="156"/>
      <c r="DMX465" s="156"/>
      <c r="DMY465" s="156"/>
      <c r="DMZ465" s="156"/>
      <c r="DNA465" s="156"/>
      <c r="DNB465" s="156"/>
      <c r="DNC465" s="156"/>
      <c r="DND465" s="156"/>
      <c r="DNE465" s="156"/>
      <c r="DNF465" s="156"/>
      <c r="DNG465" s="156"/>
      <c r="DNH465" s="156"/>
      <c r="DNI465" s="156"/>
      <c r="DNJ465" s="156"/>
      <c r="DNK465" s="156"/>
      <c r="DNL465" s="156"/>
      <c r="DNM465" s="156"/>
      <c r="DNN465" s="156"/>
      <c r="DNO465" s="156"/>
      <c r="DNP465" s="156"/>
      <c r="DNQ465" s="156"/>
      <c r="DNR465" s="156"/>
      <c r="DNS465" s="156"/>
      <c r="DNT465" s="156"/>
      <c r="DNU465" s="156"/>
      <c r="DNV465" s="156"/>
      <c r="DNW465" s="156"/>
      <c r="DNX465" s="156"/>
      <c r="DNY465" s="156"/>
      <c r="DNZ465" s="156"/>
      <c r="DOA465" s="156"/>
      <c r="DOB465" s="156"/>
      <c r="DOC465" s="156"/>
      <c r="DOD465" s="156"/>
      <c r="DOE465" s="156"/>
      <c r="DOF465" s="156"/>
      <c r="DOG465" s="156"/>
      <c r="DOH465" s="156"/>
      <c r="DOI465" s="156"/>
      <c r="DOJ465" s="156"/>
      <c r="DOK465" s="156"/>
      <c r="DOL465" s="156"/>
      <c r="DOM465" s="156"/>
      <c r="DON465" s="156"/>
      <c r="DOO465" s="156"/>
      <c r="DOP465" s="156"/>
      <c r="DOQ465" s="156"/>
      <c r="DOR465" s="156"/>
      <c r="DOS465" s="156"/>
      <c r="DOT465" s="156"/>
      <c r="DOU465" s="156"/>
      <c r="DOV465" s="156"/>
      <c r="DOW465" s="156"/>
      <c r="DOX465" s="156"/>
      <c r="DOY465" s="156"/>
      <c r="DOZ465" s="156"/>
      <c r="DPA465" s="156"/>
      <c r="DPB465" s="156"/>
      <c r="DPC465" s="156"/>
      <c r="DPD465" s="156"/>
      <c r="DPE465" s="156"/>
      <c r="DPF465" s="156"/>
      <c r="DPG465" s="156"/>
      <c r="DPH465" s="156"/>
      <c r="DPI465" s="156"/>
      <c r="DPJ465" s="156"/>
      <c r="DPK465" s="156"/>
      <c r="DPL465" s="156"/>
      <c r="DPM465" s="156"/>
      <c r="DPN465" s="156"/>
      <c r="DPO465" s="156"/>
      <c r="DPP465" s="156"/>
      <c r="DPQ465" s="156"/>
      <c r="DPR465" s="156"/>
      <c r="DPS465" s="156"/>
      <c r="DPT465" s="156"/>
      <c r="DPU465" s="156"/>
      <c r="DPV465" s="156"/>
      <c r="DPW465" s="156"/>
      <c r="DPX465" s="156"/>
      <c r="DPY465" s="156"/>
      <c r="DPZ465" s="156"/>
      <c r="DQA465" s="156"/>
      <c r="DQB465" s="156"/>
      <c r="DQC465" s="156"/>
      <c r="DQD465" s="156"/>
      <c r="DQE465" s="156"/>
      <c r="DQF465" s="156"/>
      <c r="DQG465" s="156"/>
      <c r="DQH465" s="156"/>
      <c r="DQI465" s="156"/>
      <c r="DQJ465" s="156"/>
      <c r="DQK465" s="156"/>
      <c r="DQL465" s="156"/>
      <c r="DQM465" s="156"/>
      <c r="DQN465" s="156"/>
      <c r="DQO465" s="156"/>
      <c r="DQP465" s="156"/>
      <c r="DQQ465" s="156"/>
      <c r="DQR465" s="156"/>
      <c r="DQS465" s="156"/>
      <c r="DQT465" s="156"/>
      <c r="DQU465" s="156"/>
      <c r="DQV465" s="156"/>
      <c r="DQW465" s="156"/>
      <c r="DQX465" s="156"/>
      <c r="DQY465" s="156"/>
      <c r="DQZ465" s="156"/>
      <c r="DRA465" s="156"/>
      <c r="DRB465" s="156"/>
      <c r="DRC465" s="156"/>
      <c r="DRD465" s="156"/>
      <c r="DRE465" s="156"/>
      <c r="DRF465" s="156"/>
      <c r="DRG465" s="156"/>
      <c r="DRH465" s="156"/>
      <c r="DRI465" s="156"/>
      <c r="DRJ465" s="156"/>
      <c r="DRK465" s="156"/>
      <c r="DRL465" s="156"/>
      <c r="DRM465" s="156"/>
      <c r="DRN465" s="156"/>
      <c r="DRO465" s="156"/>
      <c r="DRP465" s="156"/>
      <c r="DRQ465" s="156"/>
      <c r="DRR465" s="156"/>
      <c r="DRS465" s="156"/>
      <c r="DRT465" s="156"/>
      <c r="DRU465" s="156"/>
      <c r="DRV465" s="156"/>
      <c r="DRW465" s="156"/>
      <c r="DRX465" s="156"/>
      <c r="DRY465" s="156"/>
      <c r="DRZ465" s="156"/>
      <c r="DSA465" s="156"/>
      <c r="DSB465" s="156"/>
      <c r="DSC465" s="156"/>
      <c r="DSD465" s="156"/>
      <c r="DSE465" s="156"/>
      <c r="DSF465" s="156"/>
      <c r="DSG465" s="156"/>
      <c r="DSH465" s="156"/>
      <c r="DSI465" s="156"/>
      <c r="DSJ465" s="156"/>
      <c r="DSK465" s="156"/>
      <c r="DSL465" s="156"/>
      <c r="DSM465" s="156"/>
      <c r="DSN465" s="156"/>
      <c r="DSO465" s="156"/>
      <c r="DSP465" s="156"/>
      <c r="DSQ465" s="156"/>
      <c r="DSR465" s="156"/>
      <c r="DSS465" s="156"/>
      <c r="DST465" s="156"/>
      <c r="DSU465" s="156"/>
      <c r="DSV465" s="156"/>
      <c r="DSW465" s="156"/>
      <c r="DSX465" s="156"/>
      <c r="DSY465" s="156"/>
      <c r="DSZ465" s="156"/>
      <c r="DTA465" s="156"/>
      <c r="DTB465" s="156"/>
      <c r="DTC465" s="156"/>
      <c r="DTD465" s="156"/>
      <c r="DTE465" s="156"/>
      <c r="DTF465" s="156"/>
      <c r="DTG465" s="156"/>
      <c r="DTH465" s="156"/>
      <c r="DTI465" s="156"/>
      <c r="DTJ465" s="156"/>
      <c r="DTK465" s="156"/>
      <c r="DTL465" s="156"/>
      <c r="DTM465" s="156"/>
      <c r="DTN465" s="156"/>
      <c r="DTO465" s="156"/>
      <c r="DTP465" s="156"/>
      <c r="DTQ465" s="156"/>
      <c r="DTR465" s="156"/>
      <c r="DTS465" s="156"/>
      <c r="DTT465" s="156"/>
      <c r="DTU465" s="156"/>
      <c r="DTV465" s="156"/>
      <c r="DTW465" s="156"/>
      <c r="DTX465" s="156"/>
      <c r="DTY465" s="156"/>
      <c r="DTZ465" s="156"/>
      <c r="DUA465" s="156"/>
      <c r="DUB465" s="156"/>
      <c r="DUC465" s="156"/>
      <c r="DUD465" s="156"/>
      <c r="DUE465" s="156"/>
      <c r="DUF465" s="156"/>
      <c r="DUG465" s="156"/>
      <c r="DUH465" s="156"/>
      <c r="DUI465" s="156"/>
      <c r="DUJ465" s="156"/>
      <c r="DUK465" s="156"/>
      <c r="DUL465" s="156"/>
      <c r="DUM465" s="156"/>
      <c r="DUN465" s="156"/>
      <c r="DUO465" s="156"/>
      <c r="DUP465" s="156"/>
      <c r="DUQ465" s="156"/>
      <c r="DUR465" s="156"/>
      <c r="DUS465" s="156"/>
      <c r="DUT465" s="156"/>
      <c r="DUU465" s="156"/>
      <c r="DUV465" s="156"/>
      <c r="DUW465" s="156"/>
      <c r="DUX465" s="156"/>
      <c r="DUY465" s="156"/>
      <c r="DUZ465" s="156"/>
      <c r="DVA465" s="156"/>
      <c r="DVB465" s="156"/>
      <c r="DVC465" s="156"/>
      <c r="DVD465" s="156"/>
      <c r="DVE465" s="156"/>
      <c r="DVF465" s="156"/>
      <c r="DVG465" s="156"/>
      <c r="DVH465" s="156"/>
      <c r="DVI465" s="156"/>
      <c r="DVJ465" s="156"/>
      <c r="DVK465" s="156"/>
      <c r="DVL465" s="156"/>
      <c r="DVM465" s="156"/>
      <c r="DVN465" s="156"/>
      <c r="DVO465" s="156"/>
      <c r="DVP465" s="156"/>
      <c r="DVQ465" s="156"/>
      <c r="DVR465" s="156"/>
      <c r="DVS465" s="156"/>
      <c r="DVT465" s="156"/>
      <c r="DVU465" s="156"/>
      <c r="DVV465" s="156"/>
      <c r="DVW465" s="156"/>
      <c r="DVX465" s="156"/>
      <c r="DVY465" s="156"/>
      <c r="DVZ465" s="156"/>
      <c r="DWA465" s="156"/>
      <c r="DWB465" s="156"/>
      <c r="DWC465" s="156"/>
      <c r="DWD465" s="156"/>
      <c r="DWE465" s="156"/>
      <c r="DWF465" s="156"/>
      <c r="DWG465" s="156"/>
      <c r="DWH465" s="156"/>
      <c r="DWI465" s="156"/>
      <c r="DWJ465" s="156"/>
      <c r="DWK465" s="156"/>
      <c r="DWL465" s="156"/>
      <c r="DWM465" s="156"/>
      <c r="DWN465" s="156"/>
      <c r="DWO465" s="156"/>
      <c r="DWP465" s="156"/>
      <c r="DWQ465" s="156"/>
      <c r="DWR465" s="156"/>
      <c r="DWS465" s="156"/>
      <c r="DWT465" s="156"/>
      <c r="DWU465" s="156"/>
      <c r="DWV465" s="156"/>
      <c r="DWW465" s="156"/>
      <c r="DWX465" s="156"/>
      <c r="DWY465" s="156"/>
      <c r="DWZ465" s="156"/>
      <c r="DXA465" s="156"/>
      <c r="DXB465" s="156"/>
      <c r="DXC465" s="156"/>
      <c r="DXD465" s="156"/>
      <c r="DXE465" s="156"/>
      <c r="DXF465" s="156"/>
      <c r="DXG465" s="156"/>
      <c r="DXH465" s="156"/>
      <c r="DXI465" s="156"/>
      <c r="DXJ465" s="156"/>
      <c r="DXK465" s="156"/>
      <c r="DXL465" s="156"/>
      <c r="DXM465" s="156"/>
      <c r="DXN465" s="156"/>
      <c r="DXO465" s="156"/>
      <c r="DXP465" s="156"/>
      <c r="DXQ465" s="156"/>
      <c r="DXR465" s="156"/>
      <c r="DXS465" s="156"/>
      <c r="DXT465" s="156"/>
      <c r="DXU465" s="156"/>
      <c r="DXV465" s="156"/>
      <c r="DXW465" s="156"/>
      <c r="DXX465" s="156"/>
      <c r="DXY465" s="156"/>
      <c r="DXZ465" s="156"/>
      <c r="DYA465" s="156"/>
      <c r="DYB465" s="156"/>
      <c r="DYC465" s="156"/>
      <c r="DYD465" s="156"/>
      <c r="DYE465" s="156"/>
      <c r="DYF465" s="156"/>
      <c r="DYG465" s="156"/>
      <c r="DYH465" s="156"/>
      <c r="DYI465" s="156"/>
      <c r="DYJ465" s="156"/>
      <c r="DYK465" s="156"/>
      <c r="DYL465" s="156"/>
      <c r="DYM465" s="156"/>
      <c r="DYN465" s="156"/>
      <c r="DYO465" s="156"/>
      <c r="DYP465" s="156"/>
      <c r="DYQ465" s="156"/>
      <c r="DYR465" s="156"/>
      <c r="DYS465" s="156"/>
      <c r="DYT465" s="156"/>
      <c r="DYU465" s="156"/>
      <c r="DYV465" s="156"/>
      <c r="DYW465" s="156"/>
      <c r="DYX465" s="156"/>
      <c r="DYY465" s="156"/>
      <c r="DYZ465" s="156"/>
      <c r="DZA465" s="156"/>
      <c r="DZB465" s="156"/>
      <c r="DZC465" s="156"/>
      <c r="DZD465" s="156"/>
      <c r="DZE465" s="156"/>
      <c r="DZF465" s="156"/>
      <c r="DZG465" s="156"/>
      <c r="DZH465" s="156"/>
      <c r="DZI465" s="156"/>
      <c r="DZJ465" s="156"/>
      <c r="DZK465" s="156"/>
      <c r="DZL465" s="156"/>
      <c r="DZM465" s="156"/>
      <c r="DZN465" s="156"/>
      <c r="DZO465" s="156"/>
      <c r="DZP465" s="156"/>
      <c r="DZQ465" s="156"/>
      <c r="DZR465" s="156"/>
      <c r="DZS465" s="156"/>
      <c r="DZT465" s="156"/>
      <c r="DZU465" s="156"/>
      <c r="DZV465" s="156"/>
      <c r="DZW465" s="156"/>
      <c r="DZX465" s="156"/>
      <c r="DZY465" s="156"/>
      <c r="DZZ465" s="156"/>
      <c r="EAA465" s="156"/>
      <c r="EAB465" s="156"/>
      <c r="EAC465" s="156"/>
      <c r="EAD465" s="156"/>
      <c r="EAE465" s="156"/>
      <c r="EAF465" s="156"/>
      <c r="EAG465" s="156"/>
      <c r="EAH465" s="156"/>
      <c r="EAI465" s="156"/>
      <c r="EAJ465" s="156"/>
      <c r="EAK465" s="156"/>
      <c r="EAL465" s="156"/>
      <c r="EAM465" s="156"/>
      <c r="EAN465" s="156"/>
      <c r="EAO465" s="156"/>
      <c r="EAP465" s="156"/>
      <c r="EAQ465" s="156"/>
      <c r="EAR465" s="156"/>
      <c r="EAS465" s="156"/>
      <c r="EAT465" s="156"/>
      <c r="EAU465" s="156"/>
      <c r="EAV465" s="156"/>
      <c r="EAW465" s="156"/>
      <c r="EAX465" s="156"/>
      <c r="EAY465" s="156"/>
      <c r="EAZ465" s="156"/>
      <c r="EBA465" s="156"/>
      <c r="EBB465" s="156"/>
      <c r="EBC465" s="156"/>
      <c r="EBD465" s="156"/>
      <c r="EBE465" s="156"/>
      <c r="EBF465" s="156"/>
      <c r="EBG465" s="156"/>
      <c r="EBH465" s="156"/>
      <c r="EBI465" s="156"/>
      <c r="EBJ465" s="156"/>
      <c r="EBK465" s="156"/>
      <c r="EBL465" s="156"/>
      <c r="EBM465" s="156"/>
      <c r="EBN465" s="156"/>
      <c r="EBO465" s="156"/>
      <c r="EBP465" s="156"/>
      <c r="EBQ465" s="156"/>
      <c r="EBR465" s="156"/>
      <c r="EBS465" s="156"/>
      <c r="EBT465" s="156"/>
      <c r="EBU465" s="156"/>
      <c r="EBV465" s="156"/>
      <c r="EBW465" s="156"/>
      <c r="EBX465" s="156"/>
      <c r="EBY465" s="156"/>
      <c r="EBZ465" s="156"/>
      <c r="ECA465" s="156"/>
      <c r="ECB465" s="156"/>
      <c r="ECC465" s="156"/>
      <c r="ECD465" s="156"/>
      <c r="ECE465" s="156"/>
      <c r="ECF465" s="156"/>
      <c r="ECG465" s="156"/>
      <c r="ECH465" s="156"/>
      <c r="ECI465" s="156"/>
      <c r="ECJ465" s="156"/>
      <c r="ECK465" s="156"/>
      <c r="ECL465" s="156"/>
      <c r="ECM465" s="156"/>
      <c r="ECN465" s="156"/>
      <c r="ECO465" s="156"/>
      <c r="ECP465" s="156"/>
      <c r="ECQ465" s="156"/>
      <c r="ECR465" s="156"/>
      <c r="ECS465" s="156"/>
      <c r="ECT465" s="156"/>
      <c r="ECU465" s="156"/>
      <c r="ECV465" s="156"/>
      <c r="ECW465" s="156"/>
      <c r="ECX465" s="156"/>
      <c r="ECY465" s="156"/>
      <c r="ECZ465" s="156"/>
      <c r="EDA465" s="156"/>
      <c r="EDB465" s="156"/>
      <c r="EDC465" s="156"/>
      <c r="EDD465" s="156"/>
      <c r="EDE465" s="156"/>
      <c r="EDF465" s="156"/>
      <c r="EDG465" s="156"/>
      <c r="EDH465" s="156"/>
      <c r="EDI465" s="156"/>
      <c r="EDJ465" s="156"/>
      <c r="EDK465" s="156"/>
      <c r="EDL465" s="156"/>
      <c r="EDM465" s="156"/>
      <c r="EDN465" s="156"/>
      <c r="EDO465" s="156"/>
      <c r="EDP465" s="156"/>
      <c r="EDQ465" s="156"/>
      <c r="EDR465" s="156"/>
      <c r="EDS465" s="156"/>
      <c r="EDT465" s="156"/>
      <c r="EDU465" s="156"/>
      <c r="EDV465" s="156"/>
      <c r="EDW465" s="156"/>
      <c r="EDX465" s="156"/>
      <c r="EDY465" s="156"/>
      <c r="EDZ465" s="156"/>
      <c r="EEA465" s="156"/>
      <c r="EEB465" s="156"/>
      <c r="EEC465" s="156"/>
      <c r="EED465" s="156"/>
      <c r="EEE465" s="156"/>
      <c r="EEF465" s="156"/>
      <c r="EEG465" s="156"/>
      <c r="EEH465" s="156"/>
      <c r="EEI465" s="156"/>
      <c r="EEJ465" s="156"/>
      <c r="EEK465" s="156"/>
      <c r="EEL465" s="156"/>
      <c r="EEM465" s="156"/>
      <c r="EEN465" s="156"/>
      <c r="EEO465" s="156"/>
      <c r="EEP465" s="156"/>
      <c r="EEQ465" s="156"/>
      <c r="EER465" s="156"/>
      <c r="EES465" s="156"/>
      <c r="EET465" s="156"/>
      <c r="EEU465" s="156"/>
      <c r="EEV465" s="156"/>
      <c r="EEW465" s="156"/>
      <c r="EEX465" s="156"/>
      <c r="EEY465" s="156"/>
      <c r="EEZ465" s="156"/>
      <c r="EFA465" s="156"/>
      <c r="EFB465" s="156"/>
      <c r="EFC465" s="156"/>
      <c r="EFD465" s="156"/>
      <c r="EFE465" s="156"/>
      <c r="EFF465" s="156"/>
      <c r="EFG465" s="156"/>
      <c r="EFH465" s="156"/>
      <c r="EFI465" s="156"/>
      <c r="EFJ465" s="156"/>
      <c r="EFK465" s="156"/>
      <c r="EFL465" s="156"/>
      <c r="EFM465" s="156"/>
      <c r="EFN465" s="156"/>
      <c r="EFO465" s="156"/>
      <c r="EFP465" s="156"/>
      <c r="EFQ465" s="156"/>
      <c r="EFR465" s="156"/>
      <c r="EFS465" s="156"/>
      <c r="EFT465" s="156"/>
      <c r="EFU465" s="156"/>
      <c r="EFV465" s="156"/>
      <c r="EFW465" s="156"/>
      <c r="EFX465" s="156"/>
      <c r="EFY465" s="156"/>
      <c r="EFZ465" s="156"/>
      <c r="EGA465" s="156"/>
      <c r="EGB465" s="156"/>
      <c r="EGC465" s="156"/>
      <c r="EGD465" s="156"/>
      <c r="EGE465" s="156"/>
      <c r="EGF465" s="156"/>
      <c r="EGG465" s="156"/>
      <c r="EGH465" s="156"/>
      <c r="EGI465" s="156"/>
      <c r="EGJ465" s="156"/>
      <c r="EGK465" s="156"/>
      <c r="EGL465" s="156"/>
      <c r="EGM465" s="156"/>
      <c r="EGN465" s="156"/>
      <c r="EGO465" s="156"/>
      <c r="EGP465" s="156"/>
      <c r="EGQ465" s="156"/>
      <c r="EGR465" s="156"/>
      <c r="EGS465" s="156"/>
      <c r="EGT465" s="156"/>
      <c r="EGU465" s="156"/>
      <c r="EGV465" s="156"/>
      <c r="EGW465" s="156"/>
      <c r="EGX465" s="156"/>
      <c r="EGY465" s="156"/>
      <c r="EGZ465" s="156"/>
      <c r="EHA465" s="156"/>
      <c r="EHB465" s="156"/>
      <c r="EHC465" s="156"/>
      <c r="EHD465" s="156"/>
      <c r="EHE465" s="156"/>
      <c r="EHF465" s="156"/>
      <c r="EHG465" s="156"/>
      <c r="EHH465" s="156"/>
      <c r="EHI465" s="156"/>
      <c r="EHJ465" s="156"/>
      <c r="EHK465" s="156"/>
      <c r="EHL465" s="156"/>
      <c r="EHM465" s="156"/>
      <c r="EHN465" s="156"/>
      <c r="EHO465" s="156"/>
      <c r="EHP465" s="156"/>
      <c r="EHQ465" s="156"/>
      <c r="EHR465" s="156"/>
      <c r="EHS465" s="156"/>
      <c r="EHT465" s="156"/>
      <c r="EHU465" s="156"/>
      <c r="EHV465" s="156"/>
      <c r="EHW465" s="156"/>
      <c r="EHX465" s="156"/>
      <c r="EHY465" s="156"/>
      <c r="EHZ465" s="156"/>
      <c r="EIA465" s="156"/>
      <c r="EIB465" s="156"/>
      <c r="EIC465" s="156"/>
      <c r="EID465" s="156"/>
      <c r="EIE465" s="156"/>
      <c r="EIF465" s="156"/>
      <c r="EIG465" s="156"/>
      <c r="EIH465" s="156"/>
      <c r="EII465" s="156"/>
      <c r="EIJ465" s="156"/>
      <c r="EIK465" s="156"/>
      <c r="EIL465" s="156"/>
      <c r="EIM465" s="156"/>
      <c r="EIN465" s="156"/>
      <c r="EIO465" s="156"/>
      <c r="EIP465" s="156"/>
      <c r="EIQ465" s="156"/>
      <c r="EIR465" s="156"/>
      <c r="EIS465" s="156"/>
      <c r="EIT465" s="156"/>
      <c r="EIU465" s="156"/>
      <c r="EIV465" s="156"/>
      <c r="EIW465" s="156"/>
      <c r="EIX465" s="156"/>
      <c r="EIY465" s="156"/>
      <c r="EIZ465" s="156"/>
      <c r="EJA465" s="156"/>
      <c r="EJB465" s="156"/>
      <c r="EJC465" s="156"/>
      <c r="EJD465" s="156"/>
      <c r="EJE465" s="156"/>
      <c r="EJF465" s="156"/>
      <c r="EJG465" s="156"/>
      <c r="EJH465" s="156"/>
      <c r="EJI465" s="156"/>
      <c r="EJJ465" s="156"/>
      <c r="EJK465" s="156"/>
      <c r="EJL465" s="156"/>
      <c r="EJM465" s="156"/>
      <c r="EJN465" s="156"/>
      <c r="EJO465" s="156"/>
      <c r="EJP465" s="156"/>
      <c r="EJQ465" s="156"/>
      <c r="EJR465" s="156"/>
      <c r="EJS465" s="156"/>
      <c r="EJT465" s="156"/>
      <c r="EJU465" s="156"/>
      <c r="EJV465" s="156"/>
      <c r="EJW465" s="156"/>
      <c r="EJX465" s="156"/>
      <c r="EJY465" s="156"/>
      <c r="EJZ465" s="156"/>
      <c r="EKA465" s="156"/>
      <c r="EKB465" s="156"/>
      <c r="EKC465" s="156"/>
      <c r="EKD465" s="156"/>
      <c r="EKE465" s="156"/>
      <c r="EKF465" s="156"/>
      <c r="EKG465" s="156"/>
      <c r="EKH465" s="156"/>
      <c r="EKI465" s="156"/>
      <c r="EKJ465" s="156"/>
      <c r="EKK465" s="156"/>
      <c r="EKL465" s="156"/>
      <c r="EKM465" s="156"/>
      <c r="EKN465" s="156"/>
      <c r="EKO465" s="156"/>
      <c r="EKP465" s="156"/>
      <c r="EKQ465" s="156"/>
      <c r="EKR465" s="156"/>
      <c r="EKS465" s="156"/>
      <c r="EKT465" s="156"/>
      <c r="EKU465" s="156"/>
      <c r="EKV465" s="156"/>
      <c r="EKW465" s="156"/>
      <c r="EKX465" s="156"/>
      <c r="EKY465" s="156"/>
      <c r="EKZ465" s="156"/>
      <c r="ELA465" s="156"/>
      <c r="ELB465" s="156"/>
      <c r="ELC465" s="156"/>
      <c r="ELD465" s="156"/>
      <c r="ELE465" s="156"/>
      <c r="ELF465" s="156"/>
      <c r="ELG465" s="156"/>
      <c r="ELH465" s="156"/>
      <c r="ELI465" s="156"/>
      <c r="ELJ465" s="156"/>
      <c r="ELK465" s="156"/>
      <c r="ELL465" s="156"/>
      <c r="ELM465" s="156"/>
      <c r="ELN465" s="156"/>
      <c r="ELO465" s="156"/>
      <c r="ELP465" s="156"/>
      <c r="ELQ465" s="156"/>
      <c r="ELR465" s="156"/>
      <c r="ELS465" s="156"/>
      <c r="ELT465" s="156"/>
      <c r="ELU465" s="156"/>
      <c r="ELV465" s="156"/>
      <c r="ELW465" s="156"/>
      <c r="ELX465" s="156"/>
      <c r="ELY465" s="156"/>
      <c r="ELZ465" s="156"/>
      <c r="EMA465" s="156"/>
      <c r="EMB465" s="156"/>
      <c r="EMC465" s="156"/>
      <c r="EMD465" s="156"/>
      <c r="EME465" s="156"/>
      <c r="EMF465" s="156"/>
      <c r="EMG465" s="156"/>
      <c r="EMH465" s="156"/>
      <c r="EMI465" s="156"/>
      <c r="EMJ465" s="156"/>
      <c r="EMK465" s="156"/>
      <c r="EML465" s="156"/>
      <c r="EMM465" s="156"/>
      <c r="EMN465" s="156"/>
      <c r="EMO465" s="156"/>
      <c r="EMP465" s="156"/>
      <c r="EMQ465" s="156"/>
      <c r="EMR465" s="156"/>
      <c r="EMS465" s="156"/>
      <c r="EMT465" s="156"/>
      <c r="EMU465" s="156"/>
      <c r="EMV465" s="156"/>
      <c r="EMW465" s="156"/>
      <c r="EMX465" s="156"/>
      <c r="EMY465" s="156"/>
      <c r="EMZ465" s="156"/>
      <c r="ENA465" s="156"/>
      <c r="ENB465" s="156"/>
      <c r="ENC465" s="156"/>
      <c r="END465" s="156"/>
      <c r="ENE465" s="156"/>
      <c r="ENF465" s="156"/>
      <c r="ENG465" s="156"/>
      <c r="ENH465" s="156"/>
      <c r="ENI465" s="156"/>
      <c r="ENJ465" s="156"/>
      <c r="ENK465" s="156"/>
      <c r="ENL465" s="156"/>
      <c r="ENM465" s="156"/>
      <c r="ENN465" s="156"/>
      <c r="ENO465" s="156"/>
      <c r="ENP465" s="156"/>
      <c r="ENQ465" s="156"/>
      <c r="ENR465" s="156"/>
      <c r="ENS465" s="156"/>
      <c r="ENT465" s="156"/>
      <c r="ENU465" s="156"/>
      <c r="ENV465" s="156"/>
      <c r="ENW465" s="156"/>
      <c r="ENX465" s="156"/>
      <c r="ENY465" s="156"/>
      <c r="ENZ465" s="156"/>
      <c r="EOA465" s="156"/>
      <c r="EOB465" s="156"/>
      <c r="EOC465" s="156"/>
      <c r="EOD465" s="156"/>
      <c r="EOE465" s="156"/>
      <c r="EOF465" s="156"/>
      <c r="EOG465" s="156"/>
      <c r="EOH465" s="156"/>
      <c r="EOI465" s="156"/>
      <c r="EOJ465" s="156"/>
      <c r="EOK465" s="156"/>
      <c r="EOL465" s="156"/>
      <c r="EOM465" s="156"/>
      <c r="EON465" s="156"/>
      <c r="EOO465" s="156"/>
      <c r="EOP465" s="156"/>
      <c r="EOQ465" s="156"/>
      <c r="EOR465" s="156"/>
      <c r="EOS465" s="156"/>
      <c r="EOT465" s="156"/>
      <c r="EOU465" s="156"/>
      <c r="EOV465" s="156"/>
      <c r="EOW465" s="156"/>
      <c r="EOX465" s="156"/>
      <c r="EOY465" s="156"/>
      <c r="EOZ465" s="156"/>
      <c r="EPA465" s="156"/>
      <c r="EPB465" s="156"/>
      <c r="EPC465" s="156"/>
      <c r="EPD465" s="156"/>
      <c r="EPE465" s="156"/>
      <c r="EPF465" s="156"/>
      <c r="EPG465" s="156"/>
      <c r="EPH465" s="156"/>
      <c r="EPI465" s="156"/>
      <c r="EPJ465" s="156"/>
      <c r="EPK465" s="156"/>
      <c r="EPL465" s="156"/>
      <c r="EPM465" s="156"/>
      <c r="EPN465" s="156"/>
      <c r="EPO465" s="156"/>
      <c r="EPP465" s="156"/>
      <c r="EPQ465" s="156"/>
      <c r="EPR465" s="156"/>
      <c r="EPS465" s="156"/>
      <c r="EPT465" s="156"/>
      <c r="EPU465" s="156"/>
      <c r="EPV465" s="156"/>
      <c r="EPW465" s="156"/>
      <c r="EPX465" s="156"/>
      <c r="EPY465" s="156"/>
      <c r="EPZ465" s="156"/>
      <c r="EQA465" s="156"/>
      <c r="EQB465" s="156"/>
      <c r="EQC465" s="156"/>
      <c r="EQD465" s="156"/>
      <c r="EQE465" s="156"/>
      <c r="EQF465" s="156"/>
      <c r="EQG465" s="156"/>
      <c r="EQH465" s="156"/>
      <c r="EQI465" s="156"/>
      <c r="EQJ465" s="156"/>
      <c r="EQK465" s="156"/>
      <c r="EQL465" s="156"/>
      <c r="EQM465" s="156"/>
      <c r="EQN465" s="156"/>
      <c r="EQO465" s="156"/>
      <c r="EQP465" s="156"/>
      <c r="EQQ465" s="156"/>
      <c r="EQR465" s="156"/>
      <c r="EQS465" s="156"/>
      <c r="EQT465" s="156"/>
      <c r="EQU465" s="156"/>
      <c r="EQV465" s="156"/>
      <c r="EQW465" s="156"/>
      <c r="EQX465" s="156"/>
      <c r="EQY465" s="156"/>
      <c r="EQZ465" s="156"/>
      <c r="ERA465" s="156"/>
      <c r="ERB465" s="156"/>
      <c r="ERC465" s="156"/>
      <c r="ERD465" s="156"/>
      <c r="ERE465" s="156"/>
      <c r="ERF465" s="156"/>
      <c r="ERG465" s="156"/>
      <c r="ERH465" s="156"/>
      <c r="ERI465" s="156"/>
      <c r="ERJ465" s="156"/>
      <c r="ERK465" s="156"/>
      <c r="ERL465" s="156"/>
      <c r="ERM465" s="156"/>
      <c r="ERN465" s="156"/>
      <c r="ERO465" s="156"/>
      <c r="ERP465" s="156"/>
      <c r="ERQ465" s="156"/>
      <c r="ERR465" s="156"/>
      <c r="ERS465" s="156"/>
      <c r="ERT465" s="156"/>
      <c r="ERU465" s="156"/>
      <c r="ERV465" s="156"/>
      <c r="ERW465" s="156"/>
      <c r="ERX465" s="156"/>
      <c r="ERY465" s="156"/>
      <c r="ERZ465" s="156"/>
      <c r="ESA465" s="156"/>
      <c r="ESB465" s="156"/>
      <c r="ESC465" s="156"/>
      <c r="ESD465" s="156"/>
      <c r="ESE465" s="156"/>
      <c r="ESF465" s="156"/>
      <c r="ESG465" s="156"/>
      <c r="ESH465" s="156"/>
      <c r="ESI465" s="156"/>
      <c r="ESJ465" s="156"/>
      <c r="ESK465" s="156"/>
      <c r="ESL465" s="156"/>
      <c r="ESM465" s="156"/>
      <c r="ESN465" s="156"/>
      <c r="ESO465" s="156"/>
      <c r="ESP465" s="156"/>
      <c r="ESQ465" s="156"/>
      <c r="ESR465" s="156"/>
      <c r="ESS465" s="156"/>
      <c r="EST465" s="156"/>
      <c r="ESU465" s="156"/>
      <c r="ESV465" s="156"/>
      <c r="ESW465" s="156"/>
      <c r="ESX465" s="156"/>
      <c r="ESY465" s="156"/>
      <c r="ESZ465" s="156"/>
      <c r="ETA465" s="156"/>
      <c r="ETB465" s="156"/>
      <c r="ETC465" s="156"/>
      <c r="ETD465" s="156"/>
      <c r="ETE465" s="156"/>
      <c r="ETF465" s="156"/>
      <c r="ETG465" s="156"/>
      <c r="ETH465" s="156"/>
      <c r="ETI465" s="156"/>
      <c r="ETJ465" s="156"/>
      <c r="ETK465" s="156"/>
      <c r="ETL465" s="156"/>
      <c r="ETM465" s="156"/>
      <c r="ETN465" s="156"/>
      <c r="ETO465" s="156"/>
      <c r="ETP465" s="156"/>
      <c r="ETQ465" s="156"/>
      <c r="ETR465" s="156"/>
      <c r="ETS465" s="156"/>
      <c r="ETT465" s="156"/>
      <c r="ETU465" s="156"/>
      <c r="ETV465" s="156"/>
      <c r="ETW465" s="156"/>
      <c r="ETX465" s="156"/>
      <c r="ETY465" s="156"/>
      <c r="ETZ465" s="156"/>
      <c r="EUA465" s="156"/>
      <c r="EUB465" s="156"/>
      <c r="EUC465" s="156"/>
      <c r="EUD465" s="156"/>
      <c r="EUE465" s="156"/>
      <c r="EUF465" s="156"/>
      <c r="EUG465" s="156"/>
      <c r="EUH465" s="156"/>
      <c r="EUI465" s="156"/>
      <c r="EUJ465" s="156"/>
      <c r="EUK465" s="156"/>
      <c r="EUL465" s="156"/>
      <c r="EUM465" s="156"/>
      <c r="EUN465" s="156"/>
      <c r="EUO465" s="156"/>
      <c r="EUP465" s="156"/>
      <c r="EUQ465" s="156"/>
      <c r="EUR465" s="156"/>
      <c r="EUS465" s="156"/>
      <c r="EUT465" s="156"/>
      <c r="EUU465" s="156"/>
      <c r="EUV465" s="156"/>
      <c r="EUW465" s="156"/>
      <c r="EUX465" s="156"/>
      <c r="EUY465" s="156"/>
      <c r="EUZ465" s="156"/>
      <c r="EVA465" s="156"/>
      <c r="EVB465" s="156"/>
      <c r="EVC465" s="156"/>
      <c r="EVD465" s="156"/>
      <c r="EVE465" s="156"/>
      <c r="EVF465" s="156"/>
      <c r="EVG465" s="156"/>
      <c r="EVH465" s="156"/>
      <c r="EVI465" s="156"/>
      <c r="EVJ465" s="156"/>
      <c r="EVK465" s="156"/>
      <c r="EVL465" s="156"/>
      <c r="EVM465" s="156"/>
      <c r="EVN465" s="156"/>
      <c r="EVO465" s="156"/>
      <c r="EVP465" s="156"/>
      <c r="EVQ465" s="156"/>
      <c r="EVR465" s="156"/>
      <c r="EVS465" s="156"/>
      <c r="EVT465" s="156"/>
      <c r="EVU465" s="156"/>
      <c r="EVV465" s="156"/>
      <c r="EVW465" s="156"/>
      <c r="EVX465" s="156"/>
      <c r="EVY465" s="156"/>
      <c r="EVZ465" s="156"/>
      <c r="EWA465" s="156"/>
      <c r="EWB465" s="156"/>
      <c r="EWC465" s="156"/>
      <c r="EWD465" s="156"/>
      <c r="EWE465" s="156"/>
      <c r="EWF465" s="156"/>
      <c r="EWG465" s="156"/>
      <c r="EWH465" s="156"/>
      <c r="EWI465" s="156"/>
      <c r="EWJ465" s="156"/>
      <c r="EWK465" s="156"/>
      <c r="EWL465" s="156"/>
      <c r="EWM465" s="156"/>
      <c r="EWN465" s="156"/>
      <c r="EWO465" s="156"/>
      <c r="EWP465" s="156"/>
      <c r="EWQ465" s="156"/>
      <c r="EWR465" s="156"/>
      <c r="EWS465" s="156"/>
      <c r="EWT465" s="156"/>
      <c r="EWU465" s="156"/>
      <c r="EWV465" s="156"/>
      <c r="EWW465" s="156"/>
      <c r="EWX465" s="156"/>
      <c r="EWY465" s="156"/>
      <c r="EWZ465" s="156"/>
      <c r="EXA465" s="156"/>
      <c r="EXB465" s="156"/>
      <c r="EXC465" s="156"/>
      <c r="EXD465" s="156"/>
      <c r="EXE465" s="156"/>
      <c r="EXF465" s="156"/>
      <c r="EXG465" s="156"/>
      <c r="EXH465" s="156"/>
      <c r="EXI465" s="156"/>
      <c r="EXJ465" s="156"/>
      <c r="EXK465" s="156"/>
      <c r="EXL465" s="156"/>
      <c r="EXM465" s="156"/>
      <c r="EXN465" s="156"/>
      <c r="EXO465" s="156"/>
      <c r="EXP465" s="156"/>
      <c r="EXQ465" s="156"/>
      <c r="EXR465" s="156"/>
      <c r="EXS465" s="156"/>
      <c r="EXT465" s="156"/>
      <c r="EXU465" s="156"/>
      <c r="EXV465" s="156"/>
      <c r="EXW465" s="156"/>
      <c r="EXX465" s="156"/>
      <c r="EXY465" s="156"/>
      <c r="EXZ465" s="156"/>
      <c r="EYA465" s="156"/>
      <c r="EYB465" s="156"/>
      <c r="EYC465" s="156"/>
      <c r="EYD465" s="156"/>
      <c r="EYE465" s="156"/>
      <c r="EYF465" s="156"/>
      <c r="EYG465" s="156"/>
      <c r="EYH465" s="156"/>
      <c r="EYI465" s="156"/>
      <c r="EYJ465" s="156"/>
      <c r="EYK465" s="156"/>
      <c r="EYL465" s="156"/>
      <c r="EYM465" s="156"/>
      <c r="EYN465" s="156"/>
      <c r="EYO465" s="156"/>
      <c r="EYP465" s="156"/>
      <c r="EYQ465" s="156"/>
      <c r="EYR465" s="156"/>
      <c r="EYS465" s="156"/>
      <c r="EYT465" s="156"/>
      <c r="EYU465" s="156"/>
      <c r="EYV465" s="156"/>
      <c r="EYW465" s="156"/>
      <c r="EYX465" s="156"/>
      <c r="EYY465" s="156"/>
      <c r="EYZ465" s="156"/>
      <c r="EZA465" s="156"/>
      <c r="EZB465" s="156"/>
      <c r="EZC465" s="156"/>
      <c r="EZD465" s="156"/>
      <c r="EZE465" s="156"/>
      <c r="EZF465" s="156"/>
      <c r="EZG465" s="156"/>
      <c r="EZH465" s="156"/>
      <c r="EZI465" s="156"/>
      <c r="EZJ465" s="156"/>
      <c r="EZK465" s="156"/>
      <c r="EZL465" s="156"/>
      <c r="EZM465" s="156"/>
      <c r="EZN465" s="156"/>
      <c r="EZO465" s="156"/>
      <c r="EZP465" s="156"/>
      <c r="EZQ465" s="156"/>
      <c r="EZR465" s="156"/>
      <c r="EZS465" s="156"/>
      <c r="EZT465" s="156"/>
      <c r="EZU465" s="156"/>
      <c r="EZV465" s="156"/>
      <c r="EZW465" s="156"/>
      <c r="EZX465" s="156"/>
      <c r="EZY465" s="156"/>
      <c r="EZZ465" s="156"/>
      <c r="FAA465" s="156"/>
      <c r="FAB465" s="156"/>
      <c r="FAC465" s="156"/>
      <c r="FAD465" s="156"/>
      <c r="FAE465" s="156"/>
      <c r="FAF465" s="156"/>
      <c r="FAG465" s="156"/>
      <c r="FAH465" s="156"/>
      <c r="FAI465" s="156"/>
      <c r="FAJ465" s="156"/>
      <c r="FAK465" s="156"/>
      <c r="FAL465" s="156"/>
      <c r="FAM465" s="156"/>
      <c r="FAN465" s="156"/>
      <c r="FAO465" s="156"/>
      <c r="FAP465" s="156"/>
      <c r="FAQ465" s="156"/>
      <c r="FAR465" s="156"/>
      <c r="FAS465" s="156"/>
      <c r="FAT465" s="156"/>
      <c r="FAU465" s="156"/>
      <c r="FAV465" s="156"/>
      <c r="FAW465" s="156"/>
      <c r="FAX465" s="156"/>
      <c r="FAY465" s="156"/>
      <c r="FAZ465" s="156"/>
      <c r="FBA465" s="156"/>
      <c r="FBB465" s="156"/>
      <c r="FBC465" s="156"/>
      <c r="FBD465" s="156"/>
      <c r="FBE465" s="156"/>
      <c r="FBF465" s="156"/>
      <c r="FBG465" s="156"/>
      <c r="FBH465" s="156"/>
      <c r="FBI465" s="156"/>
      <c r="FBJ465" s="156"/>
      <c r="FBK465" s="156"/>
      <c r="FBL465" s="156"/>
      <c r="FBM465" s="156"/>
      <c r="FBN465" s="156"/>
      <c r="FBO465" s="156"/>
      <c r="FBP465" s="156"/>
      <c r="FBQ465" s="156"/>
      <c r="FBR465" s="156"/>
      <c r="FBS465" s="156"/>
      <c r="FBT465" s="156"/>
      <c r="FBU465" s="156"/>
      <c r="FBV465" s="156"/>
      <c r="FBW465" s="156"/>
      <c r="FBX465" s="156"/>
      <c r="FBY465" s="156"/>
      <c r="FBZ465" s="156"/>
      <c r="FCA465" s="156"/>
      <c r="FCB465" s="156"/>
      <c r="FCC465" s="156"/>
      <c r="FCD465" s="156"/>
      <c r="FCE465" s="156"/>
      <c r="FCF465" s="156"/>
      <c r="FCG465" s="156"/>
      <c r="FCH465" s="156"/>
      <c r="FCI465" s="156"/>
      <c r="FCJ465" s="156"/>
      <c r="FCK465" s="156"/>
      <c r="FCL465" s="156"/>
      <c r="FCM465" s="156"/>
      <c r="FCN465" s="156"/>
      <c r="FCO465" s="156"/>
      <c r="FCP465" s="156"/>
      <c r="FCQ465" s="156"/>
      <c r="FCR465" s="156"/>
      <c r="FCS465" s="156"/>
      <c r="FCT465" s="156"/>
      <c r="FCU465" s="156"/>
      <c r="FCV465" s="156"/>
      <c r="FCW465" s="156"/>
      <c r="FCX465" s="156"/>
      <c r="FCY465" s="156"/>
      <c r="FCZ465" s="156"/>
      <c r="FDA465" s="156"/>
      <c r="FDB465" s="156"/>
      <c r="FDC465" s="156"/>
      <c r="FDD465" s="156"/>
      <c r="FDE465" s="156"/>
      <c r="FDF465" s="156"/>
      <c r="FDG465" s="156"/>
      <c r="FDH465" s="156"/>
      <c r="FDI465" s="156"/>
      <c r="FDJ465" s="156"/>
      <c r="FDK465" s="156"/>
      <c r="FDL465" s="156"/>
      <c r="FDM465" s="156"/>
      <c r="FDN465" s="156"/>
      <c r="FDO465" s="156"/>
      <c r="FDP465" s="156"/>
      <c r="FDQ465" s="156"/>
      <c r="FDR465" s="156"/>
      <c r="FDS465" s="156"/>
      <c r="FDT465" s="156"/>
      <c r="FDU465" s="156"/>
      <c r="FDV465" s="156"/>
      <c r="FDW465" s="156"/>
      <c r="FDX465" s="156"/>
      <c r="FDY465" s="156"/>
      <c r="FDZ465" s="156"/>
      <c r="FEA465" s="156"/>
      <c r="FEB465" s="156"/>
      <c r="FEC465" s="156"/>
      <c r="FED465" s="156"/>
      <c r="FEE465" s="156"/>
      <c r="FEF465" s="156"/>
      <c r="FEG465" s="156"/>
      <c r="FEH465" s="156"/>
      <c r="FEI465" s="156"/>
      <c r="FEJ465" s="156"/>
      <c r="FEK465" s="156"/>
      <c r="FEL465" s="156"/>
      <c r="FEM465" s="156"/>
      <c r="FEN465" s="156"/>
      <c r="FEO465" s="156"/>
      <c r="FEP465" s="156"/>
      <c r="FEQ465" s="156"/>
      <c r="FER465" s="156"/>
      <c r="FES465" s="156"/>
      <c r="FET465" s="156"/>
      <c r="FEU465" s="156"/>
      <c r="FEV465" s="156"/>
      <c r="FEW465" s="156"/>
      <c r="FEX465" s="156"/>
      <c r="FEY465" s="156"/>
      <c r="FEZ465" s="156"/>
      <c r="FFA465" s="156"/>
      <c r="FFB465" s="156"/>
      <c r="FFC465" s="156"/>
      <c r="FFD465" s="156"/>
      <c r="FFE465" s="156"/>
      <c r="FFF465" s="156"/>
      <c r="FFG465" s="156"/>
      <c r="FFH465" s="156"/>
      <c r="FFI465" s="156"/>
      <c r="FFJ465" s="156"/>
      <c r="FFK465" s="156"/>
      <c r="FFL465" s="156"/>
      <c r="FFM465" s="156"/>
      <c r="FFN465" s="156"/>
      <c r="FFO465" s="156"/>
      <c r="FFP465" s="156"/>
      <c r="FFQ465" s="156"/>
      <c r="FFR465" s="156"/>
      <c r="FFS465" s="156"/>
      <c r="FFT465" s="156"/>
      <c r="FFU465" s="156"/>
      <c r="FFV465" s="156"/>
      <c r="FFW465" s="156"/>
      <c r="FFX465" s="156"/>
      <c r="FFY465" s="156"/>
      <c r="FFZ465" s="156"/>
      <c r="FGA465" s="156"/>
      <c r="FGB465" s="156"/>
      <c r="FGC465" s="156"/>
      <c r="FGD465" s="156"/>
      <c r="FGE465" s="156"/>
      <c r="FGF465" s="156"/>
      <c r="FGG465" s="156"/>
      <c r="FGH465" s="156"/>
      <c r="FGI465" s="156"/>
      <c r="FGJ465" s="156"/>
      <c r="FGK465" s="156"/>
      <c r="FGL465" s="156"/>
      <c r="FGM465" s="156"/>
      <c r="FGN465" s="156"/>
      <c r="FGO465" s="156"/>
      <c r="FGP465" s="156"/>
      <c r="FGQ465" s="156"/>
      <c r="FGR465" s="156"/>
      <c r="FGS465" s="156"/>
      <c r="FGT465" s="156"/>
      <c r="FGU465" s="156"/>
      <c r="FGV465" s="156"/>
      <c r="FGW465" s="156"/>
      <c r="FGX465" s="156"/>
      <c r="FGY465" s="156"/>
      <c r="FGZ465" s="156"/>
      <c r="FHA465" s="156"/>
      <c r="FHB465" s="156"/>
      <c r="FHC465" s="156"/>
      <c r="FHD465" s="156"/>
      <c r="FHE465" s="156"/>
      <c r="FHF465" s="156"/>
      <c r="FHG465" s="156"/>
      <c r="FHH465" s="156"/>
      <c r="FHI465" s="156"/>
      <c r="FHJ465" s="156"/>
      <c r="FHK465" s="156"/>
      <c r="FHL465" s="156"/>
      <c r="FHM465" s="156"/>
      <c r="FHN465" s="156"/>
      <c r="FHO465" s="156"/>
      <c r="FHP465" s="156"/>
      <c r="FHQ465" s="156"/>
      <c r="FHR465" s="156"/>
      <c r="FHS465" s="156"/>
      <c r="FHT465" s="156"/>
      <c r="FHU465" s="156"/>
      <c r="FHV465" s="156"/>
      <c r="FHW465" s="156"/>
      <c r="FHX465" s="156"/>
      <c r="FHY465" s="156"/>
      <c r="FHZ465" s="156"/>
      <c r="FIA465" s="156"/>
      <c r="FIB465" s="156"/>
      <c r="FIC465" s="156"/>
      <c r="FID465" s="156"/>
      <c r="FIE465" s="156"/>
      <c r="FIF465" s="156"/>
      <c r="FIG465" s="156"/>
      <c r="FIH465" s="156"/>
      <c r="FII465" s="156"/>
      <c r="FIJ465" s="156"/>
      <c r="FIK465" s="156"/>
      <c r="FIL465" s="156"/>
      <c r="FIM465" s="156"/>
      <c r="FIN465" s="156"/>
      <c r="FIO465" s="156"/>
      <c r="FIP465" s="156"/>
      <c r="FIQ465" s="156"/>
      <c r="FIR465" s="156"/>
      <c r="FIS465" s="156"/>
      <c r="FIT465" s="156"/>
      <c r="FIU465" s="156"/>
      <c r="FIV465" s="156"/>
      <c r="FIW465" s="156"/>
      <c r="FIX465" s="156"/>
      <c r="FIY465" s="156"/>
      <c r="FIZ465" s="156"/>
      <c r="FJA465" s="156"/>
      <c r="FJB465" s="156"/>
      <c r="FJC465" s="156"/>
      <c r="FJD465" s="156"/>
      <c r="FJE465" s="156"/>
      <c r="FJF465" s="156"/>
      <c r="FJG465" s="156"/>
      <c r="FJH465" s="156"/>
      <c r="FJI465" s="156"/>
      <c r="FJJ465" s="156"/>
      <c r="FJK465" s="156"/>
      <c r="FJL465" s="156"/>
      <c r="FJM465" s="156"/>
      <c r="FJN465" s="156"/>
      <c r="FJO465" s="156"/>
      <c r="FJP465" s="156"/>
      <c r="FJQ465" s="156"/>
      <c r="FJR465" s="156"/>
      <c r="FJS465" s="156"/>
      <c r="FJT465" s="156"/>
      <c r="FJU465" s="156"/>
      <c r="FJV465" s="156"/>
      <c r="FJW465" s="156"/>
      <c r="FJX465" s="156"/>
      <c r="FJY465" s="156"/>
      <c r="FJZ465" s="156"/>
      <c r="FKA465" s="156"/>
      <c r="FKB465" s="156"/>
      <c r="FKC465" s="156"/>
      <c r="FKD465" s="156"/>
      <c r="FKE465" s="156"/>
      <c r="FKF465" s="156"/>
      <c r="FKG465" s="156"/>
      <c r="FKH465" s="156"/>
      <c r="FKI465" s="156"/>
      <c r="FKJ465" s="156"/>
      <c r="FKK465" s="156"/>
      <c r="FKL465" s="156"/>
      <c r="FKM465" s="156"/>
      <c r="FKN465" s="156"/>
      <c r="FKO465" s="156"/>
      <c r="FKP465" s="156"/>
      <c r="FKQ465" s="156"/>
      <c r="FKR465" s="156"/>
      <c r="FKS465" s="156"/>
      <c r="FKT465" s="156"/>
      <c r="FKU465" s="156"/>
      <c r="FKV465" s="156"/>
      <c r="FKW465" s="156"/>
      <c r="FKX465" s="156"/>
      <c r="FKY465" s="156"/>
      <c r="FKZ465" s="156"/>
      <c r="FLA465" s="156"/>
      <c r="FLB465" s="156"/>
      <c r="FLC465" s="156"/>
      <c r="FLD465" s="156"/>
      <c r="FLE465" s="156"/>
      <c r="FLF465" s="156"/>
      <c r="FLG465" s="156"/>
      <c r="FLH465" s="156"/>
      <c r="FLI465" s="156"/>
      <c r="FLJ465" s="156"/>
      <c r="FLK465" s="156"/>
      <c r="FLL465" s="156"/>
      <c r="FLM465" s="156"/>
      <c r="FLN465" s="156"/>
      <c r="FLO465" s="156"/>
      <c r="FLP465" s="156"/>
      <c r="FLQ465" s="156"/>
      <c r="FLR465" s="156"/>
      <c r="FLS465" s="156"/>
      <c r="FLT465" s="156"/>
      <c r="FLU465" s="156"/>
      <c r="FLV465" s="156"/>
      <c r="FLW465" s="156"/>
      <c r="FLX465" s="156"/>
      <c r="FLY465" s="156"/>
      <c r="FLZ465" s="156"/>
      <c r="FMA465" s="156"/>
      <c r="FMB465" s="156"/>
      <c r="FMC465" s="156"/>
      <c r="FMD465" s="156"/>
      <c r="FME465" s="156"/>
      <c r="FMF465" s="156"/>
      <c r="FMG465" s="156"/>
      <c r="FMH465" s="156"/>
      <c r="FMI465" s="156"/>
      <c r="FMJ465" s="156"/>
      <c r="FMK465" s="156"/>
      <c r="FML465" s="156"/>
      <c r="FMM465" s="156"/>
      <c r="FMN465" s="156"/>
      <c r="FMO465" s="156"/>
      <c r="FMP465" s="156"/>
      <c r="FMQ465" s="156"/>
      <c r="FMR465" s="156"/>
      <c r="FMS465" s="156"/>
      <c r="FMT465" s="156"/>
      <c r="FMU465" s="156"/>
      <c r="FMV465" s="156"/>
      <c r="FMW465" s="156"/>
      <c r="FMX465" s="156"/>
      <c r="FMY465" s="156"/>
      <c r="FMZ465" s="156"/>
      <c r="FNA465" s="156"/>
      <c r="FNB465" s="156"/>
      <c r="FNC465" s="156"/>
      <c r="FND465" s="156"/>
      <c r="FNE465" s="156"/>
      <c r="FNF465" s="156"/>
      <c r="FNG465" s="156"/>
      <c r="FNH465" s="156"/>
      <c r="FNI465" s="156"/>
      <c r="FNJ465" s="156"/>
      <c r="FNK465" s="156"/>
      <c r="FNL465" s="156"/>
      <c r="FNM465" s="156"/>
      <c r="FNN465" s="156"/>
      <c r="FNO465" s="156"/>
      <c r="FNP465" s="156"/>
      <c r="FNQ465" s="156"/>
      <c r="FNR465" s="156"/>
      <c r="FNS465" s="156"/>
      <c r="FNT465" s="156"/>
      <c r="FNU465" s="156"/>
      <c r="FNV465" s="156"/>
      <c r="FNW465" s="156"/>
      <c r="FNX465" s="156"/>
      <c r="FNY465" s="156"/>
      <c r="FNZ465" s="156"/>
      <c r="FOA465" s="156"/>
      <c r="FOB465" s="156"/>
      <c r="FOC465" s="156"/>
      <c r="FOD465" s="156"/>
      <c r="FOE465" s="156"/>
      <c r="FOF465" s="156"/>
      <c r="FOG465" s="156"/>
      <c r="FOH465" s="156"/>
      <c r="FOI465" s="156"/>
      <c r="FOJ465" s="156"/>
      <c r="FOK465" s="156"/>
      <c r="FOL465" s="156"/>
      <c r="FOM465" s="156"/>
      <c r="FON465" s="156"/>
      <c r="FOO465" s="156"/>
      <c r="FOP465" s="156"/>
      <c r="FOQ465" s="156"/>
      <c r="FOR465" s="156"/>
      <c r="FOS465" s="156"/>
      <c r="FOT465" s="156"/>
      <c r="FOU465" s="156"/>
      <c r="FOV465" s="156"/>
      <c r="FOW465" s="156"/>
      <c r="FOX465" s="156"/>
      <c r="FOY465" s="156"/>
      <c r="FOZ465" s="156"/>
      <c r="FPA465" s="156"/>
      <c r="FPB465" s="156"/>
      <c r="FPC465" s="156"/>
      <c r="FPD465" s="156"/>
      <c r="FPE465" s="156"/>
      <c r="FPF465" s="156"/>
      <c r="FPG465" s="156"/>
      <c r="FPH465" s="156"/>
      <c r="FPI465" s="156"/>
      <c r="FPJ465" s="156"/>
      <c r="FPK465" s="156"/>
      <c r="FPL465" s="156"/>
      <c r="FPM465" s="156"/>
      <c r="FPN465" s="156"/>
      <c r="FPO465" s="156"/>
      <c r="FPP465" s="156"/>
      <c r="FPQ465" s="156"/>
      <c r="FPR465" s="156"/>
      <c r="FPS465" s="156"/>
      <c r="FPT465" s="156"/>
      <c r="FPU465" s="156"/>
      <c r="FPV465" s="156"/>
      <c r="FPW465" s="156"/>
      <c r="FPX465" s="156"/>
      <c r="FPY465" s="156"/>
      <c r="FPZ465" s="156"/>
      <c r="FQA465" s="156"/>
      <c r="FQB465" s="156"/>
      <c r="FQC465" s="156"/>
      <c r="FQD465" s="156"/>
      <c r="FQE465" s="156"/>
      <c r="FQF465" s="156"/>
      <c r="FQG465" s="156"/>
      <c r="FQH465" s="156"/>
      <c r="FQI465" s="156"/>
      <c r="FQJ465" s="156"/>
      <c r="FQK465" s="156"/>
      <c r="FQL465" s="156"/>
      <c r="FQM465" s="156"/>
      <c r="FQN465" s="156"/>
      <c r="FQO465" s="156"/>
      <c r="FQP465" s="156"/>
      <c r="FQQ465" s="156"/>
      <c r="FQR465" s="156"/>
      <c r="FQS465" s="156"/>
      <c r="FQT465" s="156"/>
      <c r="FQU465" s="156"/>
      <c r="FQV465" s="156"/>
      <c r="FQW465" s="156"/>
      <c r="FQX465" s="156"/>
      <c r="FQY465" s="156"/>
      <c r="FQZ465" s="156"/>
      <c r="FRA465" s="156"/>
      <c r="FRB465" s="156"/>
      <c r="FRC465" s="156"/>
      <c r="FRD465" s="156"/>
      <c r="FRE465" s="156"/>
      <c r="FRF465" s="156"/>
      <c r="FRG465" s="156"/>
      <c r="FRH465" s="156"/>
      <c r="FRI465" s="156"/>
      <c r="FRJ465" s="156"/>
      <c r="FRK465" s="156"/>
      <c r="FRL465" s="156"/>
      <c r="FRM465" s="156"/>
      <c r="FRN465" s="156"/>
      <c r="FRO465" s="156"/>
      <c r="FRP465" s="156"/>
      <c r="FRQ465" s="156"/>
      <c r="FRR465" s="156"/>
      <c r="FRS465" s="156"/>
      <c r="FRT465" s="156"/>
      <c r="FRU465" s="156"/>
      <c r="FRV465" s="156"/>
      <c r="FRW465" s="156"/>
      <c r="FRX465" s="156"/>
      <c r="FRY465" s="156"/>
      <c r="FRZ465" s="156"/>
      <c r="FSA465" s="156"/>
      <c r="FSB465" s="156"/>
      <c r="FSC465" s="156"/>
      <c r="FSD465" s="156"/>
      <c r="FSE465" s="156"/>
      <c r="FSF465" s="156"/>
      <c r="FSG465" s="156"/>
      <c r="FSH465" s="156"/>
      <c r="FSI465" s="156"/>
      <c r="FSJ465" s="156"/>
      <c r="FSK465" s="156"/>
      <c r="FSL465" s="156"/>
      <c r="FSM465" s="156"/>
      <c r="FSN465" s="156"/>
      <c r="FSO465" s="156"/>
      <c r="FSP465" s="156"/>
      <c r="FSQ465" s="156"/>
      <c r="FSR465" s="156"/>
      <c r="FSS465" s="156"/>
      <c r="FST465" s="156"/>
      <c r="FSU465" s="156"/>
      <c r="FSV465" s="156"/>
      <c r="FSW465" s="156"/>
      <c r="FSX465" s="156"/>
      <c r="FSY465" s="156"/>
      <c r="FSZ465" s="156"/>
      <c r="FTA465" s="156"/>
      <c r="FTB465" s="156"/>
      <c r="FTC465" s="156"/>
      <c r="FTD465" s="156"/>
      <c r="FTE465" s="156"/>
      <c r="FTF465" s="156"/>
      <c r="FTG465" s="156"/>
      <c r="FTH465" s="156"/>
      <c r="FTI465" s="156"/>
      <c r="FTJ465" s="156"/>
      <c r="FTK465" s="156"/>
      <c r="FTL465" s="156"/>
      <c r="FTM465" s="156"/>
      <c r="FTN465" s="156"/>
      <c r="FTO465" s="156"/>
      <c r="FTP465" s="156"/>
      <c r="FTQ465" s="156"/>
      <c r="FTR465" s="156"/>
      <c r="FTS465" s="156"/>
      <c r="FTT465" s="156"/>
      <c r="FTU465" s="156"/>
      <c r="FTV465" s="156"/>
      <c r="FTW465" s="156"/>
      <c r="FTX465" s="156"/>
      <c r="FTY465" s="156"/>
      <c r="FTZ465" s="156"/>
      <c r="FUA465" s="156"/>
      <c r="FUB465" s="156"/>
      <c r="FUC465" s="156"/>
      <c r="FUD465" s="156"/>
      <c r="FUE465" s="156"/>
      <c r="FUF465" s="156"/>
      <c r="FUG465" s="156"/>
      <c r="FUH465" s="156"/>
      <c r="FUI465" s="156"/>
      <c r="FUJ465" s="156"/>
      <c r="FUK465" s="156"/>
      <c r="FUL465" s="156"/>
      <c r="FUM465" s="156"/>
      <c r="FUN465" s="156"/>
      <c r="FUO465" s="156"/>
      <c r="FUP465" s="156"/>
      <c r="FUQ465" s="156"/>
      <c r="FUR465" s="156"/>
      <c r="FUS465" s="156"/>
      <c r="FUT465" s="156"/>
      <c r="FUU465" s="156"/>
      <c r="FUV465" s="156"/>
      <c r="FUW465" s="156"/>
      <c r="FUX465" s="156"/>
      <c r="FUY465" s="156"/>
      <c r="FUZ465" s="156"/>
      <c r="FVA465" s="156"/>
      <c r="FVB465" s="156"/>
      <c r="FVC465" s="156"/>
      <c r="FVD465" s="156"/>
      <c r="FVE465" s="156"/>
      <c r="FVF465" s="156"/>
      <c r="FVG465" s="156"/>
      <c r="FVH465" s="156"/>
      <c r="FVI465" s="156"/>
      <c r="FVJ465" s="156"/>
      <c r="FVK465" s="156"/>
      <c r="FVL465" s="156"/>
      <c r="FVM465" s="156"/>
      <c r="FVN465" s="156"/>
      <c r="FVO465" s="156"/>
      <c r="FVP465" s="156"/>
      <c r="FVQ465" s="156"/>
      <c r="FVR465" s="156"/>
      <c r="FVS465" s="156"/>
      <c r="FVT465" s="156"/>
      <c r="FVU465" s="156"/>
      <c r="FVV465" s="156"/>
      <c r="FVW465" s="156"/>
      <c r="FVX465" s="156"/>
      <c r="FVY465" s="156"/>
      <c r="FVZ465" s="156"/>
      <c r="FWA465" s="156"/>
      <c r="FWB465" s="156"/>
      <c r="FWC465" s="156"/>
      <c r="FWD465" s="156"/>
      <c r="FWE465" s="156"/>
      <c r="FWF465" s="156"/>
      <c r="FWG465" s="156"/>
      <c r="FWH465" s="156"/>
      <c r="FWI465" s="156"/>
      <c r="FWJ465" s="156"/>
      <c r="FWK465" s="156"/>
      <c r="FWL465" s="156"/>
      <c r="FWM465" s="156"/>
      <c r="FWN465" s="156"/>
      <c r="FWO465" s="156"/>
      <c r="FWP465" s="156"/>
      <c r="FWQ465" s="156"/>
      <c r="FWR465" s="156"/>
      <c r="FWS465" s="156"/>
      <c r="FWT465" s="156"/>
      <c r="FWU465" s="156"/>
      <c r="FWV465" s="156"/>
      <c r="FWW465" s="156"/>
      <c r="FWX465" s="156"/>
      <c r="FWY465" s="156"/>
      <c r="FWZ465" s="156"/>
      <c r="FXA465" s="156"/>
      <c r="FXB465" s="156"/>
      <c r="FXC465" s="156"/>
      <c r="FXD465" s="156"/>
      <c r="FXE465" s="156"/>
      <c r="FXF465" s="156"/>
      <c r="FXG465" s="156"/>
      <c r="FXH465" s="156"/>
      <c r="FXI465" s="156"/>
      <c r="FXJ465" s="156"/>
      <c r="FXK465" s="156"/>
      <c r="FXL465" s="156"/>
      <c r="FXM465" s="156"/>
      <c r="FXN465" s="156"/>
      <c r="FXO465" s="156"/>
      <c r="FXP465" s="156"/>
      <c r="FXQ465" s="156"/>
      <c r="FXR465" s="156"/>
      <c r="FXS465" s="156"/>
      <c r="FXT465" s="156"/>
      <c r="FXU465" s="156"/>
      <c r="FXV465" s="156"/>
      <c r="FXW465" s="156"/>
      <c r="FXX465" s="156"/>
      <c r="FXY465" s="156"/>
      <c r="FXZ465" s="156"/>
      <c r="FYA465" s="156"/>
      <c r="FYB465" s="156"/>
      <c r="FYC465" s="156"/>
      <c r="FYD465" s="156"/>
      <c r="FYE465" s="156"/>
      <c r="FYF465" s="156"/>
      <c r="FYG465" s="156"/>
      <c r="FYH465" s="156"/>
      <c r="FYI465" s="156"/>
      <c r="FYJ465" s="156"/>
      <c r="FYK465" s="156"/>
      <c r="FYL465" s="156"/>
      <c r="FYM465" s="156"/>
      <c r="FYN465" s="156"/>
      <c r="FYO465" s="156"/>
      <c r="FYP465" s="156"/>
      <c r="FYQ465" s="156"/>
      <c r="FYR465" s="156"/>
      <c r="FYS465" s="156"/>
      <c r="FYT465" s="156"/>
      <c r="FYU465" s="156"/>
      <c r="FYV465" s="156"/>
      <c r="FYW465" s="156"/>
      <c r="FYX465" s="156"/>
      <c r="FYY465" s="156"/>
      <c r="FYZ465" s="156"/>
      <c r="FZA465" s="156"/>
      <c r="FZB465" s="156"/>
      <c r="FZC465" s="156"/>
      <c r="FZD465" s="156"/>
      <c r="FZE465" s="156"/>
      <c r="FZF465" s="156"/>
      <c r="FZG465" s="156"/>
      <c r="FZH465" s="156"/>
      <c r="FZI465" s="156"/>
      <c r="FZJ465" s="156"/>
      <c r="FZK465" s="156"/>
      <c r="FZL465" s="156"/>
      <c r="FZM465" s="156"/>
      <c r="FZN465" s="156"/>
      <c r="FZO465" s="156"/>
      <c r="FZP465" s="156"/>
      <c r="FZQ465" s="156"/>
      <c r="FZR465" s="156"/>
      <c r="FZS465" s="156"/>
      <c r="FZT465" s="156"/>
      <c r="FZU465" s="156"/>
      <c r="FZV465" s="156"/>
      <c r="FZW465" s="156"/>
      <c r="FZX465" s="156"/>
      <c r="FZY465" s="156"/>
      <c r="FZZ465" s="156"/>
      <c r="GAA465" s="156"/>
      <c r="GAB465" s="156"/>
      <c r="GAC465" s="156"/>
      <c r="GAD465" s="156"/>
      <c r="GAE465" s="156"/>
      <c r="GAF465" s="156"/>
      <c r="GAG465" s="156"/>
      <c r="GAH465" s="156"/>
      <c r="GAI465" s="156"/>
      <c r="GAJ465" s="156"/>
      <c r="GAK465" s="156"/>
      <c r="GAL465" s="156"/>
      <c r="GAM465" s="156"/>
      <c r="GAN465" s="156"/>
      <c r="GAO465" s="156"/>
      <c r="GAP465" s="156"/>
      <c r="GAQ465" s="156"/>
      <c r="GAR465" s="156"/>
      <c r="GAS465" s="156"/>
      <c r="GAT465" s="156"/>
      <c r="GAU465" s="156"/>
      <c r="GAV465" s="156"/>
      <c r="GAW465" s="156"/>
      <c r="GAX465" s="156"/>
      <c r="GAY465" s="156"/>
      <c r="GAZ465" s="156"/>
      <c r="GBA465" s="156"/>
      <c r="GBB465" s="156"/>
      <c r="GBC465" s="156"/>
      <c r="GBD465" s="156"/>
      <c r="GBE465" s="156"/>
      <c r="GBF465" s="156"/>
      <c r="GBG465" s="156"/>
      <c r="GBH465" s="156"/>
      <c r="GBI465" s="156"/>
      <c r="GBJ465" s="156"/>
      <c r="GBK465" s="156"/>
      <c r="GBL465" s="156"/>
      <c r="GBM465" s="156"/>
      <c r="GBN465" s="156"/>
      <c r="GBO465" s="156"/>
      <c r="GBP465" s="156"/>
      <c r="GBQ465" s="156"/>
      <c r="GBR465" s="156"/>
      <c r="GBS465" s="156"/>
      <c r="GBT465" s="156"/>
      <c r="GBU465" s="156"/>
      <c r="GBV465" s="156"/>
      <c r="GBW465" s="156"/>
      <c r="GBX465" s="156"/>
      <c r="GBY465" s="156"/>
      <c r="GBZ465" s="156"/>
      <c r="GCA465" s="156"/>
      <c r="GCB465" s="156"/>
      <c r="GCC465" s="156"/>
      <c r="GCD465" s="156"/>
      <c r="GCE465" s="156"/>
      <c r="GCF465" s="156"/>
      <c r="GCG465" s="156"/>
      <c r="GCH465" s="156"/>
      <c r="GCI465" s="156"/>
      <c r="GCJ465" s="156"/>
      <c r="GCK465" s="156"/>
      <c r="GCL465" s="156"/>
      <c r="GCM465" s="156"/>
      <c r="GCN465" s="156"/>
      <c r="GCO465" s="156"/>
      <c r="GCP465" s="156"/>
      <c r="GCQ465" s="156"/>
      <c r="GCR465" s="156"/>
      <c r="GCS465" s="156"/>
      <c r="GCT465" s="156"/>
      <c r="GCU465" s="156"/>
      <c r="GCV465" s="156"/>
      <c r="GCW465" s="156"/>
      <c r="GCX465" s="156"/>
      <c r="GCY465" s="156"/>
      <c r="GCZ465" s="156"/>
      <c r="GDA465" s="156"/>
      <c r="GDB465" s="156"/>
      <c r="GDC465" s="156"/>
      <c r="GDD465" s="156"/>
      <c r="GDE465" s="156"/>
      <c r="GDF465" s="156"/>
      <c r="GDG465" s="156"/>
      <c r="GDH465" s="156"/>
      <c r="GDI465" s="156"/>
      <c r="GDJ465" s="156"/>
      <c r="GDK465" s="156"/>
      <c r="GDL465" s="156"/>
      <c r="GDM465" s="156"/>
      <c r="GDN465" s="156"/>
      <c r="GDO465" s="156"/>
      <c r="GDP465" s="156"/>
      <c r="GDQ465" s="156"/>
      <c r="GDR465" s="156"/>
      <c r="GDS465" s="156"/>
      <c r="GDT465" s="156"/>
      <c r="GDU465" s="156"/>
      <c r="GDV465" s="156"/>
      <c r="GDW465" s="156"/>
      <c r="GDX465" s="156"/>
      <c r="GDY465" s="156"/>
      <c r="GDZ465" s="156"/>
      <c r="GEA465" s="156"/>
      <c r="GEB465" s="156"/>
      <c r="GEC465" s="156"/>
      <c r="GED465" s="156"/>
      <c r="GEE465" s="156"/>
      <c r="GEF465" s="156"/>
      <c r="GEG465" s="156"/>
      <c r="GEH465" s="156"/>
      <c r="GEI465" s="156"/>
      <c r="GEJ465" s="156"/>
      <c r="GEK465" s="156"/>
      <c r="GEL465" s="156"/>
      <c r="GEM465" s="156"/>
      <c r="GEN465" s="156"/>
      <c r="GEO465" s="156"/>
      <c r="GEP465" s="156"/>
      <c r="GEQ465" s="156"/>
      <c r="GER465" s="156"/>
      <c r="GES465" s="156"/>
      <c r="GET465" s="156"/>
      <c r="GEU465" s="156"/>
      <c r="GEV465" s="156"/>
      <c r="GEW465" s="156"/>
      <c r="GEX465" s="156"/>
      <c r="GEY465" s="156"/>
      <c r="GEZ465" s="156"/>
      <c r="GFA465" s="156"/>
      <c r="GFB465" s="156"/>
      <c r="GFC465" s="156"/>
      <c r="GFD465" s="156"/>
      <c r="GFE465" s="156"/>
      <c r="GFF465" s="156"/>
      <c r="GFG465" s="156"/>
      <c r="GFH465" s="156"/>
      <c r="GFI465" s="156"/>
      <c r="GFJ465" s="156"/>
      <c r="GFK465" s="156"/>
      <c r="GFL465" s="156"/>
      <c r="GFM465" s="156"/>
      <c r="GFN465" s="156"/>
      <c r="GFO465" s="156"/>
      <c r="GFP465" s="156"/>
      <c r="GFQ465" s="156"/>
      <c r="GFR465" s="156"/>
      <c r="GFS465" s="156"/>
      <c r="GFT465" s="156"/>
      <c r="GFU465" s="156"/>
      <c r="GFV465" s="156"/>
      <c r="GFW465" s="156"/>
      <c r="GFX465" s="156"/>
      <c r="GFY465" s="156"/>
      <c r="GFZ465" s="156"/>
      <c r="GGA465" s="156"/>
      <c r="GGB465" s="156"/>
      <c r="GGC465" s="156"/>
      <c r="GGD465" s="156"/>
      <c r="GGE465" s="156"/>
      <c r="GGF465" s="156"/>
      <c r="GGG465" s="156"/>
      <c r="GGH465" s="156"/>
      <c r="GGI465" s="156"/>
      <c r="GGJ465" s="156"/>
      <c r="GGK465" s="156"/>
      <c r="GGL465" s="156"/>
      <c r="GGM465" s="156"/>
      <c r="GGN465" s="156"/>
      <c r="GGO465" s="156"/>
      <c r="GGP465" s="156"/>
      <c r="GGQ465" s="156"/>
      <c r="GGR465" s="156"/>
      <c r="GGS465" s="156"/>
      <c r="GGT465" s="156"/>
      <c r="GGU465" s="156"/>
      <c r="GGV465" s="156"/>
      <c r="GGW465" s="156"/>
      <c r="GGX465" s="156"/>
      <c r="GGY465" s="156"/>
      <c r="GGZ465" s="156"/>
      <c r="GHA465" s="156"/>
      <c r="GHB465" s="156"/>
      <c r="GHC465" s="156"/>
      <c r="GHD465" s="156"/>
      <c r="GHE465" s="156"/>
      <c r="GHF465" s="156"/>
      <c r="GHG465" s="156"/>
      <c r="GHH465" s="156"/>
      <c r="GHI465" s="156"/>
      <c r="GHJ465" s="156"/>
      <c r="GHK465" s="156"/>
      <c r="GHL465" s="156"/>
      <c r="GHM465" s="156"/>
      <c r="GHN465" s="156"/>
      <c r="GHO465" s="156"/>
      <c r="GHP465" s="156"/>
      <c r="GHQ465" s="156"/>
      <c r="GHR465" s="156"/>
      <c r="GHS465" s="156"/>
      <c r="GHT465" s="156"/>
      <c r="GHU465" s="156"/>
      <c r="GHV465" s="156"/>
      <c r="GHW465" s="156"/>
      <c r="GHX465" s="156"/>
      <c r="GHY465" s="156"/>
      <c r="GHZ465" s="156"/>
      <c r="GIA465" s="156"/>
      <c r="GIB465" s="156"/>
      <c r="GIC465" s="156"/>
      <c r="GID465" s="156"/>
      <c r="GIE465" s="156"/>
      <c r="GIF465" s="156"/>
      <c r="GIG465" s="156"/>
      <c r="GIH465" s="156"/>
      <c r="GII465" s="156"/>
      <c r="GIJ465" s="156"/>
      <c r="GIK465" s="156"/>
      <c r="GIL465" s="156"/>
      <c r="GIM465" s="156"/>
      <c r="GIN465" s="156"/>
      <c r="GIO465" s="156"/>
      <c r="GIP465" s="156"/>
      <c r="GIQ465" s="156"/>
      <c r="GIR465" s="156"/>
      <c r="GIS465" s="156"/>
      <c r="GIT465" s="156"/>
      <c r="GIU465" s="156"/>
      <c r="GIV465" s="156"/>
      <c r="GIW465" s="156"/>
      <c r="GIX465" s="156"/>
      <c r="GIY465" s="156"/>
      <c r="GIZ465" s="156"/>
      <c r="GJA465" s="156"/>
      <c r="GJB465" s="156"/>
      <c r="GJC465" s="156"/>
      <c r="GJD465" s="156"/>
      <c r="GJE465" s="156"/>
      <c r="GJF465" s="156"/>
      <c r="GJG465" s="156"/>
      <c r="GJH465" s="156"/>
      <c r="GJI465" s="156"/>
      <c r="GJJ465" s="156"/>
      <c r="GJK465" s="156"/>
      <c r="GJL465" s="156"/>
      <c r="GJM465" s="156"/>
      <c r="GJN465" s="156"/>
      <c r="GJO465" s="156"/>
      <c r="GJP465" s="156"/>
      <c r="GJQ465" s="156"/>
      <c r="GJR465" s="156"/>
      <c r="GJS465" s="156"/>
      <c r="GJT465" s="156"/>
      <c r="GJU465" s="156"/>
      <c r="GJV465" s="156"/>
      <c r="GJW465" s="156"/>
      <c r="GJX465" s="156"/>
      <c r="GJY465" s="156"/>
      <c r="GJZ465" s="156"/>
      <c r="GKA465" s="156"/>
      <c r="GKB465" s="156"/>
      <c r="GKC465" s="156"/>
      <c r="GKD465" s="156"/>
      <c r="GKE465" s="156"/>
      <c r="GKF465" s="156"/>
      <c r="GKG465" s="156"/>
      <c r="GKH465" s="156"/>
      <c r="GKI465" s="156"/>
      <c r="GKJ465" s="156"/>
      <c r="GKK465" s="156"/>
      <c r="GKL465" s="156"/>
      <c r="GKM465" s="156"/>
      <c r="GKN465" s="156"/>
      <c r="GKO465" s="156"/>
      <c r="GKP465" s="156"/>
      <c r="GKQ465" s="156"/>
      <c r="GKR465" s="156"/>
      <c r="GKS465" s="156"/>
      <c r="GKT465" s="156"/>
      <c r="GKU465" s="156"/>
      <c r="GKV465" s="156"/>
      <c r="GKW465" s="156"/>
      <c r="GKX465" s="156"/>
      <c r="GKY465" s="156"/>
      <c r="GKZ465" s="156"/>
      <c r="GLA465" s="156"/>
      <c r="GLB465" s="156"/>
      <c r="GLC465" s="156"/>
      <c r="GLD465" s="156"/>
      <c r="GLE465" s="156"/>
      <c r="GLF465" s="156"/>
      <c r="GLG465" s="156"/>
      <c r="GLH465" s="156"/>
      <c r="GLI465" s="156"/>
      <c r="GLJ465" s="156"/>
      <c r="GLK465" s="156"/>
      <c r="GLL465" s="156"/>
      <c r="GLM465" s="156"/>
      <c r="GLN465" s="156"/>
      <c r="GLO465" s="156"/>
      <c r="GLP465" s="156"/>
      <c r="GLQ465" s="156"/>
      <c r="GLR465" s="156"/>
      <c r="GLS465" s="156"/>
      <c r="GLT465" s="156"/>
      <c r="GLU465" s="156"/>
      <c r="GLV465" s="156"/>
      <c r="GLW465" s="156"/>
      <c r="GLX465" s="156"/>
      <c r="GLY465" s="156"/>
      <c r="GLZ465" s="156"/>
      <c r="GMA465" s="156"/>
      <c r="GMB465" s="156"/>
      <c r="GMC465" s="156"/>
      <c r="GMD465" s="156"/>
      <c r="GME465" s="156"/>
      <c r="GMF465" s="156"/>
      <c r="GMG465" s="156"/>
      <c r="GMH465" s="156"/>
      <c r="GMI465" s="156"/>
      <c r="GMJ465" s="156"/>
      <c r="GMK465" s="156"/>
      <c r="GML465" s="156"/>
      <c r="GMM465" s="156"/>
      <c r="GMN465" s="156"/>
      <c r="GMO465" s="156"/>
      <c r="GMP465" s="156"/>
      <c r="GMQ465" s="156"/>
      <c r="GMR465" s="156"/>
      <c r="GMS465" s="156"/>
      <c r="GMT465" s="156"/>
      <c r="GMU465" s="156"/>
      <c r="GMV465" s="156"/>
      <c r="GMW465" s="156"/>
      <c r="GMX465" s="156"/>
      <c r="GMY465" s="156"/>
      <c r="GMZ465" s="156"/>
      <c r="GNA465" s="156"/>
      <c r="GNB465" s="156"/>
      <c r="GNC465" s="156"/>
      <c r="GND465" s="156"/>
      <c r="GNE465" s="156"/>
      <c r="GNF465" s="156"/>
      <c r="GNG465" s="156"/>
      <c r="GNH465" s="156"/>
      <c r="GNI465" s="156"/>
      <c r="GNJ465" s="156"/>
      <c r="GNK465" s="156"/>
      <c r="GNL465" s="156"/>
      <c r="GNM465" s="156"/>
      <c r="GNN465" s="156"/>
      <c r="GNO465" s="156"/>
      <c r="GNP465" s="156"/>
      <c r="GNQ465" s="156"/>
      <c r="GNR465" s="156"/>
      <c r="GNS465" s="156"/>
      <c r="GNT465" s="156"/>
      <c r="GNU465" s="156"/>
      <c r="GNV465" s="156"/>
      <c r="GNW465" s="156"/>
      <c r="GNX465" s="156"/>
      <c r="GNY465" s="156"/>
      <c r="GNZ465" s="156"/>
      <c r="GOA465" s="156"/>
      <c r="GOB465" s="156"/>
      <c r="GOC465" s="156"/>
      <c r="GOD465" s="156"/>
      <c r="GOE465" s="156"/>
      <c r="GOF465" s="156"/>
      <c r="GOG465" s="156"/>
      <c r="GOH465" s="156"/>
      <c r="GOI465" s="156"/>
      <c r="GOJ465" s="156"/>
      <c r="GOK465" s="156"/>
      <c r="GOL465" s="156"/>
      <c r="GOM465" s="156"/>
      <c r="GON465" s="156"/>
      <c r="GOO465" s="156"/>
      <c r="GOP465" s="156"/>
      <c r="GOQ465" s="156"/>
      <c r="GOR465" s="156"/>
      <c r="GOS465" s="156"/>
      <c r="GOT465" s="156"/>
      <c r="GOU465" s="156"/>
      <c r="GOV465" s="156"/>
      <c r="GOW465" s="156"/>
      <c r="GOX465" s="156"/>
      <c r="GOY465" s="156"/>
      <c r="GOZ465" s="156"/>
      <c r="GPA465" s="156"/>
      <c r="GPB465" s="156"/>
      <c r="GPC465" s="156"/>
      <c r="GPD465" s="156"/>
      <c r="GPE465" s="156"/>
      <c r="GPF465" s="156"/>
      <c r="GPG465" s="156"/>
      <c r="GPH465" s="156"/>
      <c r="GPI465" s="156"/>
      <c r="GPJ465" s="156"/>
      <c r="GPK465" s="156"/>
      <c r="GPL465" s="156"/>
      <c r="GPM465" s="156"/>
      <c r="GPN465" s="156"/>
      <c r="GPO465" s="156"/>
      <c r="GPP465" s="156"/>
      <c r="GPQ465" s="156"/>
      <c r="GPR465" s="156"/>
      <c r="GPS465" s="156"/>
      <c r="GPT465" s="156"/>
      <c r="GPU465" s="156"/>
      <c r="GPV465" s="156"/>
      <c r="GPW465" s="156"/>
      <c r="GPX465" s="156"/>
      <c r="GPY465" s="156"/>
      <c r="GPZ465" s="156"/>
      <c r="GQA465" s="156"/>
      <c r="GQB465" s="156"/>
      <c r="GQC465" s="156"/>
      <c r="GQD465" s="156"/>
      <c r="GQE465" s="156"/>
      <c r="GQF465" s="156"/>
      <c r="GQG465" s="156"/>
      <c r="GQH465" s="156"/>
      <c r="GQI465" s="156"/>
      <c r="GQJ465" s="156"/>
      <c r="GQK465" s="156"/>
      <c r="GQL465" s="156"/>
      <c r="GQM465" s="156"/>
      <c r="GQN465" s="156"/>
      <c r="GQO465" s="156"/>
      <c r="GQP465" s="156"/>
      <c r="GQQ465" s="156"/>
      <c r="GQR465" s="156"/>
      <c r="GQS465" s="156"/>
      <c r="GQT465" s="156"/>
      <c r="GQU465" s="156"/>
      <c r="GQV465" s="156"/>
      <c r="GQW465" s="156"/>
      <c r="GQX465" s="156"/>
      <c r="GQY465" s="156"/>
      <c r="GQZ465" s="156"/>
      <c r="GRA465" s="156"/>
      <c r="GRB465" s="156"/>
      <c r="GRC465" s="156"/>
      <c r="GRD465" s="156"/>
      <c r="GRE465" s="156"/>
      <c r="GRF465" s="156"/>
      <c r="GRG465" s="156"/>
      <c r="GRH465" s="156"/>
      <c r="GRI465" s="156"/>
      <c r="GRJ465" s="156"/>
      <c r="GRK465" s="156"/>
      <c r="GRL465" s="156"/>
      <c r="GRM465" s="156"/>
      <c r="GRN465" s="156"/>
      <c r="GRO465" s="156"/>
      <c r="GRP465" s="156"/>
      <c r="GRQ465" s="156"/>
      <c r="GRR465" s="156"/>
      <c r="GRS465" s="156"/>
      <c r="GRT465" s="156"/>
      <c r="GRU465" s="156"/>
      <c r="GRV465" s="156"/>
      <c r="GRW465" s="156"/>
      <c r="GRX465" s="156"/>
      <c r="GRY465" s="156"/>
      <c r="GRZ465" s="156"/>
      <c r="GSA465" s="156"/>
      <c r="GSB465" s="156"/>
      <c r="GSC465" s="156"/>
      <c r="GSD465" s="156"/>
      <c r="GSE465" s="156"/>
      <c r="GSF465" s="156"/>
      <c r="GSG465" s="156"/>
      <c r="GSH465" s="156"/>
      <c r="GSI465" s="156"/>
      <c r="GSJ465" s="156"/>
      <c r="GSK465" s="156"/>
      <c r="GSL465" s="156"/>
      <c r="GSM465" s="156"/>
      <c r="GSN465" s="156"/>
      <c r="GSO465" s="156"/>
      <c r="GSP465" s="156"/>
      <c r="GSQ465" s="156"/>
      <c r="GSR465" s="156"/>
      <c r="GSS465" s="156"/>
      <c r="GST465" s="156"/>
      <c r="GSU465" s="156"/>
      <c r="GSV465" s="156"/>
      <c r="GSW465" s="156"/>
      <c r="GSX465" s="156"/>
      <c r="GSY465" s="156"/>
      <c r="GSZ465" s="156"/>
      <c r="GTA465" s="156"/>
      <c r="GTB465" s="156"/>
      <c r="GTC465" s="156"/>
      <c r="GTD465" s="156"/>
      <c r="GTE465" s="156"/>
      <c r="GTF465" s="156"/>
      <c r="GTG465" s="156"/>
      <c r="GTH465" s="156"/>
      <c r="GTI465" s="156"/>
      <c r="GTJ465" s="156"/>
      <c r="GTK465" s="156"/>
      <c r="GTL465" s="156"/>
      <c r="GTM465" s="156"/>
      <c r="GTN465" s="156"/>
      <c r="GTO465" s="156"/>
      <c r="GTP465" s="156"/>
      <c r="GTQ465" s="156"/>
      <c r="GTR465" s="156"/>
      <c r="GTS465" s="156"/>
      <c r="GTT465" s="156"/>
      <c r="GTU465" s="156"/>
      <c r="GTV465" s="156"/>
      <c r="GTW465" s="156"/>
      <c r="GTX465" s="156"/>
      <c r="GTY465" s="156"/>
      <c r="GTZ465" s="156"/>
      <c r="GUA465" s="156"/>
      <c r="GUB465" s="156"/>
      <c r="GUC465" s="156"/>
      <c r="GUD465" s="156"/>
      <c r="GUE465" s="156"/>
      <c r="GUF465" s="156"/>
      <c r="GUG465" s="156"/>
      <c r="GUH465" s="156"/>
      <c r="GUI465" s="156"/>
      <c r="GUJ465" s="156"/>
      <c r="GUK465" s="156"/>
      <c r="GUL465" s="156"/>
      <c r="GUM465" s="156"/>
      <c r="GUN465" s="156"/>
      <c r="GUO465" s="156"/>
      <c r="GUP465" s="156"/>
      <c r="GUQ465" s="156"/>
      <c r="GUR465" s="156"/>
      <c r="GUS465" s="156"/>
      <c r="GUT465" s="156"/>
      <c r="GUU465" s="156"/>
      <c r="GUV465" s="156"/>
      <c r="GUW465" s="156"/>
      <c r="GUX465" s="156"/>
      <c r="GUY465" s="156"/>
      <c r="GUZ465" s="156"/>
      <c r="GVA465" s="156"/>
      <c r="GVB465" s="156"/>
      <c r="GVC465" s="156"/>
      <c r="GVD465" s="156"/>
      <c r="GVE465" s="156"/>
      <c r="GVF465" s="156"/>
      <c r="GVG465" s="156"/>
      <c r="GVH465" s="156"/>
      <c r="GVI465" s="156"/>
      <c r="GVJ465" s="156"/>
      <c r="GVK465" s="156"/>
      <c r="GVL465" s="156"/>
      <c r="GVM465" s="156"/>
      <c r="GVN465" s="156"/>
      <c r="GVO465" s="156"/>
      <c r="GVP465" s="156"/>
      <c r="GVQ465" s="156"/>
      <c r="GVR465" s="156"/>
      <c r="GVS465" s="156"/>
      <c r="GVT465" s="156"/>
      <c r="GVU465" s="156"/>
      <c r="GVV465" s="156"/>
      <c r="GVW465" s="156"/>
      <c r="GVX465" s="156"/>
      <c r="GVY465" s="156"/>
      <c r="GVZ465" s="156"/>
      <c r="GWA465" s="156"/>
      <c r="GWB465" s="156"/>
      <c r="GWC465" s="156"/>
      <c r="GWD465" s="156"/>
      <c r="GWE465" s="156"/>
      <c r="GWF465" s="156"/>
      <c r="GWG465" s="156"/>
      <c r="GWH465" s="156"/>
      <c r="GWI465" s="156"/>
      <c r="GWJ465" s="156"/>
      <c r="GWK465" s="156"/>
      <c r="GWL465" s="156"/>
      <c r="GWM465" s="156"/>
      <c r="GWN465" s="156"/>
      <c r="GWO465" s="156"/>
      <c r="GWP465" s="156"/>
      <c r="GWQ465" s="156"/>
      <c r="GWR465" s="156"/>
      <c r="GWS465" s="156"/>
      <c r="GWT465" s="156"/>
      <c r="GWU465" s="156"/>
      <c r="GWV465" s="156"/>
      <c r="GWW465" s="156"/>
      <c r="GWX465" s="156"/>
      <c r="GWY465" s="156"/>
      <c r="GWZ465" s="156"/>
      <c r="GXA465" s="156"/>
      <c r="GXB465" s="156"/>
      <c r="GXC465" s="156"/>
      <c r="GXD465" s="156"/>
      <c r="GXE465" s="156"/>
      <c r="GXF465" s="156"/>
      <c r="GXG465" s="156"/>
      <c r="GXH465" s="156"/>
      <c r="GXI465" s="156"/>
      <c r="GXJ465" s="156"/>
      <c r="GXK465" s="156"/>
      <c r="GXL465" s="156"/>
      <c r="GXM465" s="156"/>
      <c r="GXN465" s="156"/>
      <c r="GXO465" s="156"/>
      <c r="GXP465" s="156"/>
      <c r="GXQ465" s="156"/>
      <c r="GXR465" s="156"/>
      <c r="GXS465" s="156"/>
      <c r="GXT465" s="156"/>
      <c r="GXU465" s="156"/>
      <c r="GXV465" s="156"/>
      <c r="GXW465" s="156"/>
      <c r="GXX465" s="156"/>
      <c r="GXY465" s="156"/>
      <c r="GXZ465" s="156"/>
      <c r="GYA465" s="156"/>
      <c r="GYB465" s="156"/>
      <c r="GYC465" s="156"/>
      <c r="GYD465" s="156"/>
      <c r="GYE465" s="156"/>
      <c r="GYF465" s="156"/>
      <c r="GYG465" s="156"/>
      <c r="GYH465" s="156"/>
      <c r="GYI465" s="156"/>
      <c r="GYJ465" s="156"/>
      <c r="GYK465" s="156"/>
      <c r="GYL465" s="156"/>
      <c r="GYM465" s="156"/>
      <c r="GYN465" s="156"/>
      <c r="GYO465" s="156"/>
      <c r="GYP465" s="156"/>
      <c r="GYQ465" s="156"/>
      <c r="GYR465" s="156"/>
      <c r="GYS465" s="156"/>
      <c r="GYT465" s="156"/>
      <c r="GYU465" s="156"/>
      <c r="GYV465" s="156"/>
      <c r="GYW465" s="156"/>
      <c r="GYX465" s="156"/>
      <c r="GYY465" s="156"/>
      <c r="GYZ465" s="156"/>
      <c r="GZA465" s="156"/>
      <c r="GZB465" s="156"/>
      <c r="GZC465" s="156"/>
      <c r="GZD465" s="156"/>
      <c r="GZE465" s="156"/>
      <c r="GZF465" s="156"/>
      <c r="GZG465" s="156"/>
      <c r="GZH465" s="156"/>
      <c r="GZI465" s="156"/>
      <c r="GZJ465" s="156"/>
      <c r="GZK465" s="156"/>
      <c r="GZL465" s="156"/>
      <c r="GZM465" s="156"/>
      <c r="GZN465" s="156"/>
      <c r="GZO465" s="156"/>
      <c r="GZP465" s="156"/>
      <c r="GZQ465" s="156"/>
      <c r="GZR465" s="156"/>
      <c r="GZS465" s="156"/>
      <c r="GZT465" s="156"/>
      <c r="GZU465" s="156"/>
      <c r="GZV465" s="156"/>
      <c r="GZW465" s="156"/>
      <c r="GZX465" s="156"/>
      <c r="GZY465" s="156"/>
      <c r="GZZ465" s="156"/>
      <c r="HAA465" s="156"/>
      <c r="HAB465" s="156"/>
      <c r="HAC465" s="156"/>
      <c r="HAD465" s="156"/>
      <c r="HAE465" s="156"/>
      <c r="HAF465" s="156"/>
      <c r="HAG465" s="156"/>
      <c r="HAH465" s="156"/>
      <c r="HAI465" s="156"/>
      <c r="HAJ465" s="156"/>
      <c r="HAK465" s="156"/>
      <c r="HAL465" s="156"/>
      <c r="HAM465" s="156"/>
      <c r="HAN465" s="156"/>
      <c r="HAO465" s="156"/>
      <c r="HAP465" s="156"/>
      <c r="HAQ465" s="156"/>
      <c r="HAR465" s="156"/>
      <c r="HAS465" s="156"/>
      <c r="HAT465" s="156"/>
      <c r="HAU465" s="156"/>
      <c r="HAV465" s="156"/>
      <c r="HAW465" s="156"/>
      <c r="HAX465" s="156"/>
      <c r="HAY465" s="156"/>
      <c r="HAZ465" s="156"/>
      <c r="HBA465" s="156"/>
      <c r="HBB465" s="156"/>
      <c r="HBC465" s="156"/>
      <c r="HBD465" s="156"/>
      <c r="HBE465" s="156"/>
      <c r="HBF465" s="156"/>
      <c r="HBG465" s="156"/>
      <c r="HBH465" s="156"/>
      <c r="HBI465" s="156"/>
      <c r="HBJ465" s="156"/>
      <c r="HBK465" s="156"/>
      <c r="HBL465" s="156"/>
      <c r="HBM465" s="156"/>
      <c r="HBN465" s="156"/>
      <c r="HBO465" s="156"/>
      <c r="HBP465" s="156"/>
      <c r="HBQ465" s="156"/>
      <c r="HBR465" s="156"/>
      <c r="HBS465" s="156"/>
      <c r="HBT465" s="156"/>
      <c r="HBU465" s="156"/>
      <c r="HBV465" s="156"/>
      <c r="HBW465" s="156"/>
      <c r="HBX465" s="156"/>
      <c r="HBY465" s="156"/>
      <c r="HBZ465" s="156"/>
      <c r="HCA465" s="156"/>
      <c r="HCB465" s="156"/>
      <c r="HCC465" s="156"/>
      <c r="HCD465" s="156"/>
      <c r="HCE465" s="156"/>
      <c r="HCF465" s="156"/>
      <c r="HCG465" s="156"/>
      <c r="HCH465" s="156"/>
      <c r="HCI465" s="156"/>
      <c r="HCJ465" s="156"/>
      <c r="HCK465" s="156"/>
      <c r="HCL465" s="156"/>
      <c r="HCM465" s="156"/>
      <c r="HCN465" s="156"/>
      <c r="HCO465" s="156"/>
      <c r="HCP465" s="156"/>
      <c r="HCQ465" s="156"/>
      <c r="HCR465" s="156"/>
      <c r="HCS465" s="156"/>
      <c r="HCT465" s="156"/>
      <c r="HCU465" s="156"/>
      <c r="HCV465" s="156"/>
      <c r="HCW465" s="156"/>
      <c r="HCX465" s="156"/>
      <c r="HCY465" s="156"/>
      <c r="HCZ465" s="156"/>
      <c r="HDA465" s="156"/>
      <c r="HDB465" s="156"/>
      <c r="HDC465" s="156"/>
      <c r="HDD465" s="156"/>
      <c r="HDE465" s="156"/>
      <c r="HDF465" s="156"/>
      <c r="HDG465" s="156"/>
      <c r="HDH465" s="156"/>
      <c r="HDI465" s="156"/>
      <c r="HDJ465" s="156"/>
      <c r="HDK465" s="156"/>
      <c r="HDL465" s="156"/>
      <c r="HDM465" s="156"/>
      <c r="HDN465" s="156"/>
      <c r="HDO465" s="156"/>
      <c r="HDP465" s="156"/>
      <c r="HDQ465" s="156"/>
      <c r="HDR465" s="156"/>
      <c r="HDS465" s="156"/>
      <c r="HDT465" s="156"/>
      <c r="HDU465" s="156"/>
      <c r="HDV465" s="156"/>
      <c r="HDW465" s="156"/>
      <c r="HDX465" s="156"/>
      <c r="HDY465" s="156"/>
      <c r="HDZ465" s="156"/>
      <c r="HEA465" s="156"/>
      <c r="HEB465" s="156"/>
      <c r="HEC465" s="156"/>
      <c r="HED465" s="156"/>
      <c r="HEE465" s="156"/>
      <c r="HEF465" s="156"/>
      <c r="HEG465" s="156"/>
      <c r="HEH465" s="156"/>
      <c r="HEI465" s="156"/>
      <c r="HEJ465" s="156"/>
      <c r="HEK465" s="156"/>
      <c r="HEL465" s="156"/>
      <c r="HEM465" s="156"/>
      <c r="HEN465" s="156"/>
      <c r="HEO465" s="156"/>
      <c r="HEP465" s="156"/>
      <c r="HEQ465" s="156"/>
      <c r="HER465" s="156"/>
      <c r="HES465" s="156"/>
      <c r="HET465" s="156"/>
      <c r="HEU465" s="156"/>
      <c r="HEV465" s="156"/>
      <c r="HEW465" s="156"/>
      <c r="HEX465" s="156"/>
      <c r="HEY465" s="156"/>
      <c r="HEZ465" s="156"/>
      <c r="HFA465" s="156"/>
      <c r="HFB465" s="156"/>
      <c r="HFC465" s="156"/>
      <c r="HFD465" s="156"/>
      <c r="HFE465" s="156"/>
      <c r="HFF465" s="156"/>
      <c r="HFG465" s="156"/>
      <c r="HFH465" s="156"/>
      <c r="HFI465" s="156"/>
      <c r="HFJ465" s="156"/>
      <c r="HFK465" s="156"/>
      <c r="HFL465" s="156"/>
      <c r="HFM465" s="156"/>
      <c r="HFN465" s="156"/>
      <c r="HFO465" s="156"/>
      <c r="HFP465" s="156"/>
      <c r="HFQ465" s="156"/>
      <c r="HFR465" s="156"/>
      <c r="HFS465" s="156"/>
      <c r="HFT465" s="156"/>
      <c r="HFU465" s="156"/>
      <c r="HFV465" s="156"/>
      <c r="HFW465" s="156"/>
      <c r="HFX465" s="156"/>
      <c r="HFY465" s="156"/>
      <c r="HFZ465" s="156"/>
      <c r="HGA465" s="156"/>
      <c r="HGB465" s="156"/>
      <c r="HGC465" s="156"/>
      <c r="HGD465" s="156"/>
      <c r="HGE465" s="156"/>
      <c r="HGF465" s="156"/>
      <c r="HGG465" s="156"/>
      <c r="HGH465" s="156"/>
      <c r="HGI465" s="156"/>
      <c r="HGJ465" s="156"/>
      <c r="HGK465" s="156"/>
      <c r="HGL465" s="156"/>
      <c r="HGM465" s="156"/>
      <c r="HGN465" s="156"/>
      <c r="HGO465" s="156"/>
      <c r="HGP465" s="156"/>
      <c r="HGQ465" s="156"/>
      <c r="HGR465" s="156"/>
      <c r="HGS465" s="156"/>
      <c r="HGT465" s="156"/>
      <c r="HGU465" s="156"/>
      <c r="HGV465" s="156"/>
      <c r="HGW465" s="156"/>
      <c r="HGX465" s="156"/>
      <c r="HGY465" s="156"/>
      <c r="HGZ465" s="156"/>
      <c r="HHA465" s="156"/>
      <c r="HHB465" s="156"/>
      <c r="HHC465" s="156"/>
      <c r="HHD465" s="156"/>
      <c r="HHE465" s="156"/>
      <c r="HHF465" s="156"/>
      <c r="HHG465" s="156"/>
      <c r="HHH465" s="156"/>
      <c r="HHI465" s="156"/>
      <c r="HHJ465" s="156"/>
      <c r="HHK465" s="156"/>
      <c r="HHL465" s="156"/>
      <c r="HHM465" s="156"/>
      <c r="HHN465" s="156"/>
      <c r="HHO465" s="156"/>
      <c r="HHP465" s="156"/>
      <c r="HHQ465" s="156"/>
      <c r="HHR465" s="156"/>
      <c r="HHS465" s="156"/>
      <c r="HHT465" s="156"/>
      <c r="HHU465" s="156"/>
      <c r="HHV465" s="156"/>
      <c r="HHW465" s="156"/>
      <c r="HHX465" s="156"/>
      <c r="HHY465" s="156"/>
      <c r="HHZ465" s="156"/>
      <c r="HIA465" s="156"/>
      <c r="HIB465" s="156"/>
      <c r="HIC465" s="156"/>
      <c r="HID465" s="156"/>
      <c r="HIE465" s="156"/>
      <c r="HIF465" s="156"/>
      <c r="HIG465" s="156"/>
      <c r="HIH465" s="156"/>
      <c r="HII465" s="156"/>
      <c r="HIJ465" s="156"/>
      <c r="HIK465" s="156"/>
      <c r="HIL465" s="156"/>
      <c r="HIM465" s="156"/>
      <c r="HIN465" s="156"/>
      <c r="HIO465" s="156"/>
      <c r="HIP465" s="156"/>
      <c r="HIQ465" s="156"/>
      <c r="HIR465" s="156"/>
      <c r="HIS465" s="156"/>
      <c r="HIT465" s="156"/>
      <c r="HIU465" s="156"/>
      <c r="HIV465" s="156"/>
      <c r="HIW465" s="156"/>
      <c r="HIX465" s="156"/>
      <c r="HIY465" s="156"/>
      <c r="HIZ465" s="156"/>
      <c r="HJA465" s="156"/>
      <c r="HJB465" s="156"/>
      <c r="HJC465" s="156"/>
      <c r="HJD465" s="156"/>
      <c r="HJE465" s="156"/>
      <c r="HJF465" s="156"/>
      <c r="HJG465" s="156"/>
      <c r="HJH465" s="156"/>
      <c r="HJI465" s="156"/>
      <c r="HJJ465" s="156"/>
      <c r="HJK465" s="156"/>
      <c r="HJL465" s="156"/>
      <c r="HJM465" s="156"/>
      <c r="HJN465" s="156"/>
      <c r="HJO465" s="156"/>
      <c r="HJP465" s="156"/>
      <c r="HJQ465" s="156"/>
      <c r="HJR465" s="156"/>
      <c r="HJS465" s="156"/>
      <c r="HJT465" s="156"/>
      <c r="HJU465" s="156"/>
      <c r="HJV465" s="156"/>
      <c r="HJW465" s="156"/>
      <c r="HJX465" s="156"/>
      <c r="HJY465" s="156"/>
      <c r="HJZ465" s="156"/>
      <c r="HKA465" s="156"/>
      <c r="HKB465" s="156"/>
      <c r="HKC465" s="156"/>
      <c r="HKD465" s="156"/>
      <c r="HKE465" s="156"/>
      <c r="HKF465" s="156"/>
      <c r="HKG465" s="156"/>
      <c r="HKH465" s="156"/>
      <c r="HKI465" s="156"/>
      <c r="HKJ465" s="156"/>
      <c r="HKK465" s="156"/>
      <c r="HKL465" s="156"/>
      <c r="HKM465" s="156"/>
      <c r="HKN465" s="156"/>
      <c r="HKO465" s="156"/>
      <c r="HKP465" s="156"/>
      <c r="HKQ465" s="156"/>
      <c r="HKR465" s="156"/>
      <c r="HKS465" s="156"/>
      <c r="HKT465" s="156"/>
      <c r="HKU465" s="156"/>
      <c r="HKV465" s="156"/>
      <c r="HKW465" s="156"/>
      <c r="HKX465" s="156"/>
      <c r="HKY465" s="156"/>
      <c r="HKZ465" s="156"/>
      <c r="HLA465" s="156"/>
      <c r="HLB465" s="156"/>
      <c r="HLC465" s="156"/>
      <c r="HLD465" s="156"/>
      <c r="HLE465" s="156"/>
      <c r="HLF465" s="156"/>
      <c r="HLG465" s="156"/>
      <c r="HLH465" s="156"/>
      <c r="HLI465" s="156"/>
      <c r="HLJ465" s="156"/>
      <c r="HLK465" s="156"/>
      <c r="HLL465" s="156"/>
      <c r="HLM465" s="156"/>
      <c r="HLN465" s="156"/>
      <c r="HLO465" s="156"/>
      <c r="HLP465" s="156"/>
      <c r="HLQ465" s="156"/>
      <c r="HLR465" s="156"/>
      <c r="HLS465" s="156"/>
      <c r="HLT465" s="156"/>
      <c r="HLU465" s="156"/>
      <c r="HLV465" s="156"/>
      <c r="HLW465" s="156"/>
      <c r="HLX465" s="156"/>
      <c r="HLY465" s="156"/>
      <c r="HLZ465" s="156"/>
      <c r="HMA465" s="156"/>
      <c r="HMB465" s="156"/>
      <c r="HMC465" s="156"/>
      <c r="HMD465" s="156"/>
      <c r="HME465" s="156"/>
      <c r="HMF465" s="156"/>
      <c r="HMG465" s="156"/>
      <c r="HMH465" s="156"/>
      <c r="HMI465" s="156"/>
      <c r="HMJ465" s="156"/>
      <c r="HMK465" s="156"/>
      <c r="HML465" s="156"/>
      <c r="HMM465" s="156"/>
      <c r="HMN465" s="156"/>
      <c r="HMO465" s="156"/>
      <c r="HMP465" s="156"/>
      <c r="HMQ465" s="156"/>
      <c r="HMR465" s="156"/>
      <c r="HMS465" s="156"/>
      <c r="HMT465" s="156"/>
      <c r="HMU465" s="156"/>
      <c r="HMV465" s="156"/>
      <c r="HMW465" s="156"/>
      <c r="HMX465" s="156"/>
      <c r="HMY465" s="156"/>
      <c r="HMZ465" s="156"/>
      <c r="HNA465" s="156"/>
      <c r="HNB465" s="156"/>
      <c r="HNC465" s="156"/>
      <c r="HND465" s="156"/>
      <c r="HNE465" s="156"/>
      <c r="HNF465" s="156"/>
      <c r="HNG465" s="156"/>
      <c r="HNH465" s="156"/>
      <c r="HNI465" s="156"/>
      <c r="HNJ465" s="156"/>
      <c r="HNK465" s="156"/>
      <c r="HNL465" s="156"/>
      <c r="HNM465" s="156"/>
      <c r="HNN465" s="156"/>
      <c r="HNO465" s="156"/>
      <c r="HNP465" s="156"/>
      <c r="HNQ465" s="156"/>
      <c r="HNR465" s="156"/>
      <c r="HNS465" s="156"/>
      <c r="HNT465" s="156"/>
      <c r="HNU465" s="156"/>
      <c r="HNV465" s="156"/>
      <c r="HNW465" s="156"/>
      <c r="HNX465" s="156"/>
      <c r="HNY465" s="156"/>
      <c r="HNZ465" s="156"/>
      <c r="HOA465" s="156"/>
      <c r="HOB465" s="156"/>
      <c r="HOC465" s="156"/>
      <c r="HOD465" s="156"/>
      <c r="HOE465" s="156"/>
      <c r="HOF465" s="156"/>
      <c r="HOG465" s="156"/>
      <c r="HOH465" s="156"/>
      <c r="HOI465" s="156"/>
      <c r="HOJ465" s="156"/>
      <c r="HOK465" s="156"/>
      <c r="HOL465" s="156"/>
      <c r="HOM465" s="156"/>
      <c r="HON465" s="156"/>
      <c r="HOO465" s="156"/>
      <c r="HOP465" s="156"/>
      <c r="HOQ465" s="156"/>
      <c r="HOR465" s="156"/>
      <c r="HOS465" s="156"/>
      <c r="HOT465" s="156"/>
      <c r="HOU465" s="156"/>
      <c r="HOV465" s="156"/>
      <c r="HOW465" s="156"/>
      <c r="HOX465" s="156"/>
      <c r="HOY465" s="156"/>
      <c r="HOZ465" s="156"/>
      <c r="HPA465" s="156"/>
      <c r="HPB465" s="156"/>
      <c r="HPC465" s="156"/>
      <c r="HPD465" s="156"/>
      <c r="HPE465" s="156"/>
      <c r="HPF465" s="156"/>
      <c r="HPG465" s="156"/>
      <c r="HPH465" s="156"/>
      <c r="HPI465" s="156"/>
      <c r="HPJ465" s="156"/>
      <c r="HPK465" s="156"/>
      <c r="HPL465" s="156"/>
      <c r="HPM465" s="156"/>
      <c r="HPN465" s="156"/>
      <c r="HPO465" s="156"/>
      <c r="HPP465" s="156"/>
      <c r="HPQ465" s="156"/>
      <c r="HPR465" s="156"/>
      <c r="HPS465" s="156"/>
      <c r="HPT465" s="156"/>
      <c r="HPU465" s="156"/>
      <c r="HPV465" s="156"/>
      <c r="HPW465" s="156"/>
      <c r="HPX465" s="156"/>
      <c r="HPY465" s="156"/>
      <c r="HPZ465" s="156"/>
      <c r="HQA465" s="156"/>
      <c r="HQB465" s="156"/>
      <c r="HQC465" s="156"/>
      <c r="HQD465" s="156"/>
      <c r="HQE465" s="156"/>
      <c r="HQF465" s="156"/>
      <c r="HQG465" s="156"/>
      <c r="HQH465" s="156"/>
      <c r="HQI465" s="156"/>
      <c r="HQJ465" s="156"/>
      <c r="HQK465" s="156"/>
      <c r="HQL465" s="156"/>
      <c r="HQM465" s="156"/>
      <c r="HQN465" s="156"/>
      <c r="HQO465" s="156"/>
      <c r="HQP465" s="156"/>
      <c r="HQQ465" s="156"/>
      <c r="HQR465" s="156"/>
      <c r="HQS465" s="156"/>
      <c r="HQT465" s="156"/>
      <c r="HQU465" s="156"/>
      <c r="HQV465" s="156"/>
      <c r="HQW465" s="156"/>
      <c r="HQX465" s="156"/>
      <c r="HQY465" s="156"/>
      <c r="HQZ465" s="156"/>
      <c r="HRA465" s="156"/>
      <c r="HRB465" s="156"/>
      <c r="HRC465" s="156"/>
      <c r="HRD465" s="156"/>
      <c r="HRE465" s="156"/>
      <c r="HRF465" s="156"/>
      <c r="HRG465" s="156"/>
      <c r="HRH465" s="156"/>
      <c r="HRI465" s="156"/>
      <c r="HRJ465" s="156"/>
      <c r="HRK465" s="156"/>
      <c r="HRL465" s="156"/>
      <c r="HRM465" s="156"/>
      <c r="HRN465" s="156"/>
      <c r="HRO465" s="156"/>
      <c r="HRP465" s="156"/>
      <c r="HRQ465" s="156"/>
      <c r="HRR465" s="156"/>
      <c r="HRS465" s="156"/>
      <c r="HRT465" s="156"/>
      <c r="HRU465" s="156"/>
      <c r="HRV465" s="156"/>
      <c r="HRW465" s="156"/>
      <c r="HRX465" s="156"/>
      <c r="HRY465" s="156"/>
      <c r="HRZ465" s="156"/>
      <c r="HSA465" s="156"/>
      <c r="HSB465" s="156"/>
      <c r="HSC465" s="156"/>
      <c r="HSD465" s="156"/>
      <c r="HSE465" s="156"/>
      <c r="HSF465" s="156"/>
      <c r="HSG465" s="156"/>
      <c r="HSH465" s="156"/>
      <c r="HSI465" s="156"/>
      <c r="HSJ465" s="156"/>
      <c r="HSK465" s="156"/>
      <c r="HSL465" s="156"/>
      <c r="HSM465" s="156"/>
      <c r="HSN465" s="156"/>
      <c r="HSO465" s="156"/>
      <c r="HSP465" s="156"/>
      <c r="HSQ465" s="156"/>
      <c r="HSR465" s="156"/>
      <c r="HSS465" s="156"/>
      <c r="HST465" s="156"/>
      <c r="HSU465" s="156"/>
      <c r="HSV465" s="156"/>
      <c r="HSW465" s="156"/>
      <c r="HSX465" s="156"/>
      <c r="HSY465" s="156"/>
      <c r="HSZ465" s="156"/>
      <c r="HTA465" s="156"/>
      <c r="HTB465" s="156"/>
      <c r="HTC465" s="156"/>
      <c r="HTD465" s="156"/>
      <c r="HTE465" s="156"/>
      <c r="HTF465" s="156"/>
      <c r="HTG465" s="156"/>
      <c r="HTH465" s="156"/>
      <c r="HTI465" s="156"/>
      <c r="HTJ465" s="156"/>
      <c r="HTK465" s="156"/>
      <c r="HTL465" s="156"/>
      <c r="HTM465" s="156"/>
      <c r="HTN465" s="156"/>
      <c r="HTO465" s="156"/>
      <c r="HTP465" s="156"/>
      <c r="HTQ465" s="156"/>
      <c r="HTR465" s="156"/>
      <c r="HTS465" s="156"/>
      <c r="HTT465" s="156"/>
      <c r="HTU465" s="156"/>
      <c r="HTV465" s="156"/>
      <c r="HTW465" s="156"/>
      <c r="HTX465" s="156"/>
      <c r="HTY465" s="156"/>
      <c r="HTZ465" s="156"/>
      <c r="HUA465" s="156"/>
      <c r="HUB465" s="156"/>
      <c r="HUC465" s="156"/>
      <c r="HUD465" s="156"/>
      <c r="HUE465" s="156"/>
      <c r="HUF465" s="156"/>
      <c r="HUG465" s="156"/>
      <c r="HUH465" s="156"/>
      <c r="HUI465" s="156"/>
      <c r="HUJ465" s="156"/>
      <c r="HUK465" s="156"/>
      <c r="HUL465" s="156"/>
      <c r="HUM465" s="156"/>
      <c r="HUN465" s="156"/>
      <c r="HUO465" s="156"/>
      <c r="HUP465" s="156"/>
      <c r="HUQ465" s="156"/>
      <c r="HUR465" s="156"/>
      <c r="HUS465" s="156"/>
      <c r="HUT465" s="156"/>
      <c r="HUU465" s="156"/>
      <c r="HUV465" s="156"/>
      <c r="HUW465" s="156"/>
      <c r="HUX465" s="156"/>
      <c r="HUY465" s="156"/>
      <c r="HUZ465" s="156"/>
      <c r="HVA465" s="156"/>
      <c r="HVB465" s="156"/>
      <c r="HVC465" s="156"/>
      <c r="HVD465" s="156"/>
      <c r="HVE465" s="156"/>
      <c r="HVF465" s="156"/>
      <c r="HVG465" s="156"/>
      <c r="HVH465" s="156"/>
      <c r="HVI465" s="156"/>
      <c r="HVJ465" s="156"/>
      <c r="HVK465" s="156"/>
      <c r="HVL465" s="156"/>
      <c r="HVM465" s="156"/>
      <c r="HVN465" s="156"/>
      <c r="HVO465" s="156"/>
      <c r="HVP465" s="156"/>
      <c r="HVQ465" s="156"/>
      <c r="HVR465" s="156"/>
      <c r="HVS465" s="156"/>
      <c r="HVT465" s="156"/>
      <c r="HVU465" s="156"/>
      <c r="HVV465" s="156"/>
      <c r="HVW465" s="156"/>
      <c r="HVX465" s="156"/>
      <c r="HVY465" s="156"/>
      <c r="HVZ465" s="156"/>
      <c r="HWA465" s="156"/>
      <c r="HWB465" s="156"/>
      <c r="HWC465" s="156"/>
      <c r="HWD465" s="156"/>
      <c r="HWE465" s="156"/>
      <c r="HWF465" s="156"/>
      <c r="HWG465" s="156"/>
      <c r="HWH465" s="156"/>
      <c r="HWI465" s="156"/>
      <c r="HWJ465" s="156"/>
      <c r="HWK465" s="156"/>
      <c r="HWL465" s="156"/>
      <c r="HWM465" s="156"/>
      <c r="HWN465" s="156"/>
      <c r="HWO465" s="156"/>
      <c r="HWP465" s="156"/>
      <c r="HWQ465" s="156"/>
      <c r="HWR465" s="156"/>
      <c r="HWS465" s="156"/>
      <c r="HWT465" s="156"/>
      <c r="HWU465" s="156"/>
      <c r="HWV465" s="156"/>
      <c r="HWW465" s="156"/>
      <c r="HWX465" s="156"/>
      <c r="HWY465" s="156"/>
      <c r="HWZ465" s="156"/>
      <c r="HXA465" s="156"/>
      <c r="HXB465" s="156"/>
      <c r="HXC465" s="156"/>
      <c r="HXD465" s="156"/>
      <c r="HXE465" s="156"/>
      <c r="HXF465" s="156"/>
      <c r="HXG465" s="156"/>
      <c r="HXH465" s="156"/>
      <c r="HXI465" s="156"/>
      <c r="HXJ465" s="156"/>
      <c r="HXK465" s="156"/>
      <c r="HXL465" s="156"/>
      <c r="HXM465" s="156"/>
      <c r="HXN465" s="156"/>
      <c r="HXO465" s="156"/>
      <c r="HXP465" s="156"/>
      <c r="HXQ465" s="156"/>
      <c r="HXR465" s="156"/>
      <c r="HXS465" s="156"/>
      <c r="HXT465" s="156"/>
      <c r="HXU465" s="156"/>
      <c r="HXV465" s="156"/>
      <c r="HXW465" s="156"/>
      <c r="HXX465" s="156"/>
      <c r="HXY465" s="156"/>
      <c r="HXZ465" s="156"/>
      <c r="HYA465" s="156"/>
      <c r="HYB465" s="156"/>
      <c r="HYC465" s="156"/>
      <c r="HYD465" s="156"/>
      <c r="HYE465" s="156"/>
      <c r="HYF465" s="156"/>
      <c r="HYG465" s="156"/>
      <c r="HYH465" s="156"/>
      <c r="HYI465" s="156"/>
      <c r="HYJ465" s="156"/>
      <c r="HYK465" s="156"/>
      <c r="HYL465" s="156"/>
      <c r="HYM465" s="156"/>
      <c r="HYN465" s="156"/>
      <c r="HYO465" s="156"/>
      <c r="HYP465" s="156"/>
      <c r="HYQ465" s="156"/>
      <c r="HYR465" s="156"/>
      <c r="HYS465" s="156"/>
      <c r="HYT465" s="156"/>
      <c r="HYU465" s="156"/>
      <c r="HYV465" s="156"/>
      <c r="HYW465" s="156"/>
      <c r="HYX465" s="156"/>
      <c r="HYY465" s="156"/>
      <c r="HYZ465" s="156"/>
      <c r="HZA465" s="156"/>
      <c r="HZB465" s="156"/>
      <c r="HZC465" s="156"/>
      <c r="HZD465" s="156"/>
      <c r="HZE465" s="156"/>
      <c r="HZF465" s="156"/>
      <c r="HZG465" s="156"/>
      <c r="HZH465" s="156"/>
      <c r="HZI465" s="156"/>
      <c r="HZJ465" s="156"/>
      <c r="HZK465" s="156"/>
      <c r="HZL465" s="156"/>
      <c r="HZM465" s="156"/>
      <c r="HZN465" s="156"/>
      <c r="HZO465" s="156"/>
      <c r="HZP465" s="156"/>
      <c r="HZQ465" s="156"/>
      <c r="HZR465" s="156"/>
      <c r="HZS465" s="156"/>
      <c r="HZT465" s="156"/>
      <c r="HZU465" s="156"/>
      <c r="HZV465" s="156"/>
      <c r="HZW465" s="156"/>
      <c r="HZX465" s="156"/>
      <c r="HZY465" s="156"/>
      <c r="HZZ465" s="156"/>
      <c r="IAA465" s="156"/>
      <c r="IAB465" s="156"/>
      <c r="IAC465" s="156"/>
      <c r="IAD465" s="156"/>
      <c r="IAE465" s="156"/>
      <c r="IAF465" s="156"/>
      <c r="IAG465" s="156"/>
      <c r="IAH465" s="156"/>
      <c r="IAI465" s="156"/>
      <c r="IAJ465" s="156"/>
      <c r="IAK465" s="156"/>
      <c r="IAL465" s="156"/>
      <c r="IAM465" s="156"/>
      <c r="IAN465" s="156"/>
      <c r="IAO465" s="156"/>
      <c r="IAP465" s="156"/>
      <c r="IAQ465" s="156"/>
      <c r="IAR465" s="156"/>
      <c r="IAS465" s="156"/>
      <c r="IAT465" s="156"/>
      <c r="IAU465" s="156"/>
      <c r="IAV465" s="156"/>
      <c r="IAW465" s="156"/>
      <c r="IAX465" s="156"/>
      <c r="IAY465" s="156"/>
      <c r="IAZ465" s="156"/>
      <c r="IBA465" s="156"/>
      <c r="IBB465" s="156"/>
      <c r="IBC465" s="156"/>
      <c r="IBD465" s="156"/>
      <c r="IBE465" s="156"/>
      <c r="IBF465" s="156"/>
      <c r="IBG465" s="156"/>
      <c r="IBH465" s="156"/>
      <c r="IBI465" s="156"/>
      <c r="IBJ465" s="156"/>
      <c r="IBK465" s="156"/>
      <c r="IBL465" s="156"/>
      <c r="IBM465" s="156"/>
      <c r="IBN465" s="156"/>
      <c r="IBO465" s="156"/>
      <c r="IBP465" s="156"/>
      <c r="IBQ465" s="156"/>
      <c r="IBR465" s="156"/>
      <c r="IBS465" s="156"/>
      <c r="IBT465" s="156"/>
      <c r="IBU465" s="156"/>
      <c r="IBV465" s="156"/>
      <c r="IBW465" s="156"/>
      <c r="IBX465" s="156"/>
      <c r="IBY465" s="156"/>
      <c r="IBZ465" s="156"/>
      <c r="ICA465" s="156"/>
      <c r="ICB465" s="156"/>
      <c r="ICC465" s="156"/>
      <c r="ICD465" s="156"/>
      <c r="ICE465" s="156"/>
      <c r="ICF465" s="156"/>
      <c r="ICG465" s="156"/>
      <c r="ICH465" s="156"/>
      <c r="ICI465" s="156"/>
      <c r="ICJ465" s="156"/>
      <c r="ICK465" s="156"/>
      <c r="ICL465" s="156"/>
      <c r="ICM465" s="156"/>
      <c r="ICN465" s="156"/>
      <c r="ICO465" s="156"/>
      <c r="ICP465" s="156"/>
      <c r="ICQ465" s="156"/>
      <c r="ICR465" s="156"/>
      <c r="ICS465" s="156"/>
      <c r="ICT465" s="156"/>
      <c r="ICU465" s="156"/>
      <c r="ICV465" s="156"/>
      <c r="ICW465" s="156"/>
      <c r="ICX465" s="156"/>
      <c r="ICY465" s="156"/>
      <c r="ICZ465" s="156"/>
      <c r="IDA465" s="156"/>
      <c r="IDB465" s="156"/>
      <c r="IDC465" s="156"/>
      <c r="IDD465" s="156"/>
      <c r="IDE465" s="156"/>
      <c r="IDF465" s="156"/>
      <c r="IDG465" s="156"/>
      <c r="IDH465" s="156"/>
      <c r="IDI465" s="156"/>
      <c r="IDJ465" s="156"/>
      <c r="IDK465" s="156"/>
      <c r="IDL465" s="156"/>
      <c r="IDM465" s="156"/>
      <c r="IDN465" s="156"/>
      <c r="IDO465" s="156"/>
      <c r="IDP465" s="156"/>
      <c r="IDQ465" s="156"/>
      <c r="IDR465" s="156"/>
      <c r="IDS465" s="156"/>
      <c r="IDT465" s="156"/>
      <c r="IDU465" s="156"/>
      <c r="IDV465" s="156"/>
      <c r="IDW465" s="156"/>
      <c r="IDX465" s="156"/>
      <c r="IDY465" s="156"/>
      <c r="IDZ465" s="156"/>
      <c r="IEA465" s="156"/>
      <c r="IEB465" s="156"/>
      <c r="IEC465" s="156"/>
      <c r="IED465" s="156"/>
      <c r="IEE465" s="156"/>
      <c r="IEF465" s="156"/>
      <c r="IEG465" s="156"/>
      <c r="IEH465" s="156"/>
      <c r="IEI465" s="156"/>
      <c r="IEJ465" s="156"/>
      <c r="IEK465" s="156"/>
      <c r="IEL465" s="156"/>
      <c r="IEM465" s="156"/>
      <c r="IEN465" s="156"/>
      <c r="IEO465" s="156"/>
      <c r="IEP465" s="156"/>
      <c r="IEQ465" s="156"/>
      <c r="IER465" s="156"/>
      <c r="IES465" s="156"/>
      <c r="IET465" s="156"/>
      <c r="IEU465" s="156"/>
      <c r="IEV465" s="156"/>
      <c r="IEW465" s="156"/>
      <c r="IEX465" s="156"/>
      <c r="IEY465" s="156"/>
      <c r="IEZ465" s="156"/>
      <c r="IFA465" s="156"/>
      <c r="IFB465" s="156"/>
      <c r="IFC465" s="156"/>
      <c r="IFD465" s="156"/>
      <c r="IFE465" s="156"/>
      <c r="IFF465" s="156"/>
      <c r="IFG465" s="156"/>
      <c r="IFH465" s="156"/>
      <c r="IFI465" s="156"/>
      <c r="IFJ465" s="156"/>
      <c r="IFK465" s="156"/>
      <c r="IFL465" s="156"/>
      <c r="IFM465" s="156"/>
      <c r="IFN465" s="156"/>
      <c r="IFO465" s="156"/>
      <c r="IFP465" s="156"/>
      <c r="IFQ465" s="156"/>
      <c r="IFR465" s="156"/>
      <c r="IFS465" s="156"/>
      <c r="IFT465" s="156"/>
      <c r="IFU465" s="156"/>
      <c r="IFV465" s="156"/>
      <c r="IFW465" s="156"/>
      <c r="IFX465" s="156"/>
      <c r="IFY465" s="156"/>
      <c r="IFZ465" s="156"/>
      <c r="IGA465" s="156"/>
      <c r="IGB465" s="156"/>
      <c r="IGC465" s="156"/>
      <c r="IGD465" s="156"/>
      <c r="IGE465" s="156"/>
      <c r="IGF465" s="156"/>
      <c r="IGG465" s="156"/>
      <c r="IGH465" s="156"/>
      <c r="IGI465" s="156"/>
      <c r="IGJ465" s="156"/>
      <c r="IGK465" s="156"/>
      <c r="IGL465" s="156"/>
      <c r="IGM465" s="156"/>
      <c r="IGN465" s="156"/>
      <c r="IGO465" s="156"/>
      <c r="IGP465" s="156"/>
      <c r="IGQ465" s="156"/>
      <c r="IGR465" s="156"/>
      <c r="IGS465" s="156"/>
      <c r="IGT465" s="156"/>
      <c r="IGU465" s="156"/>
      <c r="IGV465" s="156"/>
      <c r="IGW465" s="156"/>
      <c r="IGX465" s="156"/>
      <c r="IGY465" s="156"/>
      <c r="IGZ465" s="156"/>
      <c r="IHA465" s="156"/>
      <c r="IHB465" s="156"/>
      <c r="IHC465" s="156"/>
      <c r="IHD465" s="156"/>
      <c r="IHE465" s="156"/>
      <c r="IHF465" s="156"/>
      <c r="IHG465" s="156"/>
      <c r="IHH465" s="156"/>
      <c r="IHI465" s="156"/>
      <c r="IHJ465" s="156"/>
      <c r="IHK465" s="156"/>
      <c r="IHL465" s="156"/>
      <c r="IHM465" s="156"/>
      <c r="IHN465" s="156"/>
      <c r="IHO465" s="156"/>
      <c r="IHP465" s="156"/>
      <c r="IHQ465" s="156"/>
      <c r="IHR465" s="156"/>
      <c r="IHS465" s="156"/>
      <c r="IHT465" s="156"/>
      <c r="IHU465" s="156"/>
      <c r="IHV465" s="156"/>
      <c r="IHW465" s="156"/>
      <c r="IHX465" s="156"/>
      <c r="IHY465" s="156"/>
      <c r="IHZ465" s="156"/>
      <c r="IIA465" s="156"/>
      <c r="IIB465" s="156"/>
      <c r="IIC465" s="156"/>
      <c r="IID465" s="156"/>
      <c r="IIE465" s="156"/>
      <c r="IIF465" s="156"/>
      <c r="IIG465" s="156"/>
      <c r="IIH465" s="156"/>
      <c r="III465" s="156"/>
      <c r="IIJ465" s="156"/>
      <c r="IIK465" s="156"/>
      <c r="IIL465" s="156"/>
      <c r="IIM465" s="156"/>
      <c r="IIN465" s="156"/>
      <c r="IIO465" s="156"/>
      <c r="IIP465" s="156"/>
      <c r="IIQ465" s="156"/>
      <c r="IIR465" s="156"/>
      <c r="IIS465" s="156"/>
      <c r="IIT465" s="156"/>
      <c r="IIU465" s="156"/>
      <c r="IIV465" s="156"/>
      <c r="IIW465" s="156"/>
      <c r="IIX465" s="156"/>
      <c r="IIY465" s="156"/>
      <c r="IIZ465" s="156"/>
      <c r="IJA465" s="156"/>
      <c r="IJB465" s="156"/>
      <c r="IJC465" s="156"/>
      <c r="IJD465" s="156"/>
      <c r="IJE465" s="156"/>
      <c r="IJF465" s="156"/>
      <c r="IJG465" s="156"/>
      <c r="IJH465" s="156"/>
      <c r="IJI465" s="156"/>
      <c r="IJJ465" s="156"/>
      <c r="IJK465" s="156"/>
      <c r="IJL465" s="156"/>
      <c r="IJM465" s="156"/>
      <c r="IJN465" s="156"/>
      <c r="IJO465" s="156"/>
      <c r="IJP465" s="156"/>
      <c r="IJQ465" s="156"/>
      <c r="IJR465" s="156"/>
      <c r="IJS465" s="156"/>
      <c r="IJT465" s="156"/>
      <c r="IJU465" s="156"/>
      <c r="IJV465" s="156"/>
      <c r="IJW465" s="156"/>
      <c r="IJX465" s="156"/>
      <c r="IJY465" s="156"/>
      <c r="IJZ465" s="156"/>
      <c r="IKA465" s="156"/>
      <c r="IKB465" s="156"/>
      <c r="IKC465" s="156"/>
      <c r="IKD465" s="156"/>
      <c r="IKE465" s="156"/>
      <c r="IKF465" s="156"/>
      <c r="IKG465" s="156"/>
      <c r="IKH465" s="156"/>
      <c r="IKI465" s="156"/>
      <c r="IKJ465" s="156"/>
      <c r="IKK465" s="156"/>
      <c r="IKL465" s="156"/>
      <c r="IKM465" s="156"/>
      <c r="IKN465" s="156"/>
      <c r="IKO465" s="156"/>
      <c r="IKP465" s="156"/>
      <c r="IKQ465" s="156"/>
      <c r="IKR465" s="156"/>
      <c r="IKS465" s="156"/>
      <c r="IKT465" s="156"/>
      <c r="IKU465" s="156"/>
      <c r="IKV465" s="156"/>
      <c r="IKW465" s="156"/>
      <c r="IKX465" s="156"/>
      <c r="IKY465" s="156"/>
      <c r="IKZ465" s="156"/>
      <c r="ILA465" s="156"/>
      <c r="ILB465" s="156"/>
      <c r="ILC465" s="156"/>
      <c r="ILD465" s="156"/>
      <c r="ILE465" s="156"/>
      <c r="ILF465" s="156"/>
      <c r="ILG465" s="156"/>
      <c r="ILH465" s="156"/>
      <c r="ILI465" s="156"/>
      <c r="ILJ465" s="156"/>
      <c r="ILK465" s="156"/>
      <c r="ILL465" s="156"/>
      <c r="ILM465" s="156"/>
      <c r="ILN465" s="156"/>
      <c r="ILO465" s="156"/>
      <c r="ILP465" s="156"/>
      <c r="ILQ465" s="156"/>
      <c r="ILR465" s="156"/>
      <c r="ILS465" s="156"/>
      <c r="ILT465" s="156"/>
      <c r="ILU465" s="156"/>
      <c r="ILV465" s="156"/>
      <c r="ILW465" s="156"/>
      <c r="ILX465" s="156"/>
      <c r="ILY465" s="156"/>
      <c r="ILZ465" s="156"/>
      <c r="IMA465" s="156"/>
      <c r="IMB465" s="156"/>
      <c r="IMC465" s="156"/>
      <c r="IMD465" s="156"/>
      <c r="IME465" s="156"/>
      <c r="IMF465" s="156"/>
      <c r="IMG465" s="156"/>
      <c r="IMH465" s="156"/>
      <c r="IMI465" s="156"/>
      <c r="IMJ465" s="156"/>
      <c r="IMK465" s="156"/>
      <c r="IML465" s="156"/>
      <c r="IMM465" s="156"/>
      <c r="IMN465" s="156"/>
      <c r="IMO465" s="156"/>
      <c r="IMP465" s="156"/>
      <c r="IMQ465" s="156"/>
      <c r="IMR465" s="156"/>
      <c r="IMS465" s="156"/>
      <c r="IMT465" s="156"/>
      <c r="IMU465" s="156"/>
      <c r="IMV465" s="156"/>
      <c r="IMW465" s="156"/>
      <c r="IMX465" s="156"/>
      <c r="IMY465" s="156"/>
      <c r="IMZ465" s="156"/>
      <c r="INA465" s="156"/>
      <c r="INB465" s="156"/>
      <c r="INC465" s="156"/>
      <c r="IND465" s="156"/>
      <c r="INE465" s="156"/>
      <c r="INF465" s="156"/>
      <c r="ING465" s="156"/>
      <c r="INH465" s="156"/>
      <c r="INI465" s="156"/>
      <c r="INJ465" s="156"/>
      <c r="INK465" s="156"/>
      <c r="INL465" s="156"/>
      <c r="INM465" s="156"/>
      <c r="INN465" s="156"/>
      <c r="INO465" s="156"/>
      <c r="INP465" s="156"/>
      <c r="INQ465" s="156"/>
      <c r="INR465" s="156"/>
      <c r="INS465" s="156"/>
      <c r="INT465" s="156"/>
      <c r="INU465" s="156"/>
      <c r="INV465" s="156"/>
      <c r="INW465" s="156"/>
      <c r="INX465" s="156"/>
      <c r="INY465" s="156"/>
      <c r="INZ465" s="156"/>
      <c r="IOA465" s="156"/>
      <c r="IOB465" s="156"/>
      <c r="IOC465" s="156"/>
      <c r="IOD465" s="156"/>
      <c r="IOE465" s="156"/>
      <c r="IOF465" s="156"/>
      <c r="IOG465" s="156"/>
      <c r="IOH465" s="156"/>
      <c r="IOI465" s="156"/>
      <c r="IOJ465" s="156"/>
      <c r="IOK465" s="156"/>
      <c r="IOL465" s="156"/>
      <c r="IOM465" s="156"/>
      <c r="ION465" s="156"/>
      <c r="IOO465" s="156"/>
      <c r="IOP465" s="156"/>
      <c r="IOQ465" s="156"/>
      <c r="IOR465" s="156"/>
      <c r="IOS465" s="156"/>
      <c r="IOT465" s="156"/>
      <c r="IOU465" s="156"/>
      <c r="IOV465" s="156"/>
      <c r="IOW465" s="156"/>
      <c r="IOX465" s="156"/>
      <c r="IOY465" s="156"/>
      <c r="IOZ465" s="156"/>
      <c r="IPA465" s="156"/>
      <c r="IPB465" s="156"/>
      <c r="IPC465" s="156"/>
      <c r="IPD465" s="156"/>
      <c r="IPE465" s="156"/>
      <c r="IPF465" s="156"/>
      <c r="IPG465" s="156"/>
      <c r="IPH465" s="156"/>
      <c r="IPI465" s="156"/>
      <c r="IPJ465" s="156"/>
      <c r="IPK465" s="156"/>
      <c r="IPL465" s="156"/>
      <c r="IPM465" s="156"/>
      <c r="IPN465" s="156"/>
      <c r="IPO465" s="156"/>
      <c r="IPP465" s="156"/>
      <c r="IPQ465" s="156"/>
      <c r="IPR465" s="156"/>
      <c r="IPS465" s="156"/>
      <c r="IPT465" s="156"/>
      <c r="IPU465" s="156"/>
      <c r="IPV465" s="156"/>
      <c r="IPW465" s="156"/>
      <c r="IPX465" s="156"/>
      <c r="IPY465" s="156"/>
      <c r="IPZ465" s="156"/>
      <c r="IQA465" s="156"/>
      <c r="IQB465" s="156"/>
      <c r="IQC465" s="156"/>
      <c r="IQD465" s="156"/>
      <c r="IQE465" s="156"/>
      <c r="IQF465" s="156"/>
      <c r="IQG465" s="156"/>
      <c r="IQH465" s="156"/>
      <c r="IQI465" s="156"/>
      <c r="IQJ465" s="156"/>
      <c r="IQK465" s="156"/>
      <c r="IQL465" s="156"/>
      <c r="IQM465" s="156"/>
      <c r="IQN465" s="156"/>
      <c r="IQO465" s="156"/>
      <c r="IQP465" s="156"/>
      <c r="IQQ465" s="156"/>
      <c r="IQR465" s="156"/>
      <c r="IQS465" s="156"/>
      <c r="IQT465" s="156"/>
      <c r="IQU465" s="156"/>
      <c r="IQV465" s="156"/>
      <c r="IQW465" s="156"/>
      <c r="IQX465" s="156"/>
      <c r="IQY465" s="156"/>
      <c r="IQZ465" s="156"/>
      <c r="IRA465" s="156"/>
      <c r="IRB465" s="156"/>
      <c r="IRC465" s="156"/>
      <c r="IRD465" s="156"/>
      <c r="IRE465" s="156"/>
      <c r="IRF465" s="156"/>
      <c r="IRG465" s="156"/>
      <c r="IRH465" s="156"/>
      <c r="IRI465" s="156"/>
      <c r="IRJ465" s="156"/>
      <c r="IRK465" s="156"/>
      <c r="IRL465" s="156"/>
      <c r="IRM465" s="156"/>
      <c r="IRN465" s="156"/>
      <c r="IRO465" s="156"/>
      <c r="IRP465" s="156"/>
      <c r="IRQ465" s="156"/>
      <c r="IRR465" s="156"/>
      <c r="IRS465" s="156"/>
      <c r="IRT465" s="156"/>
      <c r="IRU465" s="156"/>
      <c r="IRV465" s="156"/>
      <c r="IRW465" s="156"/>
      <c r="IRX465" s="156"/>
      <c r="IRY465" s="156"/>
      <c r="IRZ465" s="156"/>
      <c r="ISA465" s="156"/>
      <c r="ISB465" s="156"/>
      <c r="ISC465" s="156"/>
      <c r="ISD465" s="156"/>
      <c r="ISE465" s="156"/>
      <c r="ISF465" s="156"/>
      <c r="ISG465" s="156"/>
      <c r="ISH465" s="156"/>
      <c r="ISI465" s="156"/>
      <c r="ISJ465" s="156"/>
      <c r="ISK465" s="156"/>
      <c r="ISL465" s="156"/>
      <c r="ISM465" s="156"/>
      <c r="ISN465" s="156"/>
      <c r="ISO465" s="156"/>
      <c r="ISP465" s="156"/>
      <c r="ISQ465" s="156"/>
      <c r="ISR465" s="156"/>
      <c r="ISS465" s="156"/>
      <c r="IST465" s="156"/>
      <c r="ISU465" s="156"/>
      <c r="ISV465" s="156"/>
      <c r="ISW465" s="156"/>
      <c r="ISX465" s="156"/>
      <c r="ISY465" s="156"/>
      <c r="ISZ465" s="156"/>
      <c r="ITA465" s="156"/>
      <c r="ITB465" s="156"/>
      <c r="ITC465" s="156"/>
      <c r="ITD465" s="156"/>
      <c r="ITE465" s="156"/>
      <c r="ITF465" s="156"/>
      <c r="ITG465" s="156"/>
      <c r="ITH465" s="156"/>
      <c r="ITI465" s="156"/>
      <c r="ITJ465" s="156"/>
      <c r="ITK465" s="156"/>
      <c r="ITL465" s="156"/>
      <c r="ITM465" s="156"/>
      <c r="ITN465" s="156"/>
      <c r="ITO465" s="156"/>
      <c r="ITP465" s="156"/>
      <c r="ITQ465" s="156"/>
      <c r="ITR465" s="156"/>
      <c r="ITS465" s="156"/>
      <c r="ITT465" s="156"/>
      <c r="ITU465" s="156"/>
      <c r="ITV465" s="156"/>
      <c r="ITW465" s="156"/>
      <c r="ITX465" s="156"/>
      <c r="ITY465" s="156"/>
      <c r="ITZ465" s="156"/>
      <c r="IUA465" s="156"/>
      <c r="IUB465" s="156"/>
      <c r="IUC465" s="156"/>
      <c r="IUD465" s="156"/>
      <c r="IUE465" s="156"/>
      <c r="IUF465" s="156"/>
      <c r="IUG465" s="156"/>
      <c r="IUH465" s="156"/>
      <c r="IUI465" s="156"/>
      <c r="IUJ465" s="156"/>
      <c r="IUK465" s="156"/>
      <c r="IUL465" s="156"/>
      <c r="IUM465" s="156"/>
      <c r="IUN465" s="156"/>
      <c r="IUO465" s="156"/>
      <c r="IUP465" s="156"/>
      <c r="IUQ465" s="156"/>
      <c r="IUR465" s="156"/>
      <c r="IUS465" s="156"/>
      <c r="IUT465" s="156"/>
      <c r="IUU465" s="156"/>
      <c r="IUV465" s="156"/>
      <c r="IUW465" s="156"/>
      <c r="IUX465" s="156"/>
      <c r="IUY465" s="156"/>
      <c r="IUZ465" s="156"/>
      <c r="IVA465" s="156"/>
      <c r="IVB465" s="156"/>
      <c r="IVC465" s="156"/>
      <c r="IVD465" s="156"/>
      <c r="IVE465" s="156"/>
      <c r="IVF465" s="156"/>
      <c r="IVG465" s="156"/>
      <c r="IVH465" s="156"/>
      <c r="IVI465" s="156"/>
      <c r="IVJ465" s="156"/>
      <c r="IVK465" s="156"/>
      <c r="IVL465" s="156"/>
      <c r="IVM465" s="156"/>
      <c r="IVN465" s="156"/>
      <c r="IVO465" s="156"/>
      <c r="IVP465" s="156"/>
      <c r="IVQ465" s="156"/>
      <c r="IVR465" s="156"/>
      <c r="IVS465" s="156"/>
      <c r="IVT465" s="156"/>
      <c r="IVU465" s="156"/>
      <c r="IVV465" s="156"/>
      <c r="IVW465" s="156"/>
      <c r="IVX465" s="156"/>
      <c r="IVY465" s="156"/>
      <c r="IVZ465" s="156"/>
      <c r="IWA465" s="156"/>
      <c r="IWB465" s="156"/>
      <c r="IWC465" s="156"/>
      <c r="IWD465" s="156"/>
      <c r="IWE465" s="156"/>
      <c r="IWF465" s="156"/>
      <c r="IWG465" s="156"/>
      <c r="IWH465" s="156"/>
      <c r="IWI465" s="156"/>
      <c r="IWJ465" s="156"/>
      <c r="IWK465" s="156"/>
      <c r="IWL465" s="156"/>
      <c r="IWM465" s="156"/>
      <c r="IWN465" s="156"/>
      <c r="IWO465" s="156"/>
      <c r="IWP465" s="156"/>
      <c r="IWQ465" s="156"/>
      <c r="IWR465" s="156"/>
      <c r="IWS465" s="156"/>
      <c r="IWT465" s="156"/>
      <c r="IWU465" s="156"/>
      <c r="IWV465" s="156"/>
      <c r="IWW465" s="156"/>
      <c r="IWX465" s="156"/>
      <c r="IWY465" s="156"/>
      <c r="IWZ465" s="156"/>
      <c r="IXA465" s="156"/>
      <c r="IXB465" s="156"/>
      <c r="IXC465" s="156"/>
      <c r="IXD465" s="156"/>
      <c r="IXE465" s="156"/>
      <c r="IXF465" s="156"/>
      <c r="IXG465" s="156"/>
      <c r="IXH465" s="156"/>
      <c r="IXI465" s="156"/>
      <c r="IXJ465" s="156"/>
      <c r="IXK465" s="156"/>
      <c r="IXL465" s="156"/>
      <c r="IXM465" s="156"/>
      <c r="IXN465" s="156"/>
      <c r="IXO465" s="156"/>
      <c r="IXP465" s="156"/>
      <c r="IXQ465" s="156"/>
      <c r="IXR465" s="156"/>
      <c r="IXS465" s="156"/>
      <c r="IXT465" s="156"/>
      <c r="IXU465" s="156"/>
      <c r="IXV465" s="156"/>
      <c r="IXW465" s="156"/>
      <c r="IXX465" s="156"/>
      <c r="IXY465" s="156"/>
      <c r="IXZ465" s="156"/>
      <c r="IYA465" s="156"/>
      <c r="IYB465" s="156"/>
      <c r="IYC465" s="156"/>
      <c r="IYD465" s="156"/>
      <c r="IYE465" s="156"/>
      <c r="IYF465" s="156"/>
      <c r="IYG465" s="156"/>
      <c r="IYH465" s="156"/>
      <c r="IYI465" s="156"/>
      <c r="IYJ465" s="156"/>
      <c r="IYK465" s="156"/>
      <c r="IYL465" s="156"/>
      <c r="IYM465" s="156"/>
      <c r="IYN465" s="156"/>
      <c r="IYO465" s="156"/>
      <c r="IYP465" s="156"/>
      <c r="IYQ465" s="156"/>
      <c r="IYR465" s="156"/>
      <c r="IYS465" s="156"/>
      <c r="IYT465" s="156"/>
      <c r="IYU465" s="156"/>
      <c r="IYV465" s="156"/>
      <c r="IYW465" s="156"/>
      <c r="IYX465" s="156"/>
      <c r="IYY465" s="156"/>
      <c r="IYZ465" s="156"/>
      <c r="IZA465" s="156"/>
      <c r="IZB465" s="156"/>
      <c r="IZC465" s="156"/>
      <c r="IZD465" s="156"/>
      <c r="IZE465" s="156"/>
      <c r="IZF465" s="156"/>
      <c r="IZG465" s="156"/>
      <c r="IZH465" s="156"/>
      <c r="IZI465" s="156"/>
      <c r="IZJ465" s="156"/>
      <c r="IZK465" s="156"/>
      <c r="IZL465" s="156"/>
      <c r="IZM465" s="156"/>
      <c r="IZN465" s="156"/>
      <c r="IZO465" s="156"/>
      <c r="IZP465" s="156"/>
      <c r="IZQ465" s="156"/>
      <c r="IZR465" s="156"/>
      <c r="IZS465" s="156"/>
      <c r="IZT465" s="156"/>
      <c r="IZU465" s="156"/>
      <c r="IZV465" s="156"/>
      <c r="IZW465" s="156"/>
      <c r="IZX465" s="156"/>
      <c r="IZY465" s="156"/>
      <c r="IZZ465" s="156"/>
      <c r="JAA465" s="156"/>
      <c r="JAB465" s="156"/>
      <c r="JAC465" s="156"/>
      <c r="JAD465" s="156"/>
      <c r="JAE465" s="156"/>
      <c r="JAF465" s="156"/>
      <c r="JAG465" s="156"/>
      <c r="JAH465" s="156"/>
      <c r="JAI465" s="156"/>
      <c r="JAJ465" s="156"/>
      <c r="JAK465" s="156"/>
      <c r="JAL465" s="156"/>
      <c r="JAM465" s="156"/>
      <c r="JAN465" s="156"/>
      <c r="JAO465" s="156"/>
      <c r="JAP465" s="156"/>
      <c r="JAQ465" s="156"/>
      <c r="JAR465" s="156"/>
      <c r="JAS465" s="156"/>
      <c r="JAT465" s="156"/>
      <c r="JAU465" s="156"/>
      <c r="JAV465" s="156"/>
      <c r="JAW465" s="156"/>
      <c r="JAX465" s="156"/>
      <c r="JAY465" s="156"/>
      <c r="JAZ465" s="156"/>
      <c r="JBA465" s="156"/>
      <c r="JBB465" s="156"/>
      <c r="JBC465" s="156"/>
      <c r="JBD465" s="156"/>
      <c r="JBE465" s="156"/>
      <c r="JBF465" s="156"/>
      <c r="JBG465" s="156"/>
      <c r="JBH465" s="156"/>
      <c r="JBI465" s="156"/>
      <c r="JBJ465" s="156"/>
      <c r="JBK465" s="156"/>
      <c r="JBL465" s="156"/>
      <c r="JBM465" s="156"/>
      <c r="JBN465" s="156"/>
      <c r="JBO465" s="156"/>
      <c r="JBP465" s="156"/>
      <c r="JBQ465" s="156"/>
      <c r="JBR465" s="156"/>
      <c r="JBS465" s="156"/>
      <c r="JBT465" s="156"/>
      <c r="JBU465" s="156"/>
      <c r="JBV465" s="156"/>
      <c r="JBW465" s="156"/>
      <c r="JBX465" s="156"/>
      <c r="JBY465" s="156"/>
      <c r="JBZ465" s="156"/>
      <c r="JCA465" s="156"/>
      <c r="JCB465" s="156"/>
      <c r="JCC465" s="156"/>
      <c r="JCD465" s="156"/>
      <c r="JCE465" s="156"/>
      <c r="JCF465" s="156"/>
      <c r="JCG465" s="156"/>
      <c r="JCH465" s="156"/>
      <c r="JCI465" s="156"/>
      <c r="JCJ465" s="156"/>
      <c r="JCK465" s="156"/>
      <c r="JCL465" s="156"/>
      <c r="JCM465" s="156"/>
      <c r="JCN465" s="156"/>
      <c r="JCO465" s="156"/>
      <c r="JCP465" s="156"/>
      <c r="JCQ465" s="156"/>
      <c r="JCR465" s="156"/>
      <c r="JCS465" s="156"/>
      <c r="JCT465" s="156"/>
      <c r="JCU465" s="156"/>
      <c r="JCV465" s="156"/>
      <c r="JCW465" s="156"/>
      <c r="JCX465" s="156"/>
      <c r="JCY465" s="156"/>
      <c r="JCZ465" s="156"/>
      <c r="JDA465" s="156"/>
      <c r="JDB465" s="156"/>
      <c r="JDC465" s="156"/>
      <c r="JDD465" s="156"/>
      <c r="JDE465" s="156"/>
      <c r="JDF465" s="156"/>
      <c r="JDG465" s="156"/>
      <c r="JDH465" s="156"/>
      <c r="JDI465" s="156"/>
      <c r="JDJ465" s="156"/>
      <c r="JDK465" s="156"/>
      <c r="JDL465" s="156"/>
      <c r="JDM465" s="156"/>
      <c r="JDN465" s="156"/>
      <c r="JDO465" s="156"/>
      <c r="JDP465" s="156"/>
      <c r="JDQ465" s="156"/>
      <c r="JDR465" s="156"/>
      <c r="JDS465" s="156"/>
      <c r="JDT465" s="156"/>
      <c r="JDU465" s="156"/>
      <c r="JDV465" s="156"/>
      <c r="JDW465" s="156"/>
      <c r="JDX465" s="156"/>
      <c r="JDY465" s="156"/>
      <c r="JDZ465" s="156"/>
      <c r="JEA465" s="156"/>
      <c r="JEB465" s="156"/>
      <c r="JEC465" s="156"/>
      <c r="JED465" s="156"/>
      <c r="JEE465" s="156"/>
      <c r="JEF465" s="156"/>
      <c r="JEG465" s="156"/>
      <c r="JEH465" s="156"/>
      <c r="JEI465" s="156"/>
      <c r="JEJ465" s="156"/>
      <c r="JEK465" s="156"/>
      <c r="JEL465" s="156"/>
      <c r="JEM465" s="156"/>
      <c r="JEN465" s="156"/>
      <c r="JEO465" s="156"/>
      <c r="JEP465" s="156"/>
      <c r="JEQ465" s="156"/>
      <c r="JER465" s="156"/>
      <c r="JES465" s="156"/>
      <c r="JET465" s="156"/>
      <c r="JEU465" s="156"/>
      <c r="JEV465" s="156"/>
      <c r="JEW465" s="156"/>
      <c r="JEX465" s="156"/>
      <c r="JEY465" s="156"/>
      <c r="JEZ465" s="156"/>
      <c r="JFA465" s="156"/>
      <c r="JFB465" s="156"/>
      <c r="JFC465" s="156"/>
      <c r="JFD465" s="156"/>
      <c r="JFE465" s="156"/>
      <c r="JFF465" s="156"/>
      <c r="JFG465" s="156"/>
      <c r="JFH465" s="156"/>
      <c r="JFI465" s="156"/>
      <c r="JFJ465" s="156"/>
      <c r="JFK465" s="156"/>
      <c r="JFL465" s="156"/>
      <c r="JFM465" s="156"/>
      <c r="JFN465" s="156"/>
      <c r="JFO465" s="156"/>
      <c r="JFP465" s="156"/>
      <c r="JFQ465" s="156"/>
      <c r="JFR465" s="156"/>
      <c r="JFS465" s="156"/>
      <c r="JFT465" s="156"/>
      <c r="JFU465" s="156"/>
      <c r="JFV465" s="156"/>
      <c r="JFW465" s="156"/>
      <c r="JFX465" s="156"/>
      <c r="JFY465" s="156"/>
      <c r="JFZ465" s="156"/>
      <c r="JGA465" s="156"/>
      <c r="JGB465" s="156"/>
      <c r="JGC465" s="156"/>
      <c r="JGD465" s="156"/>
      <c r="JGE465" s="156"/>
      <c r="JGF465" s="156"/>
      <c r="JGG465" s="156"/>
      <c r="JGH465" s="156"/>
      <c r="JGI465" s="156"/>
      <c r="JGJ465" s="156"/>
      <c r="JGK465" s="156"/>
      <c r="JGL465" s="156"/>
      <c r="JGM465" s="156"/>
      <c r="JGN465" s="156"/>
      <c r="JGO465" s="156"/>
      <c r="JGP465" s="156"/>
      <c r="JGQ465" s="156"/>
      <c r="JGR465" s="156"/>
      <c r="JGS465" s="156"/>
      <c r="JGT465" s="156"/>
      <c r="JGU465" s="156"/>
      <c r="JGV465" s="156"/>
      <c r="JGW465" s="156"/>
      <c r="JGX465" s="156"/>
      <c r="JGY465" s="156"/>
      <c r="JGZ465" s="156"/>
      <c r="JHA465" s="156"/>
      <c r="JHB465" s="156"/>
      <c r="JHC465" s="156"/>
      <c r="JHD465" s="156"/>
      <c r="JHE465" s="156"/>
      <c r="JHF465" s="156"/>
      <c r="JHG465" s="156"/>
      <c r="JHH465" s="156"/>
      <c r="JHI465" s="156"/>
      <c r="JHJ465" s="156"/>
      <c r="JHK465" s="156"/>
      <c r="JHL465" s="156"/>
      <c r="JHM465" s="156"/>
      <c r="JHN465" s="156"/>
      <c r="JHO465" s="156"/>
      <c r="JHP465" s="156"/>
      <c r="JHQ465" s="156"/>
      <c r="JHR465" s="156"/>
      <c r="JHS465" s="156"/>
      <c r="JHT465" s="156"/>
      <c r="JHU465" s="156"/>
      <c r="JHV465" s="156"/>
      <c r="JHW465" s="156"/>
      <c r="JHX465" s="156"/>
      <c r="JHY465" s="156"/>
      <c r="JHZ465" s="156"/>
      <c r="JIA465" s="156"/>
      <c r="JIB465" s="156"/>
      <c r="JIC465" s="156"/>
      <c r="JID465" s="156"/>
      <c r="JIE465" s="156"/>
      <c r="JIF465" s="156"/>
      <c r="JIG465" s="156"/>
      <c r="JIH465" s="156"/>
      <c r="JII465" s="156"/>
      <c r="JIJ465" s="156"/>
      <c r="JIK465" s="156"/>
      <c r="JIL465" s="156"/>
      <c r="JIM465" s="156"/>
      <c r="JIN465" s="156"/>
      <c r="JIO465" s="156"/>
      <c r="JIP465" s="156"/>
      <c r="JIQ465" s="156"/>
      <c r="JIR465" s="156"/>
      <c r="JIS465" s="156"/>
      <c r="JIT465" s="156"/>
      <c r="JIU465" s="156"/>
      <c r="JIV465" s="156"/>
      <c r="JIW465" s="156"/>
      <c r="JIX465" s="156"/>
      <c r="JIY465" s="156"/>
      <c r="JIZ465" s="156"/>
      <c r="JJA465" s="156"/>
      <c r="JJB465" s="156"/>
      <c r="JJC465" s="156"/>
      <c r="JJD465" s="156"/>
      <c r="JJE465" s="156"/>
      <c r="JJF465" s="156"/>
      <c r="JJG465" s="156"/>
      <c r="JJH465" s="156"/>
      <c r="JJI465" s="156"/>
      <c r="JJJ465" s="156"/>
      <c r="JJK465" s="156"/>
      <c r="JJL465" s="156"/>
      <c r="JJM465" s="156"/>
      <c r="JJN465" s="156"/>
      <c r="JJO465" s="156"/>
      <c r="JJP465" s="156"/>
      <c r="JJQ465" s="156"/>
      <c r="JJR465" s="156"/>
      <c r="JJS465" s="156"/>
      <c r="JJT465" s="156"/>
      <c r="JJU465" s="156"/>
      <c r="JJV465" s="156"/>
      <c r="JJW465" s="156"/>
      <c r="JJX465" s="156"/>
      <c r="JJY465" s="156"/>
      <c r="JJZ465" s="156"/>
      <c r="JKA465" s="156"/>
      <c r="JKB465" s="156"/>
      <c r="JKC465" s="156"/>
      <c r="JKD465" s="156"/>
      <c r="JKE465" s="156"/>
      <c r="JKF465" s="156"/>
      <c r="JKG465" s="156"/>
      <c r="JKH465" s="156"/>
      <c r="JKI465" s="156"/>
      <c r="JKJ465" s="156"/>
      <c r="JKK465" s="156"/>
      <c r="JKL465" s="156"/>
      <c r="JKM465" s="156"/>
      <c r="JKN465" s="156"/>
      <c r="JKO465" s="156"/>
      <c r="JKP465" s="156"/>
      <c r="JKQ465" s="156"/>
      <c r="JKR465" s="156"/>
      <c r="JKS465" s="156"/>
      <c r="JKT465" s="156"/>
      <c r="JKU465" s="156"/>
      <c r="JKV465" s="156"/>
      <c r="JKW465" s="156"/>
      <c r="JKX465" s="156"/>
      <c r="JKY465" s="156"/>
      <c r="JKZ465" s="156"/>
      <c r="JLA465" s="156"/>
      <c r="JLB465" s="156"/>
      <c r="JLC465" s="156"/>
      <c r="JLD465" s="156"/>
      <c r="JLE465" s="156"/>
      <c r="JLF465" s="156"/>
      <c r="JLG465" s="156"/>
      <c r="JLH465" s="156"/>
      <c r="JLI465" s="156"/>
      <c r="JLJ465" s="156"/>
      <c r="JLK465" s="156"/>
      <c r="JLL465" s="156"/>
      <c r="JLM465" s="156"/>
      <c r="JLN465" s="156"/>
      <c r="JLO465" s="156"/>
      <c r="JLP465" s="156"/>
      <c r="JLQ465" s="156"/>
      <c r="JLR465" s="156"/>
      <c r="JLS465" s="156"/>
      <c r="JLT465" s="156"/>
      <c r="JLU465" s="156"/>
      <c r="JLV465" s="156"/>
      <c r="JLW465" s="156"/>
      <c r="JLX465" s="156"/>
      <c r="JLY465" s="156"/>
      <c r="JLZ465" s="156"/>
      <c r="JMA465" s="156"/>
      <c r="JMB465" s="156"/>
      <c r="JMC465" s="156"/>
      <c r="JMD465" s="156"/>
      <c r="JME465" s="156"/>
      <c r="JMF465" s="156"/>
      <c r="JMG465" s="156"/>
      <c r="JMH465" s="156"/>
      <c r="JMI465" s="156"/>
      <c r="JMJ465" s="156"/>
      <c r="JMK465" s="156"/>
      <c r="JML465" s="156"/>
      <c r="JMM465" s="156"/>
      <c r="JMN465" s="156"/>
      <c r="JMO465" s="156"/>
      <c r="JMP465" s="156"/>
      <c r="JMQ465" s="156"/>
      <c r="JMR465" s="156"/>
      <c r="JMS465" s="156"/>
      <c r="JMT465" s="156"/>
      <c r="JMU465" s="156"/>
      <c r="JMV465" s="156"/>
      <c r="JMW465" s="156"/>
      <c r="JMX465" s="156"/>
      <c r="JMY465" s="156"/>
      <c r="JMZ465" s="156"/>
      <c r="JNA465" s="156"/>
      <c r="JNB465" s="156"/>
      <c r="JNC465" s="156"/>
      <c r="JND465" s="156"/>
      <c r="JNE465" s="156"/>
      <c r="JNF465" s="156"/>
      <c r="JNG465" s="156"/>
      <c r="JNH465" s="156"/>
      <c r="JNI465" s="156"/>
      <c r="JNJ465" s="156"/>
      <c r="JNK465" s="156"/>
      <c r="JNL465" s="156"/>
      <c r="JNM465" s="156"/>
      <c r="JNN465" s="156"/>
      <c r="JNO465" s="156"/>
      <c r="JNP465" s="156"/>
      <c r="JNQ465" s="156"/>
      <c r="JNR465" s="156"/>
      <c r="JNS465" s="156"/>
      <c r="JNT465" s="156"/>
      <c r="JNU465" s="156"/>
      <c r="JNV465" s="156"/>
      <c r="JNW465" s="156"/>
      <c r="JNX465" s="156"/>
      <c r="JNY465" s="156"/>
      <c r="JNZ465" s="156"/>
      <c r="JOA465" s="156"/>
      <c r="JOB465" s="156"/>
      <c r="JOC465" s="156"/>
      <c r="JOD465" s="156"/>
      <c r="JOE465" s="156"/>
      <c r="JOF465" s="156"/>
      <c r="JOG465" s="156"/>
      <c r="JOH465" s="156"/>
      <c r="JOI465" s="156"/>
      <c r="JOJ465" s="156"/>
      <c r="JOK465" s="156"/>
      <c r="JOL465" s="156"/>
      <c r="JOM465" s="156"/>
      <c r="JON465" s="156"/>
      <c r="JOO465" s="156"/>
      <c r="JOP465" s="156"/>
      <c r="JOQ465" s="156"/>
      <c r="JOR465" s="156"/>
      <c r="JOS465" s="156"/>
      <c r="JOT465" s="156"/>
      <c r="JOU465" s="156"/>
      <c r="JOV465" s="156"/>
      <c r="JOW465" s="156"/>
      <c r="JOX465" s="156"/>
      <c r="JOY465" s="156"/>
      <c r="JOZ465" s="156"/>
      <c r="JPA465" s="156"/>
      <c r="JPB465" s="156"/>
      <c r="JPC465" s="156"/>
      <c r="JPD465" s="156"/>
      <c r="JPE465" s="156"/>
      <c r="JPF465" s="156"/>
      <c r="JPG465" s="156"/>
      <c r="JPH465" s="156"/>
      <c r="JPI465" s="156"/>
      <c r="JPJ465" s="156"/>
      <c r="JPK465" s="156"/>
      <c r="JPL465" s="156"/>
      <c r="JPM465" s="156"/>
      <c r="JPN465" s="156"/>
      <c r="JPO465" s="156"/>
      <c r="JPP465" s="156"/>
      <c r="JPQ465" s="156"/>
      <c r="JPR465" s="156"/>
      <c r="JPS465" s="156"/>
      <c r="JPT465" s="156"/>
      <c r="JPU465" s="156"/>
      <c r="JPV465" s="156"/>
      <c r="JPW465" s="156"/>
      <c r="JPX465" s="156"/>
      <c r="JPY465" s="156"/>
      <c r="JPZ465" s="156"/>
      <c r="JQA465" s="156"/>
      <c r="JQB465" s="156"/>
      <c r="JQC465" s="156"/>
      <c r="JQD465" s="156"/>
      <c r="JQE465" s="156"/>
      <c r="JQF465" s="156"/>
      <c r="JQG465" s="156"/>
      <c r="JQH465" s="156"/>
      <c r="JQI465" s="156"/>
      <c r="JQJ465" s="156"/>
      <c r="JQK465" s="156"/>
      <c r="JQL465" s="156"/>
      <c r="JQM465" s="156"/>
      <c r="JQN465" s="156"/>
      <c r="JQO465" s="156"/>
      <c r="JQP465" s="156"/>
      <c r="JQQ465" s="156"/>
      <c r="JQR465" s="156"/>
      <c r="JQS465" s="156"/>
      <c r="JQT465" s="156"/>
      <c r="JQU465" s="156"/>
      <c r="JQV465" s="156"/>
      <c r="JQW465" s="156"/>
      <c r="JQX465" s="156"/>
      <c r="JQY465" s="156"/>
      <c r="JQZ465" s="156"/>
      <c r="JRA465" s="156"/>
      <c r="JRB465" s="156"/>
      <c r="JRC465" s="156"/>
      <c r="JRD465" s="156"/>
      <c r="JRE465" s="156"/>
      <c r="JRF465" s="156"/>
      <c r="JRG465" s="156"/>
      <c r="JRH465" s="156"/>
      <c r="JRI465" s="156"/>
      <c r="JRJ465" s="156"/>
      <c r="JRK465" s="156"/>
      <c r="JRL465" s="156"/>
      <c r="JRM465" s="156"/>
      <c r="JRN465" s="156"/>
      <c r="JRO465" s="156"/>
      <c r="JRP465" s="156"/>
      <c r="JRQ465" s="156"/>
      <c r="JRR465" s="156"/>
      <c r="JRS465" s="156"/>
      <c r="JRT465" s="156"/>
      <c r="JRU465" s="156"/>
      <c r="JRV465" s="156"/>
      <c r="JRW465" s="156"/>
      <c r="JRX465" s="156"/>
      <c r="JRY465" s="156"/>
      <c r="JRZ465" s="156"/>
      <c r="JSA465" s="156"/>
      <c r="JSB465" s="156"/>
      <c r="JSC465" s="156"/>
      <c r="JSD465" s="156"/>
      <c r="JSE465" s="156"/>
      <c r="JSF465" s="156"/>
      <c r="JSG465" s="156"/>
      <c r="JSH465" s="156"/>
      <c r="JSI465" s="156"/>
      <c r="JSJ465" s="156"/>
      <c r="JSK465" s="156"/>
      <c r="JSL465" s="156"/>
      <c r="JSM465" s="156"/>
      <c r="JSN465" s="156"/>
      <c r="JSO465" s="156"/>
      <c r="JSP465" s="156"/>
      <c r="JSQ465" s="156"/>
      <c r="JSR465" s="156"/>
      <c r="JSS465" s="156"/>
      <c r="JST465" s="156"/>
      <c r="JSU465" s="156"/>
      <c r="JSV465" s="156"/>
      <c r="JSW465" s="156"/>
      <c r="JSX465" s="156"/>
      <c r="JSY465" s="156"/>
      <c r="JSZ465" s="156"/>
      <c r="JTA465" s="156"/>
      <c r="JTB465" s="156"/>
      <c r="JTC465" s="156"/>
      <c r="JTD465" s="156"/>
      <c r="JTE465" s="156"/>
      <c r="JTF465" s="156"/>
      <c r="JTG465" s="156"/>
      <c r="JTH465" s="156"/>
      <c r="JTI465" s="156"/>
      <c r="JTJ465" s="156"/>
      <c r="JTK465" s="156"/>
      <c r="JTL465" s="156"/>
      <c r="JTM465" s="156"/>
      <c r="JTN465" s="156"/>
      <c r="JTO465" s="156"/>
      <c r="JTP465" s="156"/>
      <c r="JTQ465" s="156"/>
      <c r="JTR465" s="156"/>
      <c r="JTS465" s="156"/>
      <c r="JTT465" s="156"/>
      <c r="JTU465" s="156"/>
      <c r="JTV465" s="156"/>
      <c r="JTW465" s="156"/>
      <c r="JTX465" s="156"/>
      <c r="JTY465" s="156"/>
      <c r="JTZ465" s="156"/>
      <c r="JUA465" s="156"/>
      <c r="JUB465" s="156"/>
      <c r="JUC465" s="156"/>
      <c r="JUD465" s="156"/>
      <c r="JUE465" s="156"/>
      <c r="JUF465" s="156"/>
      <c r="JUG465" s="156"/>
      <c r="JUH465" s="156"/>
      <c r="JUI465" s="156"/>
      <c r="JUJ465" s="156"/>
      <c r="JUK465" s="156"/>
      <c r="JUL465" s="156"/>
      <c r="JUM465" s="156"/>
      <c r="JUN465" s="156"/>
      <c r="JUO465" s="156"/>
      <c r="JUP465" s="156"/>
      <c r="JUQ465" s="156"/>
      <c r="JUR465" s="156"/>
      <c r="JUS465" s="156"/>
      <c r="JUT465" s="156"/>
      <c r="JUU465" s="156"/>
      <c r="JUV465" s="156"/>
      <c r="JUW465" s="156"/>
      <c r="JUX465" s="156"/>
      <c r="JUY465" s="156"/>
      <c r="JUZ465" s="156"/>
      <c r="JVA465" s="156"/>
      <c r="JVB465" s="156"/>
      <c r="JVC465" s="156"/>
      <c r="JVD465" s="156"/>
      <c r="JVE465" s="156"/>
      <c r="JVF465" s="156"/>
      <c r="JVG465" s="156"/>
      <c r="JVH465" s="156"/>
      <c r="JVI465" s="156"/>
      <c r="JVJ465" s="156"/>
      <c r="JVK465" s="156"/>
      <c r="JVL465" s="156"/>
      <c r="JVM465" s="156"/>
      <c r="JVN465" s="156"/>
      <c r="JVO465" s="156"/>
      <c r="JVP465" s="156"/>
      <c r="JVQ465" s="156"/>
      <c r="JVR465" s="156"/>
      <c r="JVS465" s="156"/>
      <c r="JVT465" s="156"/>
      <c r="JVU465" s="156"/>
      <c r="JVV465" s="156"/>
      <c r="JVW465" s="156"/>
      <c r="JVX465" s="156"/>
      <c r="JVY465" s="156"/>
      <c r="JVZ465" s="156"/>
      <c r="JWA465" s="156"/>
      <c r="JWB465" s="156"/>
      <c r="JWC465" s="156"/>
      <c r="JWD465" s="156"/>
      <c r="JWE465" s="156"/>
      <c r="JWF465" s="156"/>
      <c r="JWG465" s="156"/>
      <c r="JWH465" s="156"/>
      <c r="JWI465" s="156"/>
      <c r="JWJ465" s="156"/>
      <c r="JWK465" s="156"/>
      <c r="JWL465" s="156"/>
      <c r="JWM465" s="156"/>
      <c r="JWN465" s="156"/>
      <c r="JWO465" s="156"/>
      <c r="JWP465" s="156"/>
      <c r="JWQ465" s="156"/>
      <c r="JWR465" s="156"/>
      <c r="JWS465" s="156"/>
      <c r="JWT465" s="156"/>
      <c r="JWU465" s="156"/>
      <c r="JWV465" s="156"/>
      <c r="JWW465" s="156"/>
      <c r="JWX465" s="156"/>
      <c r="JWY465" s="156"/>
      <c r="JWZ465" s="156"/>
      <c r="JXA465" s="156"/>
      <c r="JXB465" s="156"/>
      <c r="JXC465" s="156"/>
      <c r="JXD465" s="156"/>
      <c r="JXE465" s="156"/>
      <c r="JXF465" s="156"/>
      <c r="JXG465" s="156"/>
      <c r="JXH465" s="156"/>
      <c r="JXI465" s="156"/>
      <c r="JXJ465" s="156"/>
      <c r="JXK465" s="156"/>
      <c r="JXL465" s="156"/>
      <c r="JXM465" s="156"/>
      <c r="JXN465" s="156"/>
      <c r="JXO465" s="156"/>
      <c r="JXP465" s="156"/>
      <c r="JXQ465" s="156"/>
      <c r="JXR465" s="156"/>
      <c r="JXS465" s="156"/>
      <c r="JXT465" s="156"/>
      <c r="JXU465" s="156"/>
      <c r="JXV465" s="156"/>
      <c r="JXW465" s="156"/>
      <c r="JXX465" s="156"/>
      <c r="JXY465" s="156"/>
      <c r="JXZ465" s="156"/>
      <c r="JYA465" s="156"/>
      <c r="JYB465" s="156"/>
      <c r="JYC465" s="156"/>
      <c r="JYD465" s="156"/>
      <c r="JYE465" s="156"/>
      <c r="JYF465" s="156"/>
      <c r="JYG465" s="156"/>
      <c r="JYH465" s="156"/>
      <c r="JYI465" s="156"/>
      <c r="JYJ465" s="156"/>
      <c r="JYK465" s="156"/>
      <c r="JYL465" s="156"/>
      <c r="JYM465" s="156"/>
      <c r="JYN465" s="156"/>
      <c r="JYO465" s="156"/>
      <c r="JYP465" s="156"/>
      <c r="JYQ465" s="156"/>
      <c r="JYR465" s="156"/>
      <c r="JYS465" s="156"/>
      <c r="JYT465" s="156"/>
      <c r="JYU465" s="156"/>
      <c r="JYV465" s="156"/>
      <c r="JYW465" s="156"/>
      <c r="JYX465" s="156"/>
      <c r="JYY465" s="156"/>
      <c r="JYZ465" s="156"/>
      <c r="JZA465" s="156"/>
      <c r="JZB465" s="156"/>
      <c r="JZC465" s="156"/>
      <c r="JZD465" s="156"/>
      <c r="JZE465" s="156"/>
      <c r="JZF465" s="156"/>
      <c r="JZG465" s="156"/>
      <c r="JZH465" s="156"/>
      <c r="JZI465" s="156"/>
      <c r="JZJ465" s="156"/>
      <c r="JZK465" s="156"/>
      <c r="JZL465" s="156"/>
      <c r="JZM465" s="156"/>
      <c r="JZN465" s="156"/>
      <c r="JZO465" s="156"/>
      <c r="JZP465" s="156"/>
      <c r="JZQ465" s="156"/>
      <c r="JZR465" s="156"/>
      <c r="JZS465" s="156"/>
      <c r="JZT465" s="156"/>
      <c r="JZU465" s="156"/>
      <c r="JZV465" s="156"/>
      <c r="JZW465" s="156"/>
      <c r="JZX465" s="156"/>
      <c r="JZY465" s="156"/>
      <c r="JZZ465" s="156"/>
      <c r="KAA465" s="156"/>
      <c r="KAB465" s="156"/>
      <c r="KAC465" s="156"/>
      <c r="KAD465" s="156"/>
      <c r="KAE465" s="156"/>
      <c r="KAF465" s="156"/>
      <c r="KAG465" s="156"/>
      <c r="KAH465" s="156"/>
      <c r="KAI465" s="156"/>
      <c r="KAJ465" s="156"/>
      <c r="KAK465" s="156"/>
      <c r="KAL465" s="156"/>
      <c r="KAM465" s="156"/>
      <c r="KAN465" s="156"/>
      <c r="KAO465" s="156"/>
      <c r="KAP465" s="156"/>
      <c r="KAQ465" s="156"/>
      <c r="KAR465" s="156"/>
      <c r="KAS465" s="156"/>
      <c r="KAT465" s="156"/>
      <c r="KAU465" s="156"/>
      <c r="KAV465" s="156"/>
      <c r="KAW465" s="156"/>
      <c r="KAX465" s="156"/>
      <c r="KAY465" s="156"/>
      <c r="KAZ465" s="156"/>
      <c r="KBA465" s="156"/>
      <c r="KBB465" s="156"/>
      <c r="KBC465" s="156"/>
      <c r="KBD465" s="156"/>
      <c r="KBE465" s="156"/>
      <c r="KBF465" s="156"/>
      <c r="KBG465" s="156"/>
      <c r="KBH465" s="156"/>
      <c r="KBI465" s="156"/>
      <c r="KBJ465" s="156"/>
      <c r="KBK465" s="156"/>
      <c r="KBL465" s="156"/>
      <c r="KBM465" s="156"/>
      <c r="KBN465" s="156"/>
      <c r="KBO465" s="156"/>
      <c r="KBP465" s="156"/>
      <c r="KBQ465" s="156"/>
      <c r="KBR465" s="156"/>
      <c r="KBS465" s="156"/>
      <c r="KBT465" s="156"/>
      <c r="KBU465" s="156"/>
      <c r="KBV465" s="156"/>
      <c r="KBW465" s="156"/>
      <c r="KBX465" s="156"/>
      <c r="KBY465" s="156"/>
      <c r="KBZ465" s="156"/>
      <c r="KCA465" s="156"/>
      <c r="KCB465" s="156"/>
      <c r="KCC465" s="156"/>
      <c r="KCD465" s="156"/>
      <c r="KCE465" s="156"/>
      <c r="KCF465" s="156"/>
      <c r="KCG465" s="156"/>
      <c r="KCH465" s="156"/>
      <c r="KCI465" s="156"/>
      <c r="KCJ465" s="156"/>
      <c r="KCK465" s="156"/>
      <c r="KCL465" s="156"/>
      <c r="KCM465" s="156"/>
      <c r="KCN465" s="156"/>
      <c r="KCO465" s="156"/>
      <c r="KCP465" s="156"/>
      <c r="KCQ465" s="156"/>
      <c r="KCR465" s="156"/>
      <c r="KCS465" s="156"/>
      <c r="KCT465" s="156"/>
      <c r="KCU465" s="156"/>
      <c r="KCV465" s="156"/>
      <c r="KCW465" s="156"/>
      <c r="KCX465" s="156"/>
      <c r="KCY465" s="156"/>
      <c r="KCZ465" s="156"/>
      <c r="KDA465" s="156"/>
      <c r="KDB465" s="156"/>
      <c r="KDC465" s="156"/>
      <c r="KDD465" s="156"/>
      <c r="KDE465" s="156"/>
      <c r="KDF465" s="156"/>
      <c r="KDG465" s="156"/>
      <c r="KDH465" s="156"/>
      <c r="KDI465" s="156"/>
      <c r="KDJ465" s="156"/>
      <c r="KDK465" s="156"/>
      <c r="KDL465" s="156"/>
      <c r="KDM465" s="156"/>
      <c r="KDN465" s="156"/>
      <c r="KDO465" s="156"/>
      <c r="KDP465" s="156"/>
      <c r="KDQ465" s="156"/>
      <c r="KDR465" s="156"/>
      <c r="KDS465" s="156"/>
      <c r="KDT465" s="156"/>
      <c r="KDU465" s="156"/>
      <c r="KDV465" s="156"/>
      <c r="KDW465" s="156"/>
      <c r="KDX465" s="156"/>
      <c r="KDY465" s="156"/>
      <c r="KDZ465" s="156"/>
      <c r="KEA465" s="156"/>
      <c r="KEB465" s="156"/>
      <c r="KEC465" s="156"/>
      <c r="KED465" s="156"/>
      <c r="KEE465" s="156"/>
      <c r="KEF465" s="156"/>
      <c r="KEG465" s="156"/>
      <c r="KEH465" s="156"/>
      <c r="KEI465" s="156"/>
      <c r="KEJ465" s="156"/>
      <c r="KEK465" s="156"/>
      <c r="KEL465" s="156"/>
      <c r="KEM465" s="156"/>
      <c r="KEN465" s="156"/>
      <c r="KEO465" s="156"/>
      <c r="KEP465" s="156"/>
      <c r="KEQ465" s="156"/>
      <c r="KER465" s="156"/>
      <c r="KES465" s="156"/>
      <c r="KET465" s="156"/>
      <c r="KEU465" s="156"/>
      <c r="KEV465" s="156"/>
      <c r="KEW465" s="156"/>
      <c r="KEX465" s="156"/>
      <c r="KEY465" s="156"/>
      <c r="KEZ465" s="156"/>
      <c r="KFA465" s="156"/>
      <c r="KFB465" s="156"/>
      <c r="KFC465" s="156"/>
      <c r="KFD465" s="156"/>
      <c r="KFE465" s="156"/>
      <c r="KFF465" s="156"/>
      <c r="KFG465" s="156"/>
      <c r="KFH465" s="156"/>
      <c r="KFI465" s="156"/>
      <c r="KFJ465" s="156"/>
      <c r="KFK465" s="156"/>
      <c r="KFL465" s="156"/>
      <c r="KFM465" s="156"/>
      <c r="KFN465" s="156"/>
      <c r="KFO465" s="156"/>
      <c r="KFP465" s="156"/>
      <c r="KFQ465" s="156"/>
      <c r="KFR465" s="156"/>
      <c r="KFS465" s="156"/>
      <c r="KFT465" s="156"/>
      <c r="KFU465" s="156"/>
      <c r="KFV465" s="156"/>
      <c r="KFW465" s="156"/>
      <c r="KFX465" s="156"/>
      <c r="KFY465" s="156"/>
      <c r="KFZ465" s="156"/>
      <c r="KGA465" s="156"/>
      <c r="KGB465" s="156"/>
      <c r="KGC465" s="156"/>
      <c r="KGD465" s="156"/>
      <c r="KGE465" s="156"/>
      <c r="KGF465" s="156"/>
      <c r="KGG465" s="156"/>
      <c r="KGH465" s="156"/>
      <c r="KGI465" s="156"/>
      <c r="KGJ465" s="156"/>
      <c r="KGK465" s="156"/>
      <c r="KGL465" s="156"/>
      <c r="KGM465" s="156"/>
      <c r="KGN465" s="156"/>
      <c r="KGO465" s="156"/>
      <c r="KGP465" s="156"/>
      <c r="KGQ465" s="156"/>
      <c r="KGR465" s="156"/>
      <c r="KGS465" s="156"/>
      <c r="KGT465" s="156"/>
      <c r="KGU465" s="156"/>
      <c r="KGV465" s="156"/>
      <c r="KGW465" s="156"/>
      <c r="KGX465" s="156"/>
      <c r="KGY465" s="156"/>
      <c r="KGZ465" s="156"/>
      <c r="KHA465" s="156"/>
      <c r="KHB465" s="156"/>
      <c r="KHC465" s="156"/>
      <c r="KHD465" s="156"/>
      <c r="KHE465" s="156"/>
      <c r="KHF465" s="156"/>
      <c r="KHG465" s="156"/>
      <c r="KHH465" s="156"/>
      <c r="KHI465" s="156"/>
      <c r="KHJ465" s="156"/>
      <c r="KHK465" s="156"/>
      <c r="KHL465" s="156"/>
      <c r="KHM465" s="156"/>
      <c r="KHN465" s="156"/>
      <c r="KHO465" s="156"/>
      <c r="KHP465" s="156"/>
      <c r="KHQ465" s="156"/>
      <c r="KHR465" s="156"/>
      <c r="KHS465" s="156"/>
      <c r="KHT465" s="156"/>
      <c r="KHU465" s="156"/>
      <c r="KHV465" s="156"/>
      <c r="KHW465" s="156"/>
      <c r="KHX465" s="156"/>
      <c r="KHY465" s="156"/>
      <c r="KHZ465" s="156"/>
      <c r="KIA465" s="156"/>
      <c r="KIB465" s="156"/>
      <c r="KIC465" s="156"/>
      <c r="KID465" s="156"/>
      <c r="KIE465" s="156"/>
      <c r="KIF465" s="156"/>
      <c r="KIG465" s="156"/>
      <c r="KIH465" s="156"/>
      <c r="KII465" s="156"/>
      <c r="KIJ465" s="156"/>
      <c r="KIK465" s="156"/>
      <c r="KIL465" s="156"/>
      <c r="KIM465" s="156"/>
      <c r="KIN465" s="156"/>
      <c r="KIO465" s="156"/>
      <c r="KIP465" s="156"/>
      <c r="KIQ465" s="156"/>
      <c r="KIR465" s="156"/>
      <c r="KIS465" s="156"/>
      <c r="KIT465" s="156"/>
      <c r="KIU465" s="156"/>
      <c r="KIV465" s="156"/>
      <c r="KIW465" s="156"/>
      <c r="KIX465" s="156"/>
      <c r="KIY465" s="156"/>
      <c r="KIZ465" s="156"/>
      <c r="KJA465" s="156"/>
      <c r="KJB465" s="156"/>
      <c r="KJC465" s="156"/>
      <c r="KJD465" s="156"/>
      <c r="KJE465" s="156"/>
      <c r="KJF465" s="156"/>
      <c r="KJG465" s="156"/>
      <c r="KJH465" s="156"/>
      <c r="KJI465" s="156"/>
      <c r="KJJ465" s="156"/>
      <c r="KJK465" s="156"/>
      <c r="KJL465" s="156"/>
      <c r="KJM465" s="156"/>
      <c r="KJN465" s="156"/>
      <c r="KJO465" s="156"/>
      <c r="KJP465" s="156"/>
      <c r="KJQ465" s="156"/>
      <c r="KJR465" s="156"/>
      <c r="KJS465" s="156"/>
      <c r="KJT465" s="156"/>
      <c r="KJU465" s="156"/>
      <c r="KJV465" s="156"/>
      <c r="KJW465" s="156"/>
      <c r="KJX465" s="156"/>
      <c r="KJY465" s="156"/>
      <c r="KJZ465" s="156"/>
      <c r="KKA465" s="156"/>
      <c r="KKB465" s="156"/>
      <c r="KKC465" s="156"/>
      <c r="KKD465" s="156"/>
      <c r="KKE465" s="156"/>
      <c r="KKF465" s="156"/>
      <c r="KKG465" s="156"/>
      <c r="KKH465" s="156"/>
      <c r="KKI465" s="156"/>
      <c r="KKJ465" s="156"/>
      <c r="KKK465" s="156"/>
      <c r="KKL465" s="156"/>
      <c r="KKM465" s="156"/>
      <c r="KKN465" s="156"/>
      <c r="KKO465" s="156"/>
      <c r="KKP465" s="156"/>
      <c r="KKQ465" s="156"/>
      <c r="KKR465" s="156"/>
      <c r="KKS465" s="156"/>
      <c r="KKT465" s="156"/>
      <c r="KKU465" s="156"/>
      <c r="KKV465" s="156"/>
      <c r="KKW465" s="156"/>
      <c r="KKX465" s="156"/>
      <c r="KKY465" s="156"/>
      <c r="KKZ465" s="156"/>
      <c r="KLA465" s="156"/>
      <c r="KLB465" s="156"/>
      <c r="KLC465" s="156"/>
      <c r="KLD465" s="156"/>
      <c r="KLE465" s="156"/>
      <c r="KLF465" s="156"/>
      <c r="KLG465" s="156"/>
      <c r="KLH465" s="156"/>
      <c r="KLI465" s="156"/>
      <c r="KLJ465" s="156"/>
      <c r="KLK465" s="156"/>
      <c r="KLL465" s="156"/>
      <c r="KLM465" s="156"/>
      <c r="KLN465" s="156"/>
      <c r="KLO465" s="156"/>
      <c r="KLP465" s="156"/>
      <c r="KLQ465" s="156"/>
      <c r="KLR465" s="156"/>
      <c r="KLS465" s="156"/>
      <c r="KLT465" s="156"/>
      <c r="KLU465" s="156"/>
      <c r="KLV465" s="156"/>
      <c r="KLW465" s="156"/>
      <c r="KLX465" s="156"/>
      <c r="KLY465" s="156"/>
      <c r="KLZ465" s="156"/>
      <c r="KMA465" s="156"/>
      <c r="KMB465" s="156"/>
      <c r="KMC465" s="156"/>
      <c r="KMD465" s="156"/>
      <c r="KME465" s="156"/>
      <c r="KMF465" s="156"/>
      <c r="KMG465" s="156"/>
      <c r="KMH465" s="156"/>
      <c r="KMI465" s="156"/>
      <c r="KMJ465" s="156"/>
      <c r="KMK465" s="156"/>
      <c r="KML465" s="156"/>
      <c r="KMM465" s="156"/>
      <c r="KMN465" s="156"/>
      <c r="KMO465" s="156"/>
      <c r="KMP465" s="156"/>
      <c r="KMQ465" s="156"/>
      <c r="KMR465" s="156"/>
      <c r="KMS465" s="156"/>
      <c r="KMT465" s="156"/>
      <c r="KMU465" s="156"/>
      <c r="KMV465" s="156"/>
      <c r="KMW465" s="156"/>
      <c r="KMX465" s="156"/>
      <c r="KMY465" s="156"/>
      <c r="KMZ465" s="156"/>
      <c r="KNA465" s="156"/>
      <c r="KNB465" s="156"/>
      <c r="KNC465" s="156"/>
      <c r="KND465" s="156"/>
      <c r="KNE465" s="156"/>
      <c r="KNF465" s="156"/>
      <c r="KNG465" s="156"/>
      <c r="KNH465" s="156"/>
      <c r="KNI465" s="156"/>
      <c r="KNJ465" s="156"/>
      <c r="KNK465" s="156"/>
      <c r="KNL465" s="156"/>
      <c r="KNM465" s="156"/>
      <c r="KNN465" s="156"/>
      <c r="KNO465" s="156"/>
      <c r="KNP465" s="156"/>
      <c r="KNQ465" s="156"/>
      <c r="KNR465" s="156"/>
      <c r="KNS465" s="156"/>
      <c r="KNT465" s="156"/>
      <c r="KNU465" s="156"/>
      <c r="KNV465" s="156"/>
      <c r="KNW465" s="156"/>
      <c r="KNX465" s="156"/>
      <c r="KNY465" s="156"/>
      <c r="KNZ465" s="156"/>
      <c r="KOA465" s="156"/>
      <c r="KOB465" s="156"/>
      <c r="KOC465" s="156"/>
      <c r="KOD465" s="156"/>
      <c r="KOE465" s="156"/>
      <c r="KOF465" s="156"/>
      <c r="KOG465" s="156"/>
      <c r="KOH465" s="156"/>
      <c r="KOI465" s="156"/>
      <c r="KOJ465" s="156"/>
      <c r="KOK465" s="156"/>
      <c r="KOL465" s="156"/>
      <c r="KOM465" s="156"/>
      <c r="KON465" s="156"/>
      <c r="KOO465" s="156"/>
      <c r="KOP465" s="156"/>
      <c r="KOQ465" s="156"/>
      <c r="KOR465" s="156"/>
      <c r="KOS465" s="156"/>
      <c r="KOT465" s="156"/>
      <c r="KOU465" s="156"/>
      <c r="KOV465" s="156"/>
      <c r="KOW465" s="156"/>
      <c r="KOX465" s="156"/>
      <c r="KOY465" s="156"/>
      <c r="KOZ465" s="156"/>
      <c r="KPA465" s="156"/>
      <c r="KPB465" s="156"/>
      <c r="KPC465" s="156"/>
      <c r="KPD465" s="156"/>
      <c r="KPE465" s="156"/>
      <c r="KPF465" s="156"/>
      <c r="KPG465" s="156"/>
      <c r="KPH465" s="156"/>
      <c r="KPI465" s="156"/>
      <c r="KPJ465" s="156"/>
      <c r="KPK465" s="156"/>
      <c r="KPL465" s="156"/>
      <c r="KPM465" s="156"/>
      <c r="KPN465" s="156"/>
      <c r="KPO465" s="156"/>
      <c r="KPP465" s="156"/>
      <c r="KPQ465" s="156"/>
      <c r="KPR465" s="156"/>
      <c r="KPS465" s="156"/>
      <c r="KPT465" s="156"/>
      <c r="KPU465" s="156"/>
      <c r="KPV465" s="156"/>
      <c r="KPW465" s="156"/>
      <c r="KPX465" s="156"/>
      <c r="KPY465" s="156"/>
      <c r="KPZ465" s="156"/>
      <c r="KQA465" s="156"/>
      <c r="KQB465" s="156"/>
      <c r="KQC465" s="156"/>
      <c r="KQD465" s="156"/>
      <c r="KQE465" s="156"/>
      <c r="KQF465" s="156"/>
      <c r="KQG465" s="156"/>
      <c r="KQH465" s="156"/>
      <c r="KQI465" s="156"/>
      <c r="KQJ465" s="156"/>
      <c r="KQK465" s="156"/>
      <c r="KQL465" s="156"/>
      <c r="KQM465" s="156"/>
      <c r="KQN465" s="156"/>
      <c r="KQO465" s="156"/>
      <c r="KQP465" s="156"/>
      <c r="KQQ465" s="156"/>
      <c r="KQR465" s="156"/>
      <c r="KQS465" s="156"/>
      <c r="KQT465" s="156"/>
      <c r="KQU465" s="156"/>
      <c r="KQV465" s="156"/>
      <c r="KQW465" s="156"/>
      <c r="KQX465" s="156"/>
      <c r="KQY465" s="156"/>
      <c r="KQZ465" s="156"/>
      <c r="KRA465" s="156"/>
      <c r="KRB465" s="156"/>
      <c r="KRC465" s="156"/>
      <c r="KRD465" s="156"/>
      <c r="KRE465" s="156"/>
      <c r="KRF465" s="156"/>
      <c r="KRG465" s="156"/>
      <c r="KRH465" s="156"/>
      <c r="KRI465" s="156"/>
      <c r="KRJ465" s="156"/>
      <c r="KRK465" s="156"/>
      <c r="KRL465" s="156"/>
      <c r="KRM465" s="156"/>
      <c r="KRN465" s="156"/>
      <c r="KRO465" s="156"/>
      <c r="KRP465" s="156"/>
      <c r="KRQ465" s="156"/>
      <c r="KRR465" s="156"/>
      <c r="KRS465" s="156"/>
      <c r="KRT465" s="156"/>
      <c r="KRU465" s="156"/>
      <c r="KRV465" s="156"/>
      <c r="KRW465" s="156"/>
      <c r="KRX465" s="156"/>
      <c r="KRY465" s="156"/>
      <c r="KRZ465" s="156"/>
      <c r="KSA465" s="156"/>
      <c r="KSB465" s="156"/>
      <c r="KSC465" s="156"/>
      <c r="KSD465" s="156"/>
      <c r="KSE465" s="156"/>
      <c r="KSF465" s="156"/>
      <c r="KSG465" s="156"/>
      <c r="KSH465" s="156"/>
      <c r="KSI465" s="156"/>
      <c r="KSJ465" s="156"/>
      <c r="KSK465" s="156"/>
      <c r="KSL465" s="156"/>
      <c r="KSM465" s="156"/>
      <c r="KSN465" s="156"/>
      <c r="KSO465" s="156"/>
      <c r="KSP465" s="156"/>
      <c r="KSQ465" s="156"/>
      <c r="KSR465" s="156"/>
      <c r="KSS465" s="156"/>
      <c r="KST465" s="156"/>
      <c r="KSU465" s="156"/>
      <c r="KSV465" s="156"/>
      <c r="KSW465" s="156"/>
      <c r="KSX465" s="156"/>
      <c r="KSY465" s="156"/>
      <c r="KSZ465" s="156"/>
      <c r="KTA465" s="156"/>
      <c r="KTB465" s="156"/>
      <c r="KTC465" s="156"/>
      <c r="KTD465" s="156"/>
      <c r="KTE465" s="156"/>
      <c r="KTF465" s="156"/>
      <c r="KTG465" s="156"/>
      <c r="KTH465" s="156"/>
      <c r="KTI465" s="156"/>
      <c r="KTJ465" s="156"/>
      <c r="KTK465" s="156"/>
      <c r="KTL465" s="156"/>
      <c r="KTM465" s="156"/>
      <c r="KTN465" s="156"/>
      <c r="KTO465" s="156"/>
      <c r="KTP465" s="156"/>
      <c r="KTQ465" s="156"/>
      <c r="KTR465" s="156"/>
      <c r="KTS465" s="156"/>
      <c r="KTT465" s="156"/>
      <c r="KTU465" s="156"/>
      <c r="KTV465" s="156"/>
      <c r="KTW465" s="156"/>
      <c r="KTX465" s="156"/>
      <c r="KTY465" s="156"/>
      <c r="KTZ465" s="156"/>
      <c r="KUA465" s="156"/>
      <c r="KUB465" s="156"/>
      <c r="KUC465" s="156"/>
      <c r="KUD465" s="156"/>
      <c r="KUE465" s="156"/>
      <c r="KUF465" s="156"/>
      <c r="KUG465" s="156"/>
      <c r="KUH465" s="156"/>
      <c r="KUI465" s="156"/>
      <c r="KUJ465" s="156"/>
      <c r="KUK465" s="156"/>
      <c r="KUL465" s="156"/>
      <c r="KUM465" s="156"/>
      <c r="KUN465" s="156"/>
      <c r="KUO465" s="156"/>
      <c r="KUP465" s="156"/>
      <c r="KUQ465" s="156"/>
      <c r="KUR465" s="156"/>
      <c r="KUS465" s="156"/>
      <c r="KUT465" s="156"/>
      <c r="KUU465" s="156"/>
      <c r="KUV465" s="156"/>
      <c r="KUW465" s="156"/>
      <c r="KUX465" s="156"/>
      <c r="KUY465" s="156"/>
      <c r="KUZ465" s="156"/>
      <c r="KVA465" s="156"/>
      <c r="KVB465" s="156"/>
      <c r="KVC465" s="156"/>
      <c r="KVD465" s="156"/>
      <c r="KVE465" s="156"/>
      <c r="KVF465" s="156"/>
      <c r="KVG465" s="156"/>
      <c r="KVH465" s="156"/>
      <c r="KVI465" s="156"/>
      <c r="KVJ465" s="156"/>
      <c r="KVK465" s="156"/>
      <c r="KVL465" s="156"/>
      <c r="KVM465" s="156"/>
      <c r="KVN465" s="156"/>
      <c r="KVO465" s="156"/>
      <c r="KVP465" s="156"/>
      <c r="KVQ465" s="156"/>
      <c r="KVR465" s="156"/>
      <c r="KVS465" s="156"/>
      <c r="KVT465" s="156"/>
      <c r="KVU465" s="156"/>
      <c r="KVV465" s="156"/>
      <c r="KVW465" s="156"/>
      <c r="KVX465" s="156"/>
      <c r="KVY465" s="156"/>
      <c r="KVZ465" s="156"/>
      <c r="KWA465" s="156"/>
      <c r="KWB465" s="156"/>
      <c r="KWC465" s="156"/>
      <c r="KWD465" s="156"/>
      <c r="KWE465" s="156"/>
      <c r="KWF465" s="156"/>
      <c r="KWG465" s="156"/>
      <c r="KWH465" s="156"/>
      <c r="KWI465" s="156"/>
      <c r="KWJ465" s="156"/>
      <c r="KWK465" s="156"/>
      <c r="KWL465" s="156"/>
      <c r="KWM465" s="156"/>
      <c r="KWN465" s="156"/>
      <c r="KWO465" s="156"/>
      <c r="KWP465" s="156"/>
      <c r="KWQ465" s="156"/>
      <c r="KWR465" s="156"/>
      <c r="KWS465" s="156"/>
      <c r="KWT465" s="156"/>
      <c r="KWU465" s="156"/>
      <c r="KWV465" s="156"/>
      <c r="KWW465" s="156"/>
      <c r="KWX465" s="156"/>
      <c r="KWY465" s="156"/>
      <c r="KWZ465" s="156"/>
      <c r="KXA465" s="156"/>
      <c r="KXB465" s="156"/>
      <c r="KXC465" s="156"/>
      <c r="KXD465" s="156"/>
      <c r="KXE465" s="156"/>
      <c r="KXF465" s="156"/>
      <c r="KXG465" s="156"/>
      <c r="KXH465" s="156"/>
      <c r="KXI465" s="156"/>
      <c r="KXJ465" s="156"/>
      <c r="KXK465" s="156"/>
      <c r="KXL465" s="156"/>
      <c r="KXM465" s="156"/>
      <c r="KXN465" s="156"/>
      <c r="KXO465" s="156"/>
      <c r="KXP465" s="156"/>
      <c r="KXQ465" s="156"/>
      <c r="KXR465" s="156"/>
      <c r="KXS465" s="156"/>
      <c r="KXT465" s="156"/>
      <c r="KXU465" s="156"/>
      <c r="KXV465" s="156"/>
      <c r="KXW465" s="156"/>
      <c r="KXX465" s="156"/>
      <c r="KXY465" s="156"/>
      <c r="KXZ465" s="156"/>
      <c r="KYA465" s="156"/>
      <c r="KYB465" s="156"/>
      <c r="KYC465" s="156"/>
      <c r="KYD465" s="156"/>
      <c r="KYE465" s="156"/>
      <c r="KYF465" s="156"/>
      <c r="KYG465" s="156"/>
      <c r="KYH465" s="156"/>
      <c r="KYI465" s="156"/>
      <c r="KYJ465" s="156"/>
      <c r="KYK465" s="156"/>
      <c r="KYL465" s="156"/>
      <c r="KYM465" s="156"/>
      <c r="KYN465" s="156"/>
      <c r="KYO465" s="156"/>
      <c r="KYP465" s="156"/>
      <c r="KYQ465" s="156"/>
      <c r="KYR465" s="156"/>
      <c r="KYS465" s="156"/>
      <c r="KYT465" s="156"/>
      <c r="KYU465" s="156"/>
      <c r="KYV465" s="156"/>
      <c r="KYW465" s="156"/>
      <c r="KYX465" s="156"/>
      <c r="KYY465" s="156"/>
      <c r="KYZ465" s="156"/>
      <c r="KZA465" s="156"/>
      <c r="KZB465" s="156"/>
      <c r="KZC465" s="156"/>
      <c r="KZD465" s="156"/>
      <c r="KZE465" s="156"/>
      <c r="KZF465" s="156"/>
      <c r="KZG465" s="156"/>
      <c r="KZH465" s="156"/>
      <c r="KZI465" s="156"/>
      <c r="KZJ465" s="156"/>
      <c r="KZK465" s="156"/>
      <c r="KZL465" s="156"/>
      <c r="KZM465" s="156"/>
      <c r="KZN465" s="156"/>
      <c r="KZO465" s="156"/>
      <c r="KZP465" s="156"/>
      <c r="KZQ465" s="156"/>
      <c r="KZR465" s="156"/>
      <c r="KZS465" s="156"/>
      <c r="KZT465" s="156"/>
      <c r="KZU465" s="156"/>
      <c r="KZV465" s="156"/>
      <c r="KZW465" s="156"/>
      <c r="KZX465" s="156"/>
      <c r="KZY465" s="156"/>
      <c r="KZZ465" s="156"/>
      <c r="LAA465" s="156"/>
      <c r="LAB465" s="156"/>
      <c r="LAC465" s="156"/>
      <c r="LAD465" s="156"/>
      <c r="LAE465" s="156"/>
      <c r="LAF465" s="156"/>
      <c r="LAG465" s="156"/>
      <c r="LAH465" s="156"/>
      <c r="LAI465" s="156"/>
      <c r="LAJ465" s="156"/>
      <c r="LAK465" s="156"/>
      <c r="LAL465" s="156"/>
      <c r="LAM465" s="156"/>
      <c r="LAN465" s="156"/>
      <c r="LAO465" s="156"/>
      <c r="LAP465" s="156"/>
      <c r="LAQ465" s="156"/>
      <c r="LAR465" s="156"/>
      <c r="LAS465" s="156"/>
      <c r="LAT465" s="156"/>
      <c r="LAU465" s="156"/>
      <c r="LAV465" s="156"/>
      <c r="LAW465" s="156"/>
      <c r="LAX465" s="156"/>
      <c r="LAY465" s="156"/>
      <c r="LAZ465" s="156"/>
      <c r="LBA465" s="156"/>
      <c r="LBB465" s="156"/>
      <c r="LBC465" s="156"/>
      <c r="LBD465" s="156"/>
      <c r="LBE465" s="156"/>
      <c r="LBF465" s="156"/>
      <c r="LBG465" s="156"/>
      <c r="LBH465" s="156"/>
      <c r="LBI465" s="156"/>
      <c r="LBJ465" s="156"/>
      <c r="LBK465" s="156"/>
      <c r="LBL465" s="156"/>
      <c r="LBM465" s="156"/>
      <c r="LBN465" s="156"/>
      <c r="LBO465" s="156"/>
      <c r="LBP465" s="156"/>
      <c r="LBQ465" s="156"/>
      <c r="LBR465" s="156"/>
      <c r="LBS465" s="156"/>
      <c r="LBT465" s="156"/>
      <c r="LBU465" s="156"/>
      <c r="LBV465" s="156"/>
      <c r="LBW465" s="156"/>
      <c r="LBX465" s="156"/>
      <c r="LBY465" s="156"/>
      <c r="LBZ465" s="156"/>
      <c r="LCA465" s="156"/>
      <c r="LCB465" s="156"/>
      <c r="LCC465" s="156"/>
      <c r="LCD465" s="156"/>
      <c r="LCE465" s="156"/>
      <c r="LCF465" s="156"/>
      <c r="LCG465" s="156"/>
      <c r="LCH465" s="156"/>
      <c r="LCI465" s="156"/>
      <c r="LCJ465" s="156"/>
      <c r="LCK465" s="156"/>
      <c r="LCL465" s="156"/>
      <c r="LCM465" s="156"/>
      <c r="LCN465" s="156"/>
      <c r="LCO465" s="156"/>
      <c r="LCP465" s="156"/>
      <c r="LCQ465" s="156"/>
      <c r="LCR465" s="156"/>
      <c r="LCS465" s="156"/>
      <c r="LCT465" s="156"/>
      <c r="LCU465" s="156"/>
      <c r="LCV465" s="156"/>
      <c r="LCW465" s="156"/>
      <c r="LCX465" s="156"/>
      <c r="LCY465" s="156"/>
      <c r="LCZ465" s="156"/>
      <c r="LDA465" s="156"/>
      <c r="LDB465" s="156"/>
      <c r="LDC465" s="156"/>
      <c r="LDD465" s="156"/>
      <c r="LDE465" s="156"/>
      <c r="LDF465" s="156"/>
      <c r="LDG465" s="156"/>
      <c r="LDH465" s="156"/>
      <c r="LDI465" s="156"/>
      <c r="LDJ465" s="156"/>
      <c r="LDK465" s="156"/>
      <c r="LDL465" s="156"/>
      <c r="LDM465" s="156"/>
      <c r="LDN465" s="156"/>
      <c r="LDO465" s="156"/>
      <c r="LDP465" s="156"/>
      <c r="LDQ465" s="156"/>
      <c r="LDR465" s="156"/>
      <c r="LDS465" s="156"/>
      <c r="LDT465" s="156"/>
      <c r="LDU465" s="156"/>
      <c r="LDV465" s="156"/>
      <c r="LDW465" s="156"/>
      <c r="LDX465" s="156"/>
      <c r="LDY465" s="156"/>
      <c r="LDZ465" s="156"/>
      <c r="LEA465" s="156"/>
      <c r="LEB465" s="156"/>
      <c r="LEC465" s="156"/>
      <c r="LED465" s="156"/>
      <c r="LEE465" s="156"/>
      <c r="LEF465" s="156"/>
      <c r="LEG465" s="156"/>
      <c r="LEH465" s="156"/>
      <c r="LEI465" s="156"/>
      <c r="LEJ465" s="156"/>
      <c r="LEK465" s="156"/>
      <c r="LEL465" s="156"/>
      <c r="LEM465" s="156"/>
      <c r="LEN465" s="156"/>
      <c r="LEO465" s="156"/>
      <c r="LEP465" s="156"/>
      <c r="LEQ465" s="156"/>
      <c r="LER465" s="156"/>
      <c r="LES465" s="156"/>
      <c r="LET465" s="156"/>
      <c r="LEU465" s="156"/>
      <c r="LEV465" s="156"/>
      <c r="LEW465" s="156"/>
      <c r="LEX465" s="156"/>
      <c r="LEY465" s="156"/>
      <c r="LEZ465" s="156"/>
      <c r="LFA465" s="156"/>
      <c r="LFB465" s="156"/>
      <c r="LFC465" s="156"/>
      <c r="LFD465" s="156"/>
      <c r="LFE465" s="156"/>
      <c r="LFF465" s="156"/>
      <c r="LFG465" s="156"/>
      <c r="LFH465" s="156"/>
      <c r="LFI465" s="156"/>
      <c r="LFJ465" s="156"/>
      <c r="LFK465" s="156"/>
      <c r="LFL465" s="156"/>
      <c r="LFM465" s="156"/>
      <c r="LFN465" s="156"/>
      <c r="LFO465" s="156"/>
      <c r="LFP465" s="156"/>
      <c r="LFQ465" s="156"/>
      <c r="LFR465" s="156"/>
      <c r="LFS465" s="156"/>
      <c r="LFT465" s="156"/>
      <c r="LFU465" s="156"/>
      <c r="LFV465" s="156"/>
      <c r="LFW465" s="156"/>
      <c r="LFX465" s="156"/>
      <c r="LFY465" s="156"/>
      <c r="LFZ465" s="156"/>
      <c r="LGA465" s="156"/>
      <c r="LGB465" s="156"/>
      <c r="LGC465" s="156"/>
      <c r="LGD465" s="156"/>
      <c r="LGE465" s="156"/>
      <c r="LGF465" s="156"/>
      <c r="LGG465" s="156"/>
      <c r="LGH465" s="156"/>
      <c r="LGI465" s="156"/>
      <c r="LGJ465" s="156"/>
      <c r="LGK465" s="156"/>
      <c r="LGL465" s="156"/>
      <c r="LGM465" s="156"/>
      <c r="LGN465" s="156"/>
      <c r="LGO465" s="156"/>
      <c r="LGP465" s="156"/>
      <c r="LGQ465" s="156"/>
      <c r="LGR465" s="156"/>
      <c r="LGS465" s="156"/>
      <c r="LGT465" s="156"/>
      <c r="LGU465" s="156"/>
      <c r="LGV465" s="156"/>
      <c r="LGW465" s="156"/>
      <c r="LGX465" s="156"/>
      <c r="LGY465" s="156"/>
      <c r="LGZ465" s="156"/>
      <c r="LHA465" s="156"/>
      <c r="LHB465" s="156"/>
      <c r="LHC465" s="156"/>
      <c r="LHD465" s="156"/>
      <c r="LHE465" s="156"/>
      <c r="LHF465" s="156"/>
      <c r="LHG465" s="156"/>
      <c r="LHH465" s="156"/>
      <c r="LHI465" s="156"/>
      <c r="LHJ465" s="156"/>
      <c r="LHK465" s="156"/>
      <c r="LHL465" s="156"/>
      <c r="LHM465" s="156"/>
      <c r="LHN465" s="156"/>
      <c r="LHO465" s="156"/>
      <c r="LHP465" s="156"/>
      <c r="LHQ465" s="156"/>
      <c r="LHR465" s="156"/>
      <c r="LHS465" s="156"/>
      <c r="LHT465" s="156"/>
      <c r="LHU465" s="156"/>
      <c r="LHV465" s="156"/>
      <c r="LHW465" s="156"/>
      <c r="LHX465" s="156"/>
      <c r="LHY465" s="156"/>
      <c r="LHZ465" s="156"/>
      <c r="LIA465" s="156"/>
      <c r="LIB465" s="156"/>
      <c r="LIC465" s="156"/>
      <c r="LID465" s="156"/>
      <c r="LIE465" s="156"/>
      <c r="LIF465" s="156"/>
      <c r="LIG465" s="156"/>
      <c r="LIH465" s="156"/>
      <c r="LII465" s="156"/>
      <c r="LIJ465" s="156"/>
      <c r="LIK465" s="156"/>
      <c r="LIL465" s="156"/>
      <c r="LIM465" s="156"/>
      <c r="LIN465" s="156"/>
      <c r="LIO465" s="156"/>
      <c r="LIP465" s="156"/>
      <c r="LIQ465" s="156"/>
      <c r="LIR465" s="156"/>
      <c r="LIS465" s="156"/>
      <c r="LIT465" s="156"/>
      <c r="LIU465" s="156"/>
      <c r="LIV465" s="156"/>
      <c r="LIW465" s="156"/>
      <c r="LIX465" s="156"/>
      <c r="LIY465" s="156"/>
      <c r="LIZ465" s="156"/>
      <c r="LJA465" s="156"/>
      <c r="LJB465" s="156"/>
      <c r="LJC465" s="156"/>
      <c r="LJD465" s="156"/>
      <c r="LJE465" s="156"/>
      <c r="LJF465" s="156"/>
      <c r="LJG465" s="156"/>
      <c r="LJH465" s="156"/>
      <c r="LJI465" s="156"/>
      <c r="LJJ465" s="156"/>
      <c r="LJK465" s="156"/>
      <c r="LJL465" s="156"/>
      <c r="LJM465" s="156"/>
      <c r="LJN465" s="156"/>
      <c r="LJO465" s="156"/>
      <c r="LJP465" s="156"/>
      <c r="LJQ465" s="156"/>
      <c r="LJR465" s="156"/>
      <c r="LJS465" s="156"/>
      <c r="LJT465" s="156"/>
      <c r="LJU465" s="156"/>
      <c r="LJV465" s="156"/>
      <c r="LJW465" s="156"/>
      <c r="LJX465" s="156"/>
      <c r="LJY465" s="156"/>
      <c r="LJZ465" s="156"/>
      <c r="LKA465" s="156"/>
      <c r="LKB465" s="156"/>
      <c r="LKC465" s="156"/>
      <c r="LKD465" s="156"/>
      <c r="LKE465" s="156"/>
      <c r="LKF465" s="156"/>
      <c r="LKG465" s="156"/>
      <c r="LKH465" s="156"/>
      <c r="LKI465" s="156"/>
      <c r="LKJ465" s="156"/>
      <c r="LKK465" s="156"/>
      <c r="LKL465" s="156"/>
      <c r="LKM465" s="156"/>
      <c r="LKN465" s="156"/>
      <c r="LKO465" s="156"/>
      <c r="LKP465" s="156"/>
      <c r="LKQ465" s="156"/>
      <c r="LKR465" s="156"/>
      <c r="LKS465" s="156"/>
      <c r="LKT465" s="156"/>
      <c r="LKU465" s="156"/>
      <c r="LKV465" s="156"/>
      <c r="LKW465" s="156"/>
      <c r="LKX465" s="156"/>
      <c r="LKY465" s="156"/>
      <c r="LKZ465" s="156"/>
      <c r="LLA465" s="156"/>
      <c r="LLB465" s="156"/>
      <c r="LLC465" s="156"/>
      <c r="LLD465" s="156"/>
      <c r="LLE465" s="156"/>
      <c r="LLF465" s="156"/>
      <c r="LLG465" s="156"/>
      <c r="LLH465" s="156"/>
      <c r="LLI465" s="156"/>
      <c r="LLJ465" s="156"/>
      <c r="LLK465" s="156"/>
      <c r="LLL465" s="156"/>
      <c r="LLM465" s="156"/>
      <c r="LLN465" s="156"/>
      <c r="LLO465" s="156"/>
      <c r="LLP465" s="156"/>
      <c r="LLQ465" s="156"/>
      <c r="LLR465" s="156"/>
      <c r="LLS465" s="156"/>
      <c r="LLT465" s="156"/>
      <c r="LLU465" s="156"/>
      <c r="LLV465" s="156"/>
      <c r="LLW465" s="156"/>
      <c r="LLX465" s="156"/>
      <c r="LLY465" s="156"/>
      <c r="LLZ465" s="156"/>
      <c r="LMA465" s="156"/>
      <c r="LMB465" s="156"/>
      <c r="LMC465" s="156"/>
      <c r="LMD465" s="156"/>
      <c r="LME465" s="156"/>
      <c r="LMF465" s="156"/>
      <c r="LMG465" s="156"/>
      <c r="LMH465" s="156"/>
      <c r="LMI465" s="156"/>
      <c r="LMJ465" s="156"/>
      <c r="LMK465" s="156"/>
      <c r="LML465" s="156"/>
      <c r="LMM465" s="156"/>
      <c r="LMN465" s="156"/>
      <c r="LMO465" s="156"/>
      <c r="LMP465" s="156"/>
      <c r="LMQ465" s="156"/>
      <c r="LMR465" s="156"/>
      <c r="LMS465" s="156"/>
      <c r="LMT465" s="156"/>
      <c r="LMU465" s="156"/>
      <c r="LMV465" s="156"/>
      <c r="LMW465" s="156"/>
      <c r="LMX465" s="156"/>
      <c r="LMY465" s="156"/>
      <c r="LMZ465" s="156"/>
      <c r="LNA465" s="156"/>
      <c r="LNB465" s="156"/>
      <c r="LNC465" s="156"/>
      <c r="LND465" s="156"/>
      <c r="LNE465" s="156"/>
      <c r="LNF465" s="156"/>
      <c r="LNG465" s="156"/>
      <c r="LNH465" s="156"/>
      <c r="LNI465" s="156"/>
      <c r="LNJ465" s="156"/>
      <c r="LNK465" s="156"/>
      <c r="LNL465" s="156"/>
      <c r="LNM465" s="156"/>
      <c r="LNN465" s="156"/>
      <c r="LNO465" s="156"/>
      <c r="LNP465" s="156"/>
      <c r="LNQ465" s="156"/>
      <c r="LNR465" s="156"/>
      <c r="LNS465" s="156"/>
      <c r="LNT465" s="156"/>
      <c r="LNU465" s="156"/>
      <c r="LNV465" s="156"/>
      <c r="LNW465" s="156"/>
      <c r="LNX465" s="156"/>
      <c r="LNY465" s="156"/>
      <c r="LNZ465" s="156"/>
      <c r="LOA465" s="156"/>
      <c r="LOB465" s="156"/>
      <c r="LOC465" s="156"/>
      <c r="LOD465" s="156"/>
      <c r="LOE465" s="156"/>
      <c r="LOF465" s="156"/>
      <c r="LOG465" s="156"/>
      <c r="LOH465" s="156"/>
      <c r="LOI465" s="156"/>
      <c r="LOJ465" s="156"/>
      <c r="LOK465" s="156"/>
      <c r="LOL465" s="156"/>
      <c r="LOM465" s="156"/>
      <c r="LON465" s="156"/>
      <c r="LOO465" s="156"/>
      <c r="LOP465" s="156"/>
      <c r="LOQ465" s="156"/>
      <c r="LOR465" s="156"/>
      <c r="LOS465" s="156"/>
      <c r="LOT465" s="156"/>
      <c r="LOU465" s="156"/>
      <c r="LOV465" s="156"/>
      <c r="LOW465" s="156"/>
      <c r="LOX465" s="156"/>
      <c r="LOY465" s="156"/>
      <c r="LOZ465" s="156"/>
      <c r="LPA465" s="156"/>
      <c r="LPB465" s="156"/>
      <c r="LPC465" s="156"/>
      <c r="LPD465" s="156"/>
      <c r="LPE465" s="156"/>
      <c r="LPF465" s="156"/>
      <c r="LPG465" s="156"/>
      <c r="LPH465" s="156"/>
      <c r="LPI465" s="156"/>
      <c r="LPJ465" s="156"/>
      <c r="LPK465" s="156"/>
      <c r="LPL465" s="156"/>
      <c r="LPM465" s="156"/>
      <c r="LPN465" s="156"/>
      <c r="LPO465" s="156"/>
      <c r="LPP465" s="156"/>
      <c r="LPQ465" s="156"/>
      <c r="LPR465" s="156"/>
      <c r="LPS465" s="156"/>
      <c r="LPT465" s="156"/>
      <c r="LPU465" s="156"/>
      <c r="LPV465" s="156"/>
      <c r="LPW465" s="156"/>
      <c r="LPX465" s="156"/>
      <c r="LPY465" s="156"/>
      <c r="LPZ465" s="156"/>
      <c r="LQA465" s="156"/>
      <c r="LQB465" s="156"/>
      <c r="LQC465" s="156"/>
      <c r="LQD465" s="156"/>
      <c r="LQE465" s="156"/>
      <c r="LQF465" s="156"/>
      <c r="LQG465" s="156"/>
      <c r="LQH465" s="156"/>
      <c r="LQI465" s="156"/>
      <c r="LQJ465" s="156"/>
      <c r="LQK465" s="156"/>
      <c r="LQL465" s="156"/>
      <c r="LQM465" s="156"/>
      <c r="LQN465" s="156"/>
      <c r="LQO465" s="156"/>
      <c r="LQP465" s="156"/>
      <c r="LQQ465" s="156"/>
      <c r="LQR465" s="156"/>
      <c r="LQS465" s="156"/>
      <c r="LQT465" s="156"/>
      <c r="LQU465" s="156"/>
      <c r="LQV465" s="156"/>
      <c r="LQW465" s="156"/>
      <c r="LQX465" s="156"/>
      <c r="LQY465" s="156"/>
      <c r="LQZ465" s="156"/>
      <c r="LRA465" s="156"/>
      <c r="LRB465" s="156"/>
      <c r="LRC465" s="156"/>
      <c r="LRD465" s="156"/>
      <c r="LRE465" s="156"/>
      <c r="LRF465" s="156"/>
      <c r="LRG465" s="156"/>
      <c r="LRH465" s="156"/>
      <c r="LRI465" s="156"/>
      <c r="LRJ465" s="156"/>
      <c r="LRK465" s="156"/>
      <c r="LRL465" s="156"/>
      <c r="LRM465" s="156"/>
      <c r="LRN465" s="156"/>
      <c r="LRO465" s="156"/>
      <c r="LRP465" s="156"/>
      <c r="LRQ465" s="156"/>
      <c r="LRR465" s="156"/>
      <c r="LRS465" s="156"/>
      <c r="LRT465" s="156"/>
      <c r="LRU465" s="156"/>
      <c r="LRV465" s="156"/>
      <c r="LRW465" s="156"/>
      <c r="LRX465" s="156"/>
      <c r="LRY465" s="156"/>
      <c r="LRZ465" s="156"/>
      <c r="LSA465" s="156"/>
      <c r="LSB465" s="156"/>
      <c r="LSC465" s="156"/>
      <c r="LSD465" s="156"/>
      <c r="LSE465" s="156"/>
      <c r="LSF465" s="156"/>
      <c r="LSG465" s="156"/>
      <c r="LSH465" s="156"/>
      <c r="LSI465" s="156"/>
      <c r="LSJ465" s="156"/>
      <c r="LSK465" s="156"/>
      <c r="LSL465" s="156"/>
      <c r="LSM465" s="156"/>
      <c r="LSN465" s="156"/>
      <c r="LSO465" s="156"/>
      <c r="LSP465" s="156"/>
      <c r="LSQ465" s="156"/>
      <c r="LSR465" s="156"/>
      <c r="LSS465" s="156"/>
      <c r="LST465" s="156"/>
      <c r="LSU465" s="156"/>
      <c r="LSV465" s="156"/>
      <c r="LSW465" s="156"/>
      <c r="LSX465" s="156"/>
      <c r="LSY465" s="156"/>
      <c r="LSZ465" s="156"/>
      <c r="LTA465" s="156"/>
      <c r="LTB465" s="156"/>
      <c r="LTC465" s="156"/>
      <c r="LTD465" s="156"/>
      <c r="LTE465" s="156"/>
      <c r="LTF465" s="156"/>
      <c r="LTG465" s="156"/>
      <c r="LTH465" s="156"/>
      <c r="LTI465" s="156"/>
      <c r="LTJ465" s="156"/>
      <c r="LTK465" s="156"/>
      <c r="LTL465" s="156"/>
      <c r="LTM465" s="156"/>
      <c r="LTN465" s="156"/>
      <c r="LTO465" s="156"/>
      <c r="LTP465" s="156"/>
      <c r="LTQ465" s="156"/>
      <c r="LTR465" s="156"/>
      <c r="LTS465" s="156"/>
      <c r="LTT465" s="156"/>
      <c r="LTU465" s="156"/>
      <c r="LTV465" s="156"/>
      <c r="LTW465" s="156"/>
      <c r="LTX465" s="156"/>
      <c r="LTY465" s="156"/>
      <c r="LTZ465" s="156"/>
      <c r="LUA465" s="156"/>
      <c r="LUB465" s="156"/>
      <c r="LUC465" s="156"/>
      <c r="LUD465" s="156"/>
      <c r="LUE465" s="156"/>
      <c r="LUF465" s="156"/>
      <c r="LUG465" s="156"/>
      <c r="LUH465" s="156"/>
      <c r="LUI465" s="156"/>
      <c r="LUJ465" s="156"/>
      <c r="LUK465" s="156"/>
      <c r="LUL465" s="156"/>
      <c r="LUM465" s="156"/>
      <c r="LUN465" s="156"/>
      <c r="LUO465" s="156"/>
      <c r="LUP465" s="156"/>
      <c r="LUQ465" s="156"/>
      <c r="LUR465" s="156"/>
      <c r="LUS465" s="156"/>
      <c r="LUT465" s="156"/>
      <c r="LUU465" s="156"/>
      <c r="LUV465" s="156"/>
      <c r="LUW465" s="156"/>
      <c r="LUX465" s="156"/>
      <c r="LUY465" s="156"/>
      <c r="LUZ465" s="156"/>
      <c r="LVA465" s="156"/>
      <c r="LVB465" s="156"/>
      <c r="LVC465" s="156"/>
      <c r="LVD465" s="156"/>
      <c r="LVE465" s="156"/>
      <c r="LVF465" s="156"/>
      <c r="LVG465" s="156"/>
      <c r="LVH465" s="156"/>
      <c r="LVI465" s="156"/>
      <c r="LVJ465" s="156"/>
      <c r="LVK465" s="156"/>
      <c r="LVL465" s="156"/>
      <c r="LVM465" s="156"/>
      <c r="LVN465" s="156"/>
      <c r="LVO465" s="156"/>
      <c r="LVP465" s="156"/>
      <c r="LVQ465" s="156"/>
      <c r="LVR465" s="156"/>
      <c r="LVS465" s="156"/>
      <c r="LVT465" s="156"/>
      <c r="LVU465" s="156"/>
      <c r="LVV465" s="156"/>
      <c r="LVW465" s="156"/>
      <c r="LVX465" s="156"/>
      <c r="LVY465" s="156"/>
      <c r="LVZ465" s="156"/>
      <c r="LWA465" s="156"/>
      <c r="LWB465" s="156"/>
      <c r="LWC465" s="156"/>
      <c r="LWD465" s="156"/>
      <c r="LWE465" s="156"/>
      <c r="LWF465" s="156"/>
      <c r="LWG465" s="156"/>
      <c r="LWH465" s="156"/>
      <c r="LWI465" s="156"/>
      <c r="LWJ465" s="156"/>
      <c r="LWK465" s="156"/>
      <c r="LWL465" s="156"/>
      <c r="LWM465" s="156"/>
      <c r="LWN465" s="156"/>
      <c r="LWO465" s="156"/>
      <c r="LWP465" s="156"/>
      <c r="LWQ465" s="156"/>
      <c r="LWR465" s="156"/>
      <c r="LWS465" s="156"/>
      <c r="LWT465" s="156"/>
      <c r="LWU465" s="156"/>
      <c r="LWV465" s="156"/>
      <c r="LWW465" s="156"/>
      <c r="LWX465" s="156"/>
      <c r="LWY465" s="156"/>
      <c r="LWZ465" s="156"/>
      <c r="LXA465" s="156"/>
      <c r="LXB465" s="156"/>
      <c r="LXC465" s="156"/>
      <c r="LXD465" s="156"/>
      <c r="LXE465" s="156"/>
      <c r="LXF465" s="156"/>
      <c r="LXG465" s="156"/>
      <c r="LXH465" s="156"/>
      <c r="LXI465" s="156"/>
      <c r="LXJ465" s="156"/>
      <c r="LXK465" s="156"/>
      <c r="LXL465" s="156"/>
      <c r="LXM465" s="156"/>
      <c r="LXN465" s="156"/>
      <c r="LXO465" s="156"/>
      <c r="LXP465" s="156"/>
      <c r="LXQ465" s="156"/>
      <c r="LXR465" s="156"/>
      <c r="LXS465" s="156"/>
      <c r="LXT465" s="156"/>
      <c r="LXU465" s="156"/>
      <c r="LXV465" s="156"/>
      <c r="LXW465" s="156"/>
      <c r="LXX465" s="156"/>
      <c r="LXY465" s="156"/>
      <c r="LXZ465" s="156"/>
      <c r="LYA465" s="156"/>
      <c r="LYB465" s="156"/>
      <c r="LYC465" s="156"/>
      <c r="LYD465" s="156"/>
      <c r="LYE465" s="156"/>
      <c r="LYF465" s="156"/>
      <c r="LYG465" s="156"/>
      <c r="LYH465" s="156"/>
      <c r="LYI465" s="156"/>
      <c r="LYJ465" s="156"/>
      <c r="LYK465" s="156"/>
      <c r="LYL465" s="156"/>
      <c r="LYM465" s="156"/>
      <c r="LYN465" s="156"/>
      <c r="LYO465" s="156"/>
      <c r="LYP465" s="156"/>
      <c r="LYQ465" s="156"/>
      <c r="LYR465" s="156"/>
      <c r="LYS465" s="156"/>
      <c r="LYT465" s="156"/>
      <c r="LYU465" s="156"/>
      <c r="LYV465" s="156"/>
      <c r="LYW465" s="156"/>
      <c r="LYX465" s="156"/>
      <c r="LYY465" s="156"/>
      <c r="LYZ465" s="156"/>
      <c r="LZA465" s="156"/>
      <c r="LZB465" s="156"/>
      <c r="LZC465" s="156"/>
      <c r="LZD465" s="156"/>
      <c r="LZE465" s="156"/>
      <c r="LZF465" s="156"/>
      <c r="LZG465" s="156"/>
      <c r="LZH465" s="156"/>
      <c r="LZI465" s="156"/>
      <c r="LZJ465" s="156"/>
      <c r="LZK465" s="156"/>
      <c r="LZL465" s="156"/>
      <c r="LZM465" s="156"/>
      <c r="LZN465" s="156"/>
      <c r="LZO465" s="156"/>
      <c r="LZP465" s="156"/>
      <c r="LZQ465" s="156"/>
      <c r="LZR465" s="156"/>
      <c r="LZS465" s="156"/>
      <c r="LZT465" s="156"/>
      <c r="LZU465" s="156"/>
      <c r="LZV465" s="156"/>
      <c r="LZW465" s="156"/>
      <c r="LZX465" s="156"/>
      <c r="LZY465" s="156"/>
      <c r="LZZ465" s="156"/>
      <c r="MAA465" s="156"/>
      <c r="MAB465" s="156"/>
      <c r="MAC465" s="156"/>
      <c r="MAD465" s="156"/>
      <c r="MAE465" s="156"/>
      <c r="MAF465" s="156"/>
      <c r="MAG465" s="156"/>
      <c r="MAH465" s="156"/>
      <c r="MAI465" s="156"/>
      <c r="MAJ465" s="156"/>
      <c r="MAK465" s="156"/>
      <c r="MAL465" s="156"/>
      <c r="MAM465" s="156"/>
      <c r="MAN465" s="156"/>
      <c r="MAO465" s="156"/>
      <c r="MAP465" s="156"/>
      <c r="MAQ465" s="156"/>
      <c r="MAR465" s="156"/>
      <c r="MAS465" s="156"/>
      <c r="MAT465" s="156"/>
      <c r="MAU465" s="156"/>
      <c r="MAV465" s="156"/>
      <c r="MAW465" s="156"/>
      <c r="MAX465" s="156"/>
      <c r="MAY465" s="156"/>
      <c r="MAZ465" s="156"/>
      <c r="MBA465" s="156"/>
      <c r="MBB465" s="156"/>
      <c r="MBC465" s="156"/>
      <c r="MBD465" s="156"/>
      <c r="MBE465" s="156"/>
      <c r="MBF465" s="156"/>
      <c r="MBG465" s="156"/>
      <c r="MBH465" s="156"/>
      <c r="MBI465" s="156"/>
      <c r="MBJ465" s="156"/>
      <c r="MBK465" s="156"/>
      <c r="MBL465" s="156"/>
      <c r="MBM465" s="156"/>
      <c r="MBN465" s="156"/>
      <c r="MBO465" s="156"/>
      <c r="MBP465" s="156"/>
      <c r="MBQ465" s="156"/>
      <c r="MBR465" s="156"/>
      <c r="MBS465" s="156"/>
      <c r="MBT465" s="156"/>
      <c r="MBU465" s="156"/>
      <c r="MBV465" s="156"/>
      <c r="MBW465" s="156"/>
      <c r="MBX465" s="156"/>
      <c r="MBY465" s="156"/>
      <c r="MBZ465" s="156"/>
      <c r="MCA465" s="156"/>
      <c r="MCB465" s="156"/>
      <c r="MCC465" s="156"/>
      <c r="MCD465" s="156"/>
      <c r="MCE465" s="156"/>
      <c r="MCF465" s="156"/>
      <c r="MCG465" s="156"/>
      <c r="MCH465" s="156"/>
      <c r="MCI465" s="156"/>
      <c r="MCJ465" s="156"/>
      <c r="MCK465" s="156"/>
      <c r="MCL465" s="156"/>
      <c r="MCM465" s="156"/>
      <c r="MCN465" s="156"/>
      <c r="MCO465" s="156"/>
      <c r="MCP465" s="156"/>
      <c r="MCQ465" s="156"/>
      <c r="MCR465" s="156"/>
      <c r="MCS465" s="156"/>
      <c r="MCT465" s="156"/>
      <c r="MCU465" s="156"/>
      <c r="MCV465" s="156"/>
      <c r="MCW465" s="156"/>
      <c r="MCX465" s="156"/>
      <c r="MCY465" s="156"/>
      <c r="MCZ465" s="156"/>
      <c r="MDA465" s="156"/>
      <c r="MDB465" s="156"/>
      <c r="MDC465" s="156"/>
      <c r="MDD465" s="156"/>
      <c r="MDE465" s="156"/>
      <c r="MDF465" s="156"/>
      <c r="MDG465" s="156"/>
      <c r="MDH465" s="156"/>
      <c r="MDI465" s="156"/>
      <c r="MDJ465" s="156"/>
      <c r="MDK465" s="156"/>
      <c r="MDL465" s="156"/>
      <c r="MDM465" s="156"/>
      <c r="MDN465" s="156"/>
      <c r="MDO465" s="156"/>
      <c r="MDP465" s="156"/>
      <c r="MDQ465" s="156"/>
      <c r="MDR465" s="156"/>
      <c r="MDS465" s="156"/>
      <c r="MDT465" s="156"/>
      <c r="MDU465" s="156"/>
      <c r="MDV465" s="156"/>
      <c r="MDW465" s="156"/>
      <c r="MDX465" s="156"/>
      <c r="MDY465" s="156"/>
      <c r="MDZ465" s="156"/>
      <c r="MEA465" s="156"/>
      <c r="MEB465" s="156"/>
      <c r="MEC465" s="156"/>
      <c r="MED465" s="156"/>
      <c r="MEE465" s="156"/>
      <c r="MEF465" s="156"/>
      <c r="MEG465" s="156"/>
      <c r="MEH465" s="156"/>
      <c r="MEI465" s="156"/>
      <c r="MEJ465" s="156"/>
      <c r="MEK465" s="156"/>
      <c r="MEL465" s="156"/>
      <c r="MEM465" s="156"/>
      <c r="MEN465" s="156"/>
      <c r="MEO465" s="156"/>
      <c r="MEP465" s="156"/>
      <c r="MEQ465" s="156"/>
      <c r="MER465" s="156"/>
      <c r="MES465" s="156"/>
      <c r="MET465" s="156"/>
      <c r="MEU465" s="156"/>
      <c r="MEV465" s="156"/>
      <c r="MEW465" s="156"/>
      <c r="MEX465" s="156"/>
      <c r="MEY465" s="156"/>
      <c r="MEZ465" s="156"/>
      <c r="MFA465" s="156"/>
      <c r="MFB465" s="156"/>
      <c r="MFC465" s="156"/>
      <c r="MFD465" s="156"/>
      <c r="MFE465" s="156"/>
      <c r="MFF465" s="156"/>
      <c r="MFG465" s="156"/>
      <c r="MFH465" s="156"/>
      <c r="MFI465" s="156"/>
      <c r="MFJ465" s="156"/>
      <c r="MFK465" s="156"/>
      <c r="MFL465" s="156"/>
      <c r="MFM465" s="156"/>
      <c r="MFN465" s="156"/>
      <c r="MFO465" s="156"/>
      <c r="MFP465" s="156"/>
      <c r="MFQ465" s="156"/>
      <c r="MFR465" s="156"/>
      <c r="MFS465" s="156"/>
      <c r="MFT465" s="156"/>
      <c r="MFU465" s="156"/>
      <c r="MFV465" s="156"/>
      <c r="MFW465" s="156"/>
      <c r="MFX465" s="156"/>
      <c r="MFY465" s="156"/>
      <c r="MFZ465" s="156"/>
      <c r="MGA465" s="156"/>
      <c r="MGB465" s="156"/>
      <c r="MGC465" s="156"/>
      <c r="MGD465" s="156"/>
      <c r="MGE465" s="156"/>
      <c r="MGF465" s="156"/>
      <c r="MGG465" s="156"/>
      <c r="MGH465" s="156"/>
      <c r="MGI465" s="156"/>
      <c r="MGJ465" s="156"/>
      <c r="MGK465" s="156"/>
      <c r="MGL465" s="156"/>
      <c r="MGM465" s="156"/>
      <c r="MGN465" s="156"/>
      <c r="MGO465" s="156"/>
      <c r="MGP465" s="156"/>
      <c r="MGQ465" s="156"/>
      <c r="MGR465" s="156"/>
      <c r="MGS465" s="156"/>
      <c r="MGT465" s="156"/>
      <c r="MGU465" s="156"/>
      <c r="MGV465" s="156"/>
      <c r="MGW465" s="156"/>
      <c r="MGX465" s="156"/>
      <c r="MGY465" s="156"/>
      <c r="MGZ465" s="156"/>
      <c r="MHA465" s="156"/>
      <c r="MHB465" s="156"/>
      <c r="MHC465" s="156"/>
      <c r="MHD465" s="156"/>
      <c r="MHE465" s="156"/>
      <c r="MHF465" s="156"/>
      <c r="MHG465" s="156"/>
      <c r="MHH465" s="156"/>
      <c r="MHI465" s="156"/>
      <c r="MHJ465" s="156"/>
      <c r="MHK465" s="156"/>
      <c r="MHL465" s="156"/>
      <c r="MHM465" s="156"/>
      <c r="MHN465" s="156"/>
      <c r="MHO465" s="156"/>
      <c r="MHP465" s="156"/>
      <c r="MHQ465" s="156"/>
      <c r="MHR465" s="156"/>
      <c r="MHS465" s="156"/>
      <c r="MHT465" s="156"/>
      <c r="MHU465" s="156"/>
      <c r="MHV465" s="156"/>
      <c r="MHW465" s="156"/>
      <c r="MHX465" s="156"/>
      <c r="MHY465" s="156"/>
      <c r="MHZ465" s="156"/>
      <c r="MIA465" s="156"/>
      <c r="MIB465" s="156"/>
      <c r="MIC465" s="156"/>
      <c r="MID465" s="156"/>
      <c r="MIE465" s="156"/>
      <c r="MIF465" s="156"/>
      <c r="MIG465" s="156"/>
      <c r="MIH465" s="156"/>
      <c r="MII465" s="156"/>
      <c r="MIJ465" s="156"/>
      <c r="MIK465" s="156"/>
      <c r="MIL465" s="156"/>
      <c r="MIM465" s="156"/>
      <c r="MIN465" s="156"/>
      <c r="MIO465" s="156"/>
      <c r="MIP465" s="156"/>
      <c r="MIQ465" s="156"/>
      <c r="MIR465" s="156"/>
      <c r="MIS465" s="156"/>
      <c r="MIT465" s="156"/>
      <c r="MIU465" s="156"/>
      <c r="MIV465" s="156"/>
      <c r="MIW465" s="156"/>
      <c r="MIX465" s="156"/>
      <c r="MIY465" s="156"/>
      <c r="MIZ465" s="156"/>
      <c r="MJA465" s="156"/>
      <c r="MJB465" s="156"/>
      <c r="MJC465" s="156"/>
      <c r="MJD465" s="156"/>
      <c r="MJE465" s="156"/>
      <c r="MJF465" s="156"/>
      <c r="MJG465" s="156"/>
      <c r="MJH465" s="156"/>
      <c r="MJI465" s="156"/>
      <c r="MJJ465" s="156"/>
      <c r="MJK465" s="156"/>
      <c r="MJL465" s="156"/>
      <c r="MJM465" s="156"/>
      <c r="MJN465" s="156"/>
      <c r="MJO465" s="156"/>
      <c r="MJP465" s="156"/>
      <c r="MJQ465" s="156"/>
      <c r="MJR465" s="156"/>
      <c r="MJS465" s="156"/>
      <c r="MJT465" s="156"/>
      <c r="MJU465" s="156"/>
      <c r="MJV465" s="156"/>
      <c r="MJW465" s="156"/>
      <c r="MJX465" s="156"/>
      <c r="MJY465" s="156"/>
      <c r="MJZ465" s="156"/>
      <c r="MKA465" s="156"/>
      <c r="MKB465" s="156"/>
      <c r="MKC465" s="156"/>
      <c r="MKD465" s="156"/>
      <c r="MKE465" s="156"/>
      <c r="MKF465" s="156"/>
      <c r="MKG465" s="156"/>
      <c r="MKH465" s="156"/>
      <c r="MKI465" s="156"/>
      <c r="MKJ465" s="156"/>
      <c r="MKK465" s="156"/>
      <c r="MKL465" s="156"/>
      <c r="MKM465" s="156"/>
      <c r="MKN465" s="156"/>
      <c r="MKO465" s="156"/>
      <c r="MKP465" s="156"/>
      <c r="MKQ465" s="156"/>
      <c r="MKR465" s="156"/>
      <c r="MKS465" s="156"/>
      <c r="MKT465" s="156"/>
      <c r="MKU465" s="156"/>
      <c r="MKV465" s="156"/>
      <c r="MKW465" s="156"/>
      <c r="MKX465" s="156"/>
      <c r="MKY465" s="156"/>
      <c r="MKZ465" s="156"/>
      <c r="MLA465" s="156"/>
      <c r="MLB465" s="156"/>
      <c r="MLC465" s="156"/>
      <c r="MLD465" s="156"/>
      <c r="MLE465" s="156"/>
      <c r="MLF465" s="156"/>
      <c r="MLG465" s="156"/>
      <c r="MLH465" s="156"/>
      <c r="MLI465" s="156"/>
      <c r="MLJ465" s="156"/>
      <c r="MLK465" s="156"/>
      <c r="MLL465" s="156"/>
      <c r="MLM465" s="156"/>
      <c r="MLN465" s="156"/>
      <c r="MLO465" s="156"/>
      <c r="MLP465" s="156"/>
      <c r="MLQ465" s="156"/>
      <c r="MLR465" s="156"/>
      <c r="MLS465" s="156"/>
      <c r="MLT465" s="156"/>
      <c r="MLU465" s="156"/>
      <c r="MLV465" s="156"/>
      <c r="MLW465" s="156"/>
      <c r="MLX465" s="156"/>
      <c r="MLY465" s="156"/>
      <c r="MLZ465" s="156"/>
      <c r="MMA465" s="156"/>
      <c r="MMB465" s="156"/>
      <c r="MMC465" s="156"/>
      <c r="MMD465" s="156"/>
      <c r="MME465" s="156"/>
      <c r="MMF465" s="156"/>
      <c r="MMG465" s="156"/>
      <c r="MMH465" s="156"/>
      <c r="MMI465" s="156"/>
      <c r="MMJ465" s="156"/>
      <c r="MMK465" s="156"/>
      <c r="MML465" s="156"/>
      <c r="MMM465" s="156"/>
      <c r="MMN465" s="156"/>
      <c r="MMO465" s="156"/>
      <c r="MMP465" s="156"/>
      <c r="MMQ465" s="156"/>
      <c r="MMR465" s="156"/>
      <c r="MMS465" s="156"/>
      <c r="MMT465" s="156"/>
      <c r="MMU465" s="156"/>
      <c r="MMV465" s="156"/>
      <c r="MMW465" s="156"/>
      <c r="MMX465" s="156"/>
      <c r="MMY465" s="156"/>
      <c r="MMZ465" s="156"/>
      <c r="MNA465" s="156"/>
      <c r="MNB465" s="156"/>
      <c r="MNC465" s="156"/>
      <c r="MND465" s="156"/>
      <c r="MNE465" s="156"/>
      <c r="MNF465" s="156"/>
      <c r="MNG465" s="156"/>
      <c r="MNH465" s="156"/>
      <c r="MNI465" s="156"/>
      <c r="MNJ465" s="156"/>
      <c r="MNK465" s="156"/>
      <c r="MNL465" s="156"/>
      <c r="MNM465" s="156"/>
      <c r="MNN465" s="156"/>
      <c r="MNO465" s="156"/>
      <c r="MNP465" s="156"/>
      <c r="MNQ465" s="156"/>
      <c r="MNR465" s="156"/>
      <c r="MNS465" s="156"/>
      <c r="MNT465" s="156"/>
      <c r="MNU465" s="156"/>
      <c r="MNV465" s="156"/>
      <c r="MNW465" s="156"/>
      <c r="MNX465" s="156"/>
      <c r="MNY465" s="156"/>
      <c r="MNZ465" s="156"/>
      <c r="MOA465" s="156"/>
      <c r="MOB465" s="156"/>
      <c r="MOC465" s="156"/>
      <c r="MOD465" s="156"/>
      <c r="MOE465" s="156"/>
      <c r="MOF465" s="156"/>
      <c r="MOG465" s="156"/>
      <c r="MOH465" s="156"/>
      <c r="MOI465" s="156"/>
      <c r="MOJ465" s="156"/>
      <c r="MOK465" s="156"/>
      <c r="MOL465" s="156"/>
      <c r="MOM465" s="156"/>
      <c r="MON465" s="156"/>
      <c r="MOO465" s="156"/>
      <c r="MOP465" s="156"/>
      <c r="MOQ465" s="156"/>
      <c r="MOR465" s="156"/>
      <c r="MOS465" s="156"/>
      <c r="MOT465" s="156"/>
      <c r="MOU465" s="156"/>
      <c r="MOV465" s="156"/>
      <c r="MOW465" s="156"/>
      <c r="MOX465" s="156"/>
      <c r="MOY465" s="156"/>
      <c r="MOZ465" s="156"/>
      <c r="MPA465" s="156"/>
      <c r="MPB465" s="156"/>
      <c r="MPC465" s="156"/>
      <c r="MPD465" s="156"/>
      <c r="MPE465" s="156"/>
      <c r="MPF465" s="156"/>
      <c r="MPG465" s="156"/>
      <c r="MPH465" s="156"/>
      <c r="MPI465" s="156"/>
      <c r="MPJ465" s="156"/>
      <c r="MPK465" s="156"/>
      <c r="MPL465" s="156"/>
      <c r="MPM465" s="156"/>
      <c r="MPN465" s="156"/>
      <c r="MPO465" s="156"/>
      <c r="MPP465" s="156"/>
      <c r="MPQ465" s="156"/>
      <c r="MPR465" s="156"/>
      <c r="MPS465" s="156"/>
      <c r="MPT465" s="156"/>
      <c r="MPU465" s="156"/>
      <c r="MPV465" s="156"/>
      <c r="MPW465" s="156"/>
      <c r="MPX465" s="156"/>
      <c r="MPY465" s="156"/>
      <c r="MPZ465" s="156"/>
      <c r="MQA465" s="156"/>
      <c r="MQB465" s="156"/>
      <c r="MQC465" s="156"/>
      <c r="MQD465" s="156"/>
      <c r="MQE465" s="156"/>
      <c r="MQF465" s="156"/>
      <c r="MQG465" s="156"/>
      <c r="MQH465" s="156"/>
      <c r="MQI465" s="156"/>
      <c r="MQJ465" s="156"/>
      <c r="MQK465" s="156"/>
      <c r="MQL465" s="156"/>
      <c r="MQM465" s="156"/>
      <c r="MQN465" s="156"/>
      <c r="MQO465" s="156"/>
      <c r="MQP465" s="156"/>
      <c r="MQQ465" s="156"/>
      <c r="MQR465" s="156"/>
      <c r="MQS465" s="156"/>
      <c r="MQT465" s="156"/>
      <c r="MQU465" s="156"/>
      <c r="MQV465" s="156"/>
      <c r="MQW465" s="156"/>
      <c r="MQX465" s="156"/>
      <c r="MQY465" s="156"/>
      <c r="MQZ465" s="156"/>
      <c r="MRA465" s="156"/>
      <c r="MRB465" s="156"/>
      <c r="MRC465" s="156"/>
      <c r="MRD465" s="156"/>
      <c r="MRE465" s="156"/>
      <c r="MRF465" s="156"/>
      <c r="MRG465" s="156"/>
      <c r="MRH465" s="156"/>
      <c r="MRI465" s="156"/>
      <c r="MRJ465" s="156"/>
      <c r="MRK465" s="156"/>
      <c r="MRL465" s="156"/>
      <c r="MRM465" s="156"/>
      <c r="MRN465" s="156"/>
      <c r="MRO465" s="156"/>
      <c r="MRP465" s="156"/>
      <c r="MRQ465" s="156"/>
      <c r="MRR465" s="156"/>
      <c r="MRS465" s="156"/>
      <c r="MRT465" s="156"/>
      <c r="MRU465" s="156"/>
      <c r="MRV465" s="156"/>
      <c r="MRW465" s="156"/>
      <c r="MRX465" s="156"/>
      <c r="MRY465" s="156"/>
      <c r="MRZ465" s="156"/>
      <c r="MSA465" s="156"/>
      <c r="MSB465" s="156"/>
      <c r="MSC465" s="156"/>
      <c r="MSD465" s="156"/>
      <c r="MSE465" s="156"/>
      <c r="MSF465" s="156"/>
      <c r="MSG465" s="156"/>
      <c r="MSH465" s="156"/>
      <c r="MSI465" s="156"/>
      <c r="MSJ465" s="156"/>
      <c r="MSK465" s="156"/>
      <c r="MSL465" s="156"/>
      <c r="MSM465" s="156"/>
      <c r="MSN465" s="156"/>
      <c r="MSO465" s="156"/>
      <c r="MSP465" s="156"/>
      <c r="MSQ465" s="156"/>
      <c r="MSR465" s="156"/>
      <c r="MSS465" s="156"/>
      <c r="MST465" s="156"/>
      <c r="MSU465" s="156"/>
      <c r="MSV465" s="156"/>
      <c r="MSW465" s="156"/>
      <c r="MSX465" s="156"/>
      <c r="MSY465" s="156"/>
      <c r="MSZ465" s="156"/>
      <c r="MTA465" s="156"/>
      <c r="MTB465" s="156"/>
      <c r="MTC465" s="156"/>
      <c r="MTD465" s="156"/>
      <c r="MTE465" s="156"/>
      <c r="MTF465" s="156"/>
      <c r="MTG465" s="156"/>
      <c r="MTH465" s="156"/>
      <c r="MTI465" s="156"/>
      <c r="MTJ465" s="156"/>
      <c r="MTK465" s="156"/>
      <c r="MTL465" s="156"/>
      <c r="MTM465" s="156"/>
      <c r="MTN465" s="156"/>
      <c r="MTO465" s="156"/>
      <c r="MTP465" s="156"/>
      <c r="MTQ465" s="156"/>
      <c r="MTR465" s="156"/>
      <c r="MTS465" s="156"/>
      <c r="MTT465" s="156"/>
      <c r="MTU465" s="156"/>
      <c r="MTV465" s="156"/>
      <c r="MTW465" s="156"/>
      <c r="MTX465" s="156"/>
      <c r="MTY465" s="156"/>
      <c r="MTZ465" s="156"/>
      <c r="MUA465" s="156"/>
      <c r="MUB465" s="156"/>
      <c r="MUC465" s="156"/>
      <c r="MUD465" s="156"/>
      <c r="MUE465" s="156"/>
      <c r="MUF465" s="156"/>
      <c r="MUG465" s="156"/>
      <c r="MUH465" s="156"/>
      <c r="MUI465" s="156"/>
      <c r="MUJ465" s="156"/>
      <c r="MUK465" s="156"/>
      <c r="MUL465" s="156"/>
      <c r="MUM465" s="156"/>
      <c r="MUN465" s="156"/>
      <c r="MUO465" s="156"/>
      <c r="MUP465" s="156"/>
      <c r="MUQ465" s="156"/>
      <c r="MUR465" s="156"/>
      <c r="MUS465" s="156"/>
      <c r="MUT465" s="156"/>
      <c r="MUU465" s="156"/>
      <c r="MUV465" s="156"/>
      <c r="MUW465" s="156"/>
      <c r="MUX465" s="156"/>
      <c r="MUY465" s="156"/>
      <c r="MUZ465" s="156"/>
      <c r="MVA465" s="156"/>
      <c r="MVB465" s="156"/>
      <c r="MVC465" s="156"/>
      <c r="MVD465" s="156"/>
      <c r="MVE465" s="156"/>
      <c r="MVF465" s="156"/>
      <c r="MVG465" s="156"/>
      <c r="MVH465" s="156"/>
      <c r="MVI465" s="156"/>
      <c r="MVJ465" s="156"/>
      <c r="MVK465" s="156"/>
      <c r="MVL465" s="156"/>
      <c r="MVM465" s="156"/>
      <c r="MVN465" s="156"/>
      <c r="MVO465" s="156"/>
      <c r="MVP465" s="156"/>
      <c r="MVQ465" s="156"/>
      <c r="MVR465" s="156"/>
      <c r="MVS465" s="156"/>
      <c r="MVT465" s="156"/>
      <c r="MVU465" s="156"/>
      <c r="MVV465" s="156"/>
      <c r="MVW465" s="156"/>
      <c r="MVX465" s="156"/>
      <c r="MVY465" s="156"/>
      <c r="MVZ465" s="156"/>
      <c r="MWA465" s="156"/>
      <c r="MWB465" s="156"/>
      <c r="MWC465" s="156"/>
      <c r="MWD465" s="156"/>
      <c r="MWE465" s="156"/>
      <c r="MWF465" s="156"/>
      <c r="MWG465" s="156"/>
      <c r="MWH465" s="156"/>
      <c r="MWI465" s="156"/>
      <c r="MWJ465" s="156"/>
      <c r="MWK465" s="156"/>
      <c r="MWL465" s="156"/>
      <c r="MWM465" s="156"/>
      <c r="MWN465" s="156"/>
      <c r="MWO465" s="156"/>
      <c r="MWP465" s="156"/>
      <c r="MWQ465" s="156"/>
      <c r="MWR465" s="156"/>
      <c r="MWS465" s="156"/>
      <c r="MWT465" s="156"/>
      <c r="MWU465" s="156"/>
      <c r="MWV465" s="156"/>
      <c r="MWW465" s="156"/>
      <c r="MWX465" s="156"/>
      <c r="MWY465" s="156"/>
      <c r="MWZ465" s="156"/>
      <c r="MXA465" s="156"/>
      <c r="MXB465" s="156"/>
      <c r="MXC465" s="156"/>
      <c r="MXD465" s="156"/>
      <c r="MXE465" s="156"/>
      <c r="MXF465" s="156"/>
      <c r="MXG465" s="156"/>
      <c r="MXH465" s="156"/>
      <c r="MXI465" s="156"/>
      <c r="MXJ465" s="156"/>
      <c r="MXK465" s="156"/>
      <c r="MXL465" s="156"/>
      <c r="MXM465" s="156"/>
      <c r="MXN465" s="156"/>
      <c r="MXO465" s="156"/>
      <c r="MXP465" s="156"/>
      <c r="MXQ465" s="156"/>
      <c r="MXR465" s="156"/>
      <c r="MXS465" s="156"/>
      <c r="MXT465" s="156"/>
      <c r="MXU465" s="156"/>
      <c r="MXV465" s="156"/>
      <c r="MXW465" s="156"/>
      <c r="MXX465" s="156"/>
      <c r="MXY465" s="156"/>
      <c r="MXZ465" s="156"/>
      <c r="MYA465" s="156"/>
      <c r="MYB465" s="156"/>
      <c r="MYC465" s="156"/>
      <c r="MYD465" s="156"/>
      <c r="MYE465" s="156"/>
      <c r="MYF465" s="156"/>
      <c r="MYG465" s="156"/>
      <c r="MYH465" s="156"/>
      <c r="MYI465" s="156"/>
      <c r="MYJ465" s="156"/>
      <c r="MYK465" s="156"/>
      <c r="MYL465" s="156"/>
      <c r="MYM465" s="156"/>
      <c r="MYN465" s="156"/>
      <c r="MYO465" s="156"/>
      <c r="MYP465" s="156"/>
      <c r="MYQ465" s="156"/>
      <c r="MYR465" s="156"/>
      <c r="MYS465" s="156"/>
      <c r="MYT465" s="156"/>
      <c r="MYU465" s="156"/>
      <c r="MYV465" s="156"/>
      <c r="MYW465" s="156"/>
      <c r="MYX465" s="156"/>
      <c r="MYY465" s="156"/>
      <c r="MYZ465" s="156"/>
      <c r="MZA465" s="156"/>
      <c r="MZB465" s="156"/>
      <c r="MZC465" s="156"/>
      <c r="MZD465" s="156"/>
      <c r="MZE465" s="156"/>
      <c r="MZF465" s="156"/>
      <c r="MZG465" s="156"/>
      <c r="MZH465" s="156"/>
      <c r="MZI465" s="156"/>
      <c r="MZJ465" s="156"/>
      <c r="MZK465" s="156"/>
      <c r="MZL465" s="156"/>
      <c r="MZM465" s="156"/>
      <c r="MZN465" s="156"/>
      <c r="MZO465" s="156"/>
      <c r="MZP465" s="156"/>
      <c r="MZQ465" s="156"/>
      <c r="MZR465" s="156"/>
      <c r="MZS465" s="156"/>
      <c r="MZT465" s="156"/>
      <c r="MZU465" s="156"/>
      <c r="MZV465" s="156"/>
      <c r="MZW465" s="156"/>
      <c r="MZX465" s="156"/>
      <c r="MZY465" s="156"/>
      <c r="MZZ465" s="156"/>
      <c r="NAA465" s="156"/>
      <c r="NAB465" s="156"/>
      <c r="NAC465" s="156"/>
      <c r="NAD465" s="156"/>
      <c r="NAE465" s="156"/>
      <c r="NAF465" s="156"/>
      <c r="NAG465" s="156"/>
      <c r="NAH465" s="156"/>
      <c r="NAI465" s="156"/>
      <c r="NAJ465" s="156"/>
      <c r="NAK465" s="156"/>
      <c r="NAL465" s="156"/>
      <c r="NAM465" s="156"/>
      <c r="NAN465" s="156"/>
      <c r="NAO465" s="156"/>
      <c r="NAP465" s="156"/>
      <c r="NAQ465" s="156"/>
      <c r="NAR465" s="156"/>
      <c r="NAS465" s="156"/>
      <c r="NAT465" s="156"/>
      <c r="NAU465" s="156"/>
      <c r="NAV465" s="156"/>
      <c r="NAW465" s="156"/>
      <c r="NAX465" s="156"/>
      <c r="NAY465" s="156"/>
      <c r="NAZ465" s="156"/>
      <c r="NBA465" s="156"/>
      <c r="NBB465" s="156"/>
      <c r="NBC465" s="156"/>
      <c r="NBD465" s="156"/>
      <c r="NBE465" s="156"/>
      <c r="NBF465" s="156"/>
      <c r="NBG465" s="156"/>
      <c r="NBH465" s="156"/>
      <c r="NBI465" s="156"/>
      <c r="NBJ465" s="156"/>
      <c r="NBK465" s="156"/>
      <c r="NBL465" s="156"/>
      <c r="NBM465" s="156"/>
      <c r="NBN465" s="156"/>
      <c r="NBO465" s="156"/>
      <c r="NBP465" s="156"/>
      <c r="NBQ465" s="156"/>
      <c r="NBR465" s="156"/>
      <c r="NBS465" s="156"/>
      <c r="NBT465" s="156"/>
      <c r="NBU465" s="156"/>
      <c r="NBV465" s="156"/>
      <c r="NBW465" s="156"/>
      <c r="NBX465" s="156"/>
      <c r="NBY465" s="156"/>
      <c r="NBZ465" s="156"/>
      <c r="NCA465" s="156"/>
      <c r="NCB465" s="156"/>
      <c r="NCC465" s="156"/>
      <c r="NCD465" s="156"/>
      <c r="NCE465" s="156"/>
      <c r="NCF465" s="156"/>
      <c r="NCG465" s="156"/>
      <c r="NCH465" s="156"/>
      <c r="NCI465" s="156"/>
      <c r="NCJ465" s="156"/>
      <c r="NCK465" s="156"/>
      <c r="NCL465" s="156"/>
      <c r="NCM465" s="156"/>
      <c r="NCN465" s="156"/>
      <c r="NCO465" s="156"/>
      <c r="NCP465" s="156"/>
      <c r="NCQ465" s="156"/>
      <c r="NCR465" s="156"/>
      <c r="NCS465" s="156"/>
      <c r="NCT465" s="156"/>
      <c r="NCU465" s="156"/>
      <c r="NCV465" s="156"/>
      <c r="NCW465" s="156"/>
      <c r="NCX465" s="156"/>
      <c r="NCY465" s="156"/>
      <c r="NCZ465" s="156"/>
      <c r="NDA465" s="156"/>
      <c r="NDB465" s="156"/>
      <c r="NDC465" s="156"/>
      <c r="NDD465" s="156"/>
      <c r="NDE465" s="156"/>
      <c r="NDF465" s="156"/>
      <c r="NDG465" s="156"/>
      <c r="NDH465" s="156"/>
      <c r="NDI465" s="156"/>
      <c r="NDJ465" s="156"/>
      <c r="NDK465" s="156"/>
      <c r="NDL465" s="156"/>
      <c r="NDM465" s="156"/>
      <c r="NDN465" s="156"/>
      <c r="NDO465" s="156"/>
      <c r="NDP465" s="156"/>
      <c r="NDQ465" s="156"/>
      <c r="NDR465" s="156"/>
      <c r="NDS465" s="156"/>
      <c r="NDT465" s="156"/>
      <c r="NDU465" s="156"/>
      <c r="NDV465" s="156"/>
      <c r="NDW465" s="156"/>
      <c r="NDX465" s="156"/>
      <c r="NDY465" s="156"/>
      <c r="NDZ465" s="156"/>
      <c r="NEA465" s="156"/>
      <c r="NEB465" s="156"/>
      <c r="NEC465" s="156"/>
      <c r="NED465" s="156"/>
      <c r="NEE465" s="156"/>
      <c r="NEF465" s="156"/>
      <c r="NEG465" s="156"/>
      <c r="NEH465" s="156"/>
      <c r="NEI465" s="156"/>
      <c r="NEJ465" s="156"/>
      <c r="NEK465" s="156"/>
      <c r="NEL465" s="156"/>
      <c r="NEM465" s="156"/>
      <c r="NEN465" s="156"/>
      <c r="NEO465" s="156"/>
      <c r="NEP465" s="156"/>
      <c r="NEQ465" s="156"/>
      <c r="NER465" s="156"/>
      <c r="NES465" s="156"/>
      <c r="NET465" s="156"/>
      <c r="NEU465" s="156"/>
      <c r="NEV465" s="156"/>
      <c r="NEW465" s="156"/>
      <c r="NEX465" s="156"/>
      <c r="NEY465" s="156"/>
      <c r="NEZ465" s="156"/>
      <c r="NFA465" s="156"/>
      <c r="NFB465" s="156"/>
      <c r="NFC465" s="156"/>
      <c r="NFD465" s="156"/>
      <c r="NFE465" s="156"/>
      <c r="NFF465" s="156"/>
      <c r="NFG465" s="156"/>
      <c r="NFH465" s="156"/>
      <c r="NFI465" s="156"/>
      <c r="NFJ465" s="156"/>
      <c r="NFK465" s="156"/>
      <c r="NFL465" s="156"/>
      <c r="NFM465" s="156"/>
      <c r="NFN465" s="156"/>
      <c r="NFO465" s="156"/>
      <c r="NFP465" s="156"/>
      <c r="NFQ465" s="156"/>
      <c r="NFR465" s="156"/>
      <c r="NFS465" s="156"/>
      <c r="NFT465" s="156"/>
      <c r="NFU465" s="156"/>
      <c r="NFV465" s="156"/>
      <c r="NFW465" s="156"/>
      <c r="NFX465" s="156"/>
      <c r="NFY465" s="156"/>
      <c r="NFZ465" s="156"/>
      <c r="NGA465" s="156"/>
      <c r="NGB465" s="156"/>
      <c r="NGC465" s="156"/>
      <c r="NGD465" s="156"/>
      <c r="NGE465" s="156"/>
      <c r="NGF465" s="156"/>
      <c r="NGG465" s="156"/>
      <c r="NGH465" s="156"/>
      <c r="NGI465" s="156"/>
      <c r="NGJ465" s="156"/>
      <c r="NGK465" s="156"/>
      <c r="NGL465" s="156"/>
      <c r="NGM465" s="156"/>
      <c r="NGN465" s="156"/>
      <c r="NGO465" s="156"/>
      <c r="NGP465" s="156"/>
      <c r="NGQ465" s="156"/>
      <c r="NGR465" s="156"/>
      <c r="NGS465" s="156"/>
      <c r="NGT465" s="156"/>
      <c r="NGU465" s="156"/>
      <c r="NGV465" s="156"/>
      <c r="NGW465" s="156"/>
      <c r="NGX465" s="156"/>
      <c r="NGY465" s="156"/>
      <c r="NGZ465" s="156"/>
      <c r="NHA465" s="156"/>
      <c r="NHB465" s="156"/>
      <c r="NHC465" s="156"/>
      <c r="NHD465" s="156"/>
      <c r="NHE465" s="156"/>
      <c r="NHF465" s="156"/>
      <c r="NHG465" s="156"/>
      <c r="NHH465" s="156"/>
      <c r="NHI465" s="156"/>
      <c r="NHJ465" s="156"/>
      <c r="NHK465" s="156"/>
      <c r="NHL465" s="156"/>
      <c r="NHM465" s="156"/>
      <c r="NHN465" s="156"/>
      <c r="NHO465" s="156"/>
      <c r="NHP465" s="156"/>
      <c r="NHQ465" s="156"/>
      <c r="NHR465" s="156"/>
      <c r="NHS465" s="156"/>
      <c r="NHT465" s="156"/>
      <c r="NHU465" s="156"/>
      <c r="NHV465" s="156"/>
      <c r="NHW465" s="156"/>
      <c r="NHX465" s="156"/>
      <c r="NHY465" s="156"/>
      <c r="NHZ465" s="156"/>
      <c r="NIA465" s="156"/>
      <c r="NIB465" s="156"/>
      <c r="NIC465" s="156"/>
      <c r="NID465" s="156"/>
      <c r="NIE465" s="156"/>
      <c r="NIF465" s="156"/>
      <c r="NIG465" s="156"/>
      <c r="NIH465" s="156"/>
      <c r="NII465" s="156"/>
      <c r="NIJ465" s="156"/>
      <c r="NIK465" s="156"/>
      <c r="NIL465" s="156"/>
      <c r="NIM465" s="156"/>
      <c r="NIN465" s="156"/>
      <c r="NIO465" s="156"/>
      <c r="NIP465" s="156"/>
      <c r="NIQ465" s="156"/>
      <c r="NIR465" s="156"/>
      <c r="NIS465" s="156"/>
      <c r="NIT465" s="156"/>
      <c r="NIU465" s="156"/>
      <c r="NIV465" s="156"/>
      <c r="NIW465" s="156"/>
      <c r="NIX465" s="156"/>
      <c r="NIY465" s="156"/>
      <c r="NIZ465" s="156"/>
      <c r="NJA465" s="156"/>
      <c r="NJB465" s="156"/>
      <c r="NJC465" s="156"/>
      <c r="NJD465" s="156"/>
      <c r="NJE465" s="156"/>
      <c r="NJF465" s="156"/>
      <c r="NJG465" s="156"/>
      <c r="NJH465" s="156"/>
      <c r="NJI465" s="156"/>
      <c r="NJJ465" s="156"/>
      <c r="NJK465" s="156"/>
      <c r="NJL465" s="156"/>
      <c r="NJM465" s="156"/>
      <c r="NJN465" s="156"/>
      <c r="NJO465" s="156"/>
      <c r="NJP465" s="156"/>
      <c r="NJQ465" s="156"/>
      <c r="NJR465" s="156"/>
      <c r="NJS465" s="156"/>
      <c r="NJT465" s="156"/>
      <c r="NJU465" s="156"/>
      <c r="NJV465" s="156"/>
      <c r="NJW465" s="156"/>
      <c r="NJX465" s="156"/>
      <c r="NJY465" s="156"/>
      <c r="NJZ465" s="156"/>
      <c r="NKA465" s="156"/>
      <c r="NKB465" s="156"/>
      <c r="NKC465" s="156"/>
      <c r="NKD465" s="156"/>
      <c r="NKE465" s="156"/>
      <c r="NKF465" s="156"/>
      <c r="NKG465" s="156"/>
      <c r="NKH465" s="156"/>
      <c r="NKI465" s="156"/>
      <c r="NKJ465" s="156"/>
      <c r="NKK465" s="156"/>
      <c r="NKL465" s="156"/>
      <c r="NKM465" s="156"/>
      <c r="NKN465" s="156"/>
      <c r="NKO465" s="156"/>
      <c r="NKP465" s="156"/>
      <c r="NKQ465" s="156"/>
      <c r="NKR465" s="156"/>
      <c r="NKS465" s="156"/>
      <c r="NKT465" s="156"/>
      <c r="NKU465" s="156"/>
      <c r="NKV465" s="156"/>
      <c r="NKW465" s="156"/>
      <c r="NKX465" s="156"/>
      <c r="NKY465" s="156"/>
      <c r="NKZ465" s="156"/>
      <c r="NLA465" s="156"/>
      <c r="NLB465" s="156"/>
      <c r="NLC465" s="156"/>
      <c r="NLD465" s="156"/>
      <c r="NLE465" s="156"/>
      <c r="NLF465" s="156"/>
      <c r="NLG465" s="156"/>
      <c r="NLH465" s="156"/>
      <c r="NLI465" s="156"/>
      <c r="NLJ465" s="156"/>
      <c r="NLK465" s="156"/>
      <c r="NLL465" s="156"/>
      <c r="NLM465" s="156"/>
      <c r="NLN465" s="156"/>
      <c r="NLO465" s="156"/>
      <c r="NLP465" s="156"/>
      <c r="NLQ465" s="156"/>
      <c r="NLR465" s="156"/>
      <c r="NLS465" s="156"/>
      <c r="NLT465" s="156"/>
      <c r="NLU465" s="156"/>
      <c r="NLV465" s="156"/>
      <c r="NLW465" s="156"/>
      <c r="NLX465" s="156"/>
      <c r="NLY465" s="156"/>
      <c r="NLZ465" s="156"/>
      <c r="NMA465" s="156"/>
      <c r="NMB465" s="156"/>
      <c r="NMC465" s="156"/>
      <c r="NMD465" s="156"/>
      <c r="NME465" s="156"/>
      <c r="NMF465" s="156"/>
      <c r="NMG465" s="156"/>
      <c r="NMH465" s="156"/>
      <c r="NMI465" s="156"/>
      <c r="NMJ465" s="156"/>
      <c r="NMK465" s="156"/>
      <c r="NML465" s="156"/>
      <c r="NMM465" s="156"/>
      <c r="NMN465" s="156"/>
      <c r="NMO465" s="156"/>
      <c r="NMP465" s="156"/>
      <c r="NMQ465" s="156"/>
      <c r="NMR465" s="156"/>
      <c r="NMS465" s="156"/>
      <c r="NMT465" s="156"/>
      <c r="NMU465" s="156"/>
      <c r="NMV465" s="156"/>
      <c r="NMW465" s="156"/>
      <c r="NMX465" s="156"/>
      <c r="NMY465" s="156"/>
      <c r="NMZ465" s="156"/>
      <c r="NNA465" s="156"/>
      <c r="NNB465" s="156"/>
      <c r="NNC465" s="156"/>
      <c r="NND465" s="156"/>
      <c r="NNE465" s="156"/>
      <c r="NNF465" s="156"/>
      <c r="NNG465" s="156"/>
      <c r="NNH465" s="156"/>
      <c r="NNI465" s="156"/>
      <c r="NNJ465" s="156"/>
      <c r="NNK465" s="156"/>
      <c r="NNL465" s="156"/>
      <c r="NNM465" s="156"/>
      <c r="NNN465" s="156"/>
      <c r="NNO465" s="156"/>
      <c r="NNP465" s="156"/>
      <c r="NNQ465" s="156"/>
      <c r="NNR465" s="156"/>
      <c r="NNS465" s="156"/>
      <c r="NNT465" s="156"/>
      <c r="NNU465" s="156"/>
      <c r="NNV465" s="156"/>
      <c r="NNW465" s="156"/>
      <c r="NNX465" s="156"/>
      <c r="NNY465" s="156"/>
      <c r="NNZ465" s="156"/>
      <c r="NOA465" s="156"/>
      <c r="NOB465" s="156"/>
      <c r="NOC465" s="156"/>
      <c r="NOD465" s="156"/>
      <c r="NOE465" s="156"/>
      <c r="NOF465" s="156"/>
      <c r="NOG465" s="156"/>
      <c r="NOH465" s="156"/>
      <c r="NOI465" s="156"/>
      <c r="NOJ465" s="156"/>
      <c r="NOK465" s="156"/>
      <c r="NOL465" s="156"/>
      <c r="NOM465" s="156"/>
      <c r="NON465" s="156"/>
      <c r="NOO465" s="156"/>
      <c r="NOP465" s="156"/>
      <c r="NOQ465" s="156"/>
      <c r="NOR465" s="156"/>
      <c r="NOS465" s="156"/>
      <c r="NOT465" s="156"/>
      <c r="NOU465" s="156"/>
      <c r="NOV465" s="156"/>
      <c r="NOW465" s="156"/>
      <c r="NOX465" s="156"/>
      <c r="NOY465" s="156"/>
      <c r="NOZ465" s="156"/>
      <c r="NPA465" s="156"/>
      <c r="NPB465" s="156"/>
      <c r="NPC465" s="156"/>
      <c r="NPD465" s="156"/>
      <c r="NPE465" s="156"/>
      <c r="NPF465" s="156"/>
      <c r="NPG465" s="156"/>
      <c r="NPH465" s="156"/>
      <c r="NPI465" s="156"/>
      <c r="NPJ465" s="156"/>
      <c r="NPK465" s="156"/>
      <c r="NPL465" s="156"/>
      <c r="NPM465" s="156"/>
      <c r="NPN465" s="156"/>
      <c r="NPO465" s="156"/>
      <c r="NPP465" s="156"/>
      <c r="NPQ465" s="156"/>
      <c r="NPR465" s="156"/>
      <c r="NPS465" s="156"/>
      <c r="NPT465" s="156"/>
      <c r="NPU465" s="156"/>
      <c r="NPV465" s="156"/>
      <c r="NPW465" s="156"/>
      <c r="NPX465" s="156"/>
      <c r="NPY465" s="156"/>
      <c r="NPZ465" s="156"/>
      <c r="NQA465" s="156"/>
      <c r="NQB465" s="156"/>
      <c r="NQC465" s="156"/>
      <c r="NQD465" s="156"/>
      <c r="NQE465" s="156"/>
      <c r="NQF465" s="156"/>
      <c r="NQG465" s="156"/>
      <c r="NQH465" s="156"/>
      <c r="NQI465" s="156"/>
      <c r="NQJ465" s="156"/>
      <c r="NQK465" s="156"/>
      <c r="NQL465" s="156"/>
      <c r="NQM465" s="156"/>
      <c r="NQN465" s="156"/>
      <c r="NQO465" s="156"/>
      <c r="NQP465" s="156"/>
      <c r="NQQ465" s="156"/>
      <c r="NQR465" s="156"/>
      <c r="NQS465" s="156"/>
      <c r="NQT465" s="156"/>
      <c r="NQU465" s="156"/>
      <c r="NQV465" s="156"/>
      <c r="NQW465" s="156"/>
      <c r="NQX465" s="156"/>
      <c r="NQY465" s="156"/>
      <c r="NQZ465" s="156"/>
      <c r="NRA465" s="156"/>
      <c r="NRB465" s="156"/>
      <c r="NRC465" s="156"/>
      <c r="NRD465" s="156"/>
      <c r="NRE465" s="156"/>
      <c r="NRF465" s="156"/>
      <c r="NRG465" s="156"/>
      <c r="NRH465" s="156"/>
      <c r="NRI465" s="156"/>
      <c r="NRJ465" s="156"/>
      <c r="NRK465" s="156"/>
      <c r="NRL465" s="156"/>
      <c r="NRM465" s="156"/>
      <c r="NRN465" s="156"/>
      <c r="NRO465" s="156"/>
      <c r="NRP465" s="156"/>
      <c r="NRQ465" s="156"/>
      <c r="NRR465" s="156"/>
      <c r="NRS465" s="156"/>
      <c r="NRT465" s="156"/>
      <c r="NRU465" s="156"/>
      <c r="NRV465" s="156"/>
      <c r="NRW465" s="156"/>
      <c r="NRX465" s="156"/>
      <c r="NRY465" s="156"/>
      <c r="NRZ465" s="156"/>
      <c r="NSA465" s="156"/>
      <c r="NSB465" s="156"/>
      <c r="NSC465" s="156"/>
      <c r="NSD465" s="156"/>
      <c r="NSE465" s="156"/>
      <c r="NSF465" s="156"/>
      <c r="NSG465" s="156"/>
      <c r="NSH465" s="156"/>
      <c r="NSI465" s="156"/>
      <c r="NSJ465" s="156"/>
      <c r="NSK465" s="156"/>
      <c r="NSL465" s="156"/>
      <c r="NSM465" s="156"/>
      <c r="NSN465" s="156"/>
      <c r="NSO465" s="156"/>
      <c r="NSP465" s="156"/>
      <c r="NSQ465" s="156"/>
      <c r="NSR465" s="156"/>
      <c r="NSS465" s="156"/>
      <c r="NST465" s="156"/>
      <c r="NSU465" s="156"/>
      <c r="NSV465" s="156"/>
      <c r="NSW465" s="156"/>
      <c r="NSX465" s="156"/>
      <c r="NSY465" s="156"/>
      <c r="NSZ465" s="156"/>
      <c r="NTA465" s="156"/>
      <c r="NTB465" s="156"/>
      <c r="NTC465" s="156"/>
      <c r="NTD465" s="156"/>
      <c r="NTE465" s="156"/>
      <c r="NTF465" s="156"/>
      <c r="NTG465" s="156"/>
      <c r="NTH465" s="156"/>
      <c r="NTI465" s="156"/>
      <c r="NTJ465" s="156"/>
      <c r="NTK465" s="156"/>
      <c r="NTL465" s="156"/>
      <c r="NTM465" s="156"/>
      <c r="NTN465" s="156"/>
      <c r="NTO465" s="156"/>
      <c r="NTP465" s="156"/>
      <c r="NTQ465" s="156"/>
      <c r="NTR465" s="156"/>
      <c r="NTS465" s="156"/>
      <c r="NTT465" s="156"/>
      <c r="NTU465" s="156"/>
      <c r="NTV465" s="156"/>
      <c r="NTW465" s="156"/>
      <c r="NTX465" s="156"/>
      <c r="NTY465" s="156"/>
      <c r="NTZ465" s="156"/>
      <c r="NUA465" s="156"/>
      <c r="NUB465" s="156"/>
      <c r="NUC465" s="156"/>
      <c r="NUD465" s="156"/>
      <c r="NUE465" s="156"/>
      <c r="NUF465" s="156"/>
      <c r="NUG465" s="156"/>
      <c r="NUH465" s="156"/>
      <c r="NUI465" s="156"/>
      <c r="NUJ465" s="156"/>
      <c r="NUK465" s="156"/>
      <c r="NUL465" s="156"/>
      <c r="NUM465" s="156"/>
      <c r="NUN465" s="156"/>
      <c r="NUO465" s="156"/>
      <c r="NUP465" s="156"/>
      <c r="NUQ465" s="156"/>
      <c r="NUR465" s="156"/>
      <c r="NUS465" s="156"/>
      <c r="NUT465" s="156"/>
      <c r="NUU465" s="156"/>
      <c r="NUV465" s="156"/>
      <c r="NUW465" s="156"/>
      <c r="NUX465" s="156"/>
      <c r="NUY465" s="156"/>
      <c r="NUZ465" s="156"/>
      <c r="NVA465" s="156"/>
      <c r="NVB465" s="156"/>
      <c r="NVC465" s="156"/>
      <c r="NVD465" s="156"/>
      <c r="NVE465" s="156"/>
      <c r="NVF465" s="156"/>
      <c r="NVG465" s="156"/>
      <c r="NVH465" s="156"/>
      <c r="NVI465" s="156"/>
      <c r="NVJ465" s="156"/>
      <c r="NVK465" s="156"/>
      <c r="NVL465" s="156"/>
      <c r="NVM465" s="156"/>
      <c r="NVN465" s="156"/>
      <c r="NVO465" s="156"/>
      <c r="NVP465" s="156"/>
      <c r="NVQ465" s="156"/>
      <c r="NVR465" s="156"/>
      <c r="NVS465" s="156"/>
      <c r="NVT465" s="156"/>
      <c r="NVU465" s="156"/>
      <c r="NVV465" s="156"/>
      <c r="NVW465" s="156"/>
      <c r="NVX465" s="156"/>
      <c r="NVY465" s="156"/>
      <c r="NVZ465" s="156"/>
      <c r="NWA465" s="156"/>
      <c r="NWB465" s="156"/>
      <c r="NWC465" s="156"/>
      <c r="NWD465" s="156"/>
      <c r="NWE465" s="156"/>
      <c r="NWF465" s="156"/>
      <c r="NWG465" s="156"/>
      <c r="NWH465" s="156"/>
      <c r="NWI465" s="156"/>
      <c r="NWJ465" s="156"/>
      <c r="NWK465" s="156"/>
      <c r="NWL465" s="156"/>
      <c r="NWM465" s="156"/>
      <c r="NWN465" s="156"/>
      <c r="NWO465" s="156"/>
      <c r="NWP465" s="156"/>
      <c r="NWQ465" s="156"/>
      <c r="NWR465" s="156"/>
      <c r="NWS465" s="156"/>
      <c r="NWT465" s="156"/>
      <c r="NWU465" s="156"/>
      <c r="NWV465" s="156"/>
      <c r="NWW465" s="156"/>
      <c r="NWX465" s="156"/>
      <c r="NWY465" s="156"/>
      <c r="NWZ465" s="156"/>
      <c r="NXA465" s="156"/>
      <c r="NXB465" s="156"/>
      <c r="NXC465" s="156"/>
      <c r="NXD465" s="156"/>
      <c r="NXE465" s="156"/>
      <c r="NXF465" s="156"/>
      <c r="NXG465" s="156"/>
      <c r="NXH465" s="156"/>
      <c r="NXI465" s="156"/>
      <c r="NXJ465" s="156"/>
      <c r="NXK465" s="156"/>
      <c r="NXL465" s="156"/>
      <c r="NXM465" s="156"/>
      <c r="NXN465" s="156"/>
      <c r="NXO465" s="156"/>
      <c r="NXP465" s="156"/>
      <c r="NXQ465" s="156"/>
      <c r="NXR465" s="156"/>
      <c r="NXS465" s="156"/>
      <c r="NXT465" s="156"/>
      <c r="NXU465" s="156"/>
      <c r="NXV465" s="156"/>
      <c r="NXW465" s="156"/>
      <c r="NXX465" s="156"/>
      <c r="NXY465" s="156"/>
      <c r="NXZ465" s="156"/>
      <c r="NYA465" s="156"/>
      <c r="NYB465" s="156"/>
      <c r="NYC465" s="156"/>
      <c r="NYD465" s="156"/>
      <c r="NYE465" s="156"/>
      <c r="NYF465" s="156"/>
      <c r="NYG465" s="156"/>
      <c r="NYH465" s="156"/>
      <c r="NYI465" s="156"/>
      <c r="NYJ465" s="156"/>
      <c r="NYK465" s="156"/>
      <c r="NYL465" s="156"/>
      <c r="NYM465" s="156"/>
      <c r="NYN465" s="156"/>
      <c r="NYO465" s="156"/>
      <c r="NYP465" s="156"/>
      <c r="NYQ465" s="156"/>
      <c r="NYR465" s="156"/>
      <c r="NYS465" s="156"/>
      <c r="NYT465" s="156"/>
      <c r="NYU465" s="156"/>
      <c r="NYV465" s="156"/>
      <c r="NYW465" s="156"/>
      <c r="NYX465" s="156"/>
      <c r="NYY465" s="156"/>
      <c r="NYZ465" s="156"/>
      <c r="NZA465" s="156"/>
      <c r="NZB465" s="156"/>
      <c r="NZC465" s="156"/>
      <c r="NZD465" s="156"/>
      <c r="NZE465" s="156"/>
      <c r="NZF465" s="156"/>
      <c r="NZG465" s="156"/>
      <c r="NZH465" s="156"/>
      <c r="NZI465" s="156"/>
      <c r="NZJ465" s="156"/>
      <c r="NZK465" s="156"/>
      <c r="NZL465" s="156"/>
      <c r="NZM465" s="156"/>
      <c r="NZN465" s="156"/>
      <c r="NZO465" s="156"/>
      <c r="NZP465" s="156"/>
      <c r="NZQ465" s="156"/>
      <c r="NZR465" s="156"/>
      <c r="NZS465" s="156"/>
      <c r="NZT465" s="156"/>
      <c r="NZU465" s="156"/>
      <c r="NZV465" s="156"/>
      <c r="NZW465" s="156"/>
      <c r="NZX465" s="156"/>
      <c r="NZY465" s="156"/>
      <c r="NZZ465" s="156"/>
      <c r="OAA465" s="156"/>
      <c r="OAB465" s="156"/>
      <c r="OAC465" s="156"/>
      <c r="OAD465" s="156"/>
      <c r="OAE465" s="156"/>
      <c r="OAF465" s="156"/>
      <c r="OAG465" s="156"/>
      <c r="OAH465" s="156"/>
      <c r="OAI465" s="156"/>
      <c r="OAJ465" s="156"/>
      <c r="OAK465" s="156"/>
      <c r="OAL465" s="156"/>
      <c r="OAM465" s="156"/>
      <c r="OAN465" s="156"/>
      <c r="OAO465" s="156"/>
      <c r="OAP465" s="156"/>
      <c r="OAQ465" s="156"/>
      <c r="OAR465" s="156"/>
      <c r="OAS465" s="156"/>
      <c r="OAT465" s="156"/>
      <c r="OAU465" s="156"/>
      <c r="OAV465" s="156"/>
      <c r="OAW465" s="156"/>
      <c r="OAX465" s="156"/>
      <c r="OAY465" s="156"/>
      <c r="OAZ465" s="156"/>
      <c r="OBA465" s="156"/>
      <c r="OBB465" s="156"/>
      <c r="OBC465" s="156"/>
      <c r="OBD465" s="156"/>
      <c r="OBE465" s="156"/>
      <c r="OBF465" s="156"/>
      <c r="OBG465" s="156"/>
      <c r="OBH465" s="156"/>
      <c r="OBI465" s="156"/>
      <c r="OBJ465" s="156"/>
      <c r="OBK465" s="156"/>
      <c r="OBL465" s="156"/>
      <c r="OBM465" s="156"/>
      <c r="OBN465" s="156"/>
      <c r="OBO465" s="156"/>
      <c r="OBP465" s="156"/>
      <c r="OBQ465" s="156"/>
      <c r="OBR465" s="156"/>
      <c r="OBS465" s="156"/>
      <c r="OBT465" s="156"/>
      <c r="OBU465" s="156"/>
      <c r="OBV465" s="156"/>
      <c r="OBW465" s="156"/>
      <c r="OBX465" s="156"/>
      <c r="OBY465" s="156"/>
      <c r="OBZ465" s="156"/>
      <c r="OCA465" s="156"/>
      <c r="OCB465" s="156"/>
      <c r="OCC465" s="156"/>
      <c r="OCD465" s="156"/>
      <c r="OCE465" s="156"/>
      <c r="OCF465" s="156"/>
      <c r="OCG465" s="156"/>
      <c r="OCH465" s="156"/>
      <c r="OCI465" s="156"/>
      <c r="OCJ465" s="156"/>
      <c r="OCK465" s="156"/>
      <c r="OCL465" s="156"/>
      <c r="OCM465" s="156"/>
      <c r="OCN465" s="156"/>
      <c r="OCO465" s="156"/>
      <c r="OCP465" s="156"/>
      <c r="OCQ465" s="156"/>
      <c r="OCR465" s="156"/>
      <c r="OCS465" s="156"/>
      <c r="OCT465" s="156"/>
      <c r="OCU465" s="156"/>
      <c r="OCV465" s="156"/>
      <c r="OCW465" s="156"/>
      <c r="OCX465" s="156"/>
      <c r="OCY465" s="156"/>
      <c r="OCZ465" s="156"/>
      <c r="ODA465" s="156"/>
      <c r="ODB465" s="156"/>
      <c r="ODC465" s="156"/>
      <c r="ODD465" s="156"/>
      <c r="ODE465" s="156"/>
      <c r="ODF465" s="156"/>
      <c r="ODG465" s="156"/>
      <c r="ODH465" s="156"/>
      <c r="ODI465" s="156"/>
      <c r="ODJ465" s="156"/>
      <c r="ODK465" s="156"/>
      <c r="ODL465" s="156"/>
      <c r="ODM465" s="156"/>
      <c r="ODN465" s="156"/>
      <c r="ODO465" s="156"/>
      <c r="ODP465" s="156"/>
      <c r="ODQ465" s="156"/>
      <c r="ODR465" s="156"/>
      <c r="ODS465" s="156"/>
      <c r="ODT465" s="156"/>
      <c r="ODU465" s="156"/>
      <c r="ODV465" s="156"/>
      <c r="ODW465" s="156"/>
      <c r="ODX465" s="156"/>
      <c r="ODY465" s="156"/>
      <c r="ODZ465" s="156"/>
      <c r="OEA465" s="156"/>
      <c r="OEB465" s="156"/>
      <c r="OEC465" s="156"/>
      <c r="OED465" s="156"/>
      <c r="OEE465" s="156"/>
      <c r="OEF465" s="156"/>
      <c r="OEG465" s="156"/>
      <c r="OEH465" s="156"/>
      <c r="OEI465" s="156"/>
      <c r="OEJ465" s="156"/>
      <c r="OEK465" s="156"/>
      <c r="OEL465" s="156"/>
      <c r="OEM465" s="156"/>
      <c r="OEN465" s="156"/>
      <c r="OEO465" s="156"/>
      <c r="OEP465" s="156"/>
      <c r="OEQ465" s="156"/>
      <c r="OER465" s="156"/>
      <c r="OES465" s="156"/>
      <c r="OET465" s="156"/>
      <c r="OEU465" s="156"/>
      <c r="OEV465" s="156"/>
      <c r="OEW465" s="156"/>
      <c r="OEX465" s="156"/>
      <c r="OEY465" s="156"/>
      <c r="OEZ465" s="156"/>
      <c r="OFA465" s="156"/>
      <c r="OFB465" s="156"/>
      <c r="OFC465" s="156"/>
      <c r="OFD465" s="156"/>
      <c r="OFE465" s="156"/>
      <c r="OFF465" s="156"/>
      <c r="OFG465" s="156"/>
      <c r="OFH465" s="156"/>
      <c r="OFI465" s="156"/>
      <c r="OFJ465" s="156"/>
      <c r="OFK465" s="156"/>
      <c r="OFL465" s="156"/>
      <c r="OFM465" s="156"/>
      <c r="OFN465" s="156"/>
      <c r="OFO465" s="156"/>
      <c r="OFP465" s="156"/>
      <c r="OFQ465" s="156"/>
      <c r="OFR465" s="156"/>
      <c r="OFS465" s="156"/>
      <c r="OFT465" s="156"/>
      <c r="OFU465" s="156"/>
      <c r="OFV465" s="156"/>
      <c r="OFW465" s="156"/>
      <c r="OFX465" s="156"/>
      <c r="OFY465" s="156"/>
      <c r="OFZ465" s="156"/>
      <c r="OGA465" s="156"/>
      <c r="OGB465" s="156"/>
      <c r="OGC465" s="156"/>
      <c r="OGD465" s="156"/>
      <c r="OGE465" s="156"/>
      <c r="OGF465" s="156"/>
      <c r="OGG465" s="156"/>
      <c r="OGH465" s="156"/>
      <c r="OGI465" s="156"/>
      <c r="OGJ465" s="156"/>
      <c r="OGK465" s="156"/>
      <c r="OGL465" s="156"/>
      <c r="OGM465" s="156"/>
      <c r="OGN465" s="156"/>
      <c r="OGO465" s="156"/>
      <c r="OGP465" s="156"/>
      <c r="OGQ465" s="156"/>
      <c r="OGR465" s="156"/>
      <c r="OGS465" s="156"/>
      <c r="OGT465" s="156"/>
      <c r="OGU465" s="156"/>
      <c r="OGV465" s="156"/>
      <c r="OGW465" s="156"/>
      <c r="OGX465" s="156"/>
      <c r="OGY465" s="156"/>
      <c r="OGZ465" s="156"/>
      <c r="OHA465" s="156"/>
      <c r="OHB465" s="156"/>
      <c r="OHC465" s="156"/>
      <c r="OHD465" s="156"/>
      <c r="OHE465" s="156"/>
      <c r="OHF465" s="156"/>
      <c r="OHG465" s="156"/>
      <c r="OHH465" s="156"/>
      <c r="OHI465" s="156"/>
      <c r="OHJ465" s="156"/>
      <c r="OHK465" s="156"/>
      <c r="OHL465" s="156"/>
      <c r="OHM465" s="156"/>
      <c r="OHN465" s="156"/>
      <c r="OHO465" s="156"/>
      <c r="OHP465" s="156"/>
      <c r="OHQ465" s="156"/>
      <c r="OHR465" s="156"/>
      <c r="OHS465" s="156"/>
      <c r="OHT465" s="156"/>
      <c r="OHU465" s="156"/>
      <c r="OHV465" s="156"/>
      <c r="OHW465" s="156"/>
      <c r="OHX465" s="156"/>
      <c r="OHY465" s="156"/>
      <c r="OHZ465" s="156"/>
      <c r="OIA465" s="156"/>
      <c r="OIB465" s="156"/>
      <c r="OIC465" s="156"/>
      <c r="OID465" s="156"/>
      <c r="OIE465" s="156"/>
      <c r="OIF465" s="156"/>
      <c r="OIG465" s="156"/>
      <c r="OIH465" s="156"/>
      <c r="OII465" s="156"/>
      <c r="OIJ465" s="156"/>
      <c r="OIK465" s="156"/>
      <c r="OIL465" s="156"/>
      <c r="OIM465" s="156"/>
      <c r="OIN465" s="156"/>
      <c r="OIO465" s="156"/>
      <c r="OIP465" s="156"/>
      <c r="OIQ465" s="156"/>
      <c r="OIR465" s="156"/>
      <c r="OIS465" s="156"/>
      <c r="OIT465" s="156"/>
      <c r="OIU465" s="156"/>
      <c r="OIV465" s="156"/>
      <c r="OIW465" s="156"/>
      <c r="OIX465" s="156"/>
      <c r="OIY465" s="156"/>
      <c r="OIZ465" s="156"/>
      <c r="OJA465" s="156"/>
      <c r="OJB465" s="156"/>
      <c r="OJC465" s="156"/>
      <c r="OJD465" s="156"/>
      <c r="OJE465" s="156"/>
      <c r="OJF465" s="156"/>
      <c r="OJG465" s="156"/>
      <c r="OJH465" s="156"/>
      <c r="OJI465" s="156"/>
      <c r="OJJ465" s="156"/>
      <c r="OJK465" s="156"/>
      <c r="OJL465" s="156"/>
      <c r="OJM465" s="156"/>
      <c r="OJN465" s="156"/>
      <c r="OJO465" s="156"/>
      <c r="OJP465" s="156"/>
      <c r="OJQ465" s="156"/>
      <c r="OJR465" s="156"/>
      <c r="OJS465" s="156"/>
      <c r="OJT465" s="156"/>
      <c r="OJU465" s="156"/>
      <c r="OJV465" s="156"/>
      <c r="OJW465" s="156"/>
      <c r="OJX465" s="156"/>
      <c r="OJY465" s="156"/>
      <c r="OJZ465" s="156"/>
      <c r="OKA465" s="156"/>
      <c r="OKB465" s="156"/>
      <c r="OKC465" s="156"/>
      <c r="OKD465" s="156"/>
      <c r="OKE465" s="156"/>
      <c r="OKF465" s="156"/>
      <c r="OKG465" s="156"/>
      <c r="OKH465" s="156"/>
      <c r="OKI465" s="156"/>
      <c r="OKJ465" s="156"/>
      <c r="OKK465" s="156"/>
      <c r="OKL465" s="156"/>
      <c r="OKM465" s="156"/>
      <c r="OKN465" s="156"/>
      <c r="OKO465" s="156"/>
      <c r="OKP465" s="156"/>
      <c r="OKQ465" s="156"/>
      <c r="OKR465" s="156"/>
      <c r="OKS465" s="156"/>
      <c r="OKT465" s="156"/>
      <c r="OKU465" s="156"/>
      <c r="OKV465" s="156"/>
      <c r="OKW465" s="156"/>
      <c r="OKX465" s="156"/>
      <c r="OKY465" s="156"/>
      <c r="OKZ465" s="156"/>
      <c r="OLA465" s="156"/>
      <c r="OLB465" s="156"/>
      <c r="OLC465" s="156"/>
      <c r="OLD465" s="156"/>
      <c r="OLE465" s="156"/>
      <c r="OLF465" s="156"/>
      <c r="OLG465" s="156"/>
      <c r="OLH465" s="156"/>
      <c r="OLI465" s="156"/>
      <c r="OLJ465" s="156"/>
      <c r="OLK465" s="156"/>
      <c r="OLL465" s="156"/>
      <c r="OLM465" s="156"/>
      <c r="OLN465" s="156"/>
      <c r="OLO465" s="156"/>
      <c r="OLP465" s="156"/>
      <c r="OLQ465" s="156"/>
      <c r="OLR465" s="156"/>
      <c r="OLS465" s="156"/>
      <c r="OLT465" s="156"/>
      <c r="OLU465" s="156"/>
      <c r="OLV465" s="156"/>
      <c r="OLW465" s="156"/>
      <c r="OLX465" s="156"/>
      <c r="OLY465" s="156"/>
      <c r="OLZ465" s="156"/>
      <c r="OMA465" s="156"/>
      <c r="OMB465" s="156"/>
      <c r="OMC465" s="156"/>
      <c r="OMD465" s="156"/>
      <c r="OME465" s="156"/>
      <c r="OMF465" s="156"/>
      <c r="OMG465" s="156"/>
      <c r="OMH465" s="156"/>
      <c r="OMI465" s="156"/>
      <c r="OMJ465" s="156"/>
      <c r="OMK465" s="156"/>
      <c r="OML465" s="156"/>
      <c r="OMM465" s="156"/>
      <c r="OMN465" s="156"/>
      <c r="OMO465" s="156"/>
      <c r="OMP465" s="156"/>
      <c r="OMQ465" s="156"/>
      <c r="OMR465" s="156"/>
      <c r="OMS465" s="156"/>
      <c r="OMT465" s="156"/>
      <c r="OMU465" s="156"/>
      <c r="OMV465" s="156"/>
      <c r="OMW465" s="156"/>
      <c r="OMX465" s="156"/>
      <c r="OMY465" s="156"/>
      <c r="OMZ465" s="156"/>
      <c r="ONA465" s="156"/>
      <c r="ONB465" s="156"/>
      <c r="ONC465" s="156"/>
      <c r="OND465" s="156"/>
      <c r="ONE465" s="156"/>
      <c r="ONF465" s="156"/>
      <c r="ONG465" s="156"/>
      <c r="ONH465" s="156"/>
      <c r="ONI465" s="156"/>
      <c r="ONJ465" s="156"/>
      <c r="ONK465" s="156"/>
      <c r="ONL465" s="156"/>
      <c r="ONM465" s="156"/>
      <c r="ONN465" s="156"/>
      <c r="ONO465" s="156"/>
      <c r="ONP465" s="156"/>
      <c r="ONQ465" s="156"/>
      <c r="ONR465" s="156"/>
      <c r="ONS465" s="156"/>
      <c r="ONT465" s="156"/>
      <c r="ONU465" s="156"/>
      <c r="ONV465" s="156"/>
      <c r="ONW465" s="156"/>
      <c r="ONX465" s="156"/>
      <c r="ONY465" s="156"/>
      <c r="ONZ465" s="156"/>
      <c r="OOA465" s="156"/>
      <c r="OOB465" s="156"/>
      <c r="OOC465" s="156"/>
      <c r="OOD465" s="156"/>
      <c r="OOE465" s="156"/>
      <c r="OOF465" s="156"/>
      <c r="OOG465" s="156"/>
      <c r="OOH465" s="156"/>
      <c r="OOI465" s="156"/>
      <c r="OOJ465" s="156"/>
      <c r="OOK465" s="156"/>
      <c r="OOL465" s="156"/>
      <c r="OOM465" s="156"/>
      <c r="OON465" s="156"/>
      <c r="OOO465" s="156"/>
      <c r="OOP465" s="156"/>
      <c r="OOQ465" s="156"/>
      <c r="OOR465" s="156"/>
      <c r="OOS465" s="156"/>
      <c r="OOT465" s="156"/>
      <c r="OOU465" s="156"/>
      <c r="OOV465" s="156"/>
      <c r="OOW465" s="156"/>
      <c r="OOX465" s="156"/>
      <c r="OOY465" s="156"/>
      <c r="OOZ465" s="156"/>
      <c r="OPA465" s="156"/>
      <c r="OPB465" s="156"/>
      <c r="OPC465" s="156"/>
      <c r="OPD465" s="156"/>
      <c r="OPE465" s="156"/>
      <c r="OPF465" s="156"/>
      <c r="OPG465" s="156"/>
      <c r="OPH465" s="156"/>
      <c r="OPI465" s="156"/>
      <c r="OPJ465" s="156"/>
      <c r="OPK465" s="156"/>
      <c r="OPL465" s="156"/>
      <c r="OPM465" s="156"/>
      <c r="OPN465" s="156"/>
      <c r="OPO465" s="156"/>
      <c r="OPP465" s="156"/>
      <c r="OPQ465" s="156"/>
      <c r="OPR465" s="156"/>
      <c r="OPS465" s="156"/>
      <c r="OPT465" s="156"/>
      <c r="OPU465" s="156"/>
      <c r="OPV465" s="156"/>
      <c r="OPW465" s="156"/>
      <c r="OPX465" s="156"/>
      <c r="OPY465" s="156"/>
      <c r="OPZ465" s="156"/>
      <c r="OQA465" s="156"/>
      <c r="OQB465" s="156"/>
      <c r="OQC465" s="156"/>
      <c r="OQD465" s="156"/>
      <c r="OQE465" s="156"/>
      <c r="OQF465" s="156"/>
      <c r="OQG465" s="156"/>
      <c r="OQH465" s="156"/>
      <c r="OQI465" s="156"/>
      <c r="OQJ465" s="156"/>
      <c r="OQK465" s="156"/>
      <c r="OQL465" s="156"/>
      <c r="OQM465" s="156"/>
      <c r="OQN465" s="156"/>
      <c r="OQO465" s="156"/>
      <c r="OQP465" s="156"/>
      <c r="OQQ465" s="156"/>
      <c r="OQR465" s="156"/>
      <c r="OQS465" s="156"/>
      <c r="OQT465" s="156"/>
      <c r="OQU465" s="156"/>
      <c r="OQV465" s="156"/>
      <c r="OQW465" s="156"/>
      <c r="OQX465" s="156"/>
      <c r="OQY465" s="156"/>
      <c r="OQZ465" s="156"/>
      <c r="ORA465" s="156"/>
      <c r="ORB465" s="156"/>
      <c r="ORC465" s="156"/>
      <c r="ORD465" s="156"/>
      <c r="ORE465" s="156"/>
      <c r="ORF465" s="156"/>
      <c r="ORG465" s="156"/>
      <c r="ORH465" s="156"/>
      <c r="ORI465" s="156"/>
      <c r="ORJ465" s="156"/>
      <c r="ORK465" s="156"/>
      <c r="ORL465" s="156"/>
      <c r="ORM465" s="156"/>
      <c r="ORN465" s="156"/>
      <c r="ORO465" s="156"/>
      <c r="ORP465" s="156"/>
      <c r="ORQ465" s="156"/>
      <c r="ORR465" s="156"/>
      <c r="ORS465" s="156"/>
      <c r="ORT465" s="156"/>
      <c r="ORU465" s="156"/>
      <c r="ORV465" s="156"/>
      <c r="ORW465" s="156"/>
      <c r="ORX465" s="156"/>
      <c r="ORY465" s="156"/>
      <c r="ORZ465" s="156"/>
      <c r="OSA465" s="156"/>
      <c r="OSB465" s="156"/>
      <c r="OSC465" s="156"/>
      <c r="OSD465" s="156"/>
      <c r="OSE465" s="156"/>
      <c r="OSF465" s="156"/>
      <c r="OSG465" s="156"/>
      <c r="OSH465" s="156"/>
      <c r="OSI465" s="156"/>
      <c r="OSJ465" s="156"/>
      <c r="OSK465" s="156"/>
      <c r="OSL465" s="156"/>
      <c r="OSM465" s="156"/>
      <c r="OSN465" s="156"/>
      <c r="OSO465" s="156"/>
      <c r="OSP465" s="156"/>
      <c r="OSQ465" s="156"/>
      <c r="OSR465" s="156"/>
      <c r="OSS465" s="156"/>
      <c r="OST465" s="156"/>
      <c r="OSU465" s="156"/>
      <c r="OSV465" s="156"/>
      <c r="OSW465" s="156"/>
      <c r="OSX465" s="156"/>
      <c r="OSY465" s="156"/>
      <c r="OSZ465" s="156"/>
      <c r="OTA465" s="156"/>
      <c r="OTB465" s="156"/>
      <c r="OTC465" s="156"/>
      <c r="OTD465" s="156"/>
      <c r="OTE465" s="156"/>
      <c r="OTF465" s="156"/>
      <c r="OTG465" s="156"/>
      <c r="OTH465" s="156"/>
      <c r="OTI465" s="156"/>
      <c r="OTJ465" s="156"/>
      <c r="OTK465" s="156"/>
      <c r="OTL465" s="156"/>
      <c r="OTM465" s="156"/>
      <c r="OTN465" s="156"/>
      <c r="OTO465" s="156"/>
      <c r="OTP465" s="156"/>
      <c r="OTQ465" s="156"/>
      <c r="OTR465" s="156"/>
      <c r="OTS465" s="156"/>
      <c r="OTT465" s="156"/>
      <c r="OTU465" s="156"/>
      <c r="OTV465" s="156"/>
      <c r="OTW465" s="156"/>
      <c r="OTX465" s="156"/>
      <c r="OTY465" s="156"/>
      <c r="OTZ465" s="156"/>
      <c r="OUA465" s="156"/>
      <c r="OUB465" s="156"/>
      <c r="OUC465" s="156"/>
      <c r="OUD465" s="156"/>
      <c r="OUE465" s="156"/>
      <c r="OUF465" s="156"/>
      <c r="OUG465" s="156"/>
      <c r="OUH465" s="156"/>
      <c r="OUI465" s="156"/>
      <c r="OUJ465" s="156"/>
      <c r="OUK465" s="156"/>
      <c r="OUL465" s="156"/>
      <c r="OUM465" s="156"/>
      <c r="OUN465" s="156"/>
      <c r="OUO465" s="156"/>
      <c r="OUP465" s="156"/>
      <c r="OUQ465" s="156"/>
      <c r="OUR465" s="156"/>
      <c r="OUS465" s="156"/>
      <c r="OUT465" s="156"/>
      <c r="OUU465" s="156"/>
      <c r="OUV465" s="156"/>
      <c r="OUW465" s="156"/>
      <c r="OUX465" s="156"/>
      <c r="OUY465" s="156"/>
      <c r="OUZ465" s="156"/>
      <c r="OVA465" s="156"/>
      <c r="OVB465" s="156"/>
      <c r="OVC465" s="156"/>
      <c r="OVD465" s="156"/>
      <c r="OVE465" s="156"/>
      <c r="OVF465" s="156"/>
      <c r="OVG465" s="156"/>
      <c r="OVH465" s="156"/>
      <c r="OVI465" s="156"/>
      <c r="OVJ465" s="156"/>
      <c r="OVK465" s="156"/>
      <c r="OVL465" s="156"/>
      <c r="OVM465" s="156"/>
      <c r="OVN465" s="156"/>
      <c r="OVO465" s="156"/>
      <c r="OVP465" s="156"/>
      <c r="OVQ465" s="156"/>
      <c r="OVR465" s="156"/>
      <c r="OVS465" s="156"/>
      <c r="OVT465" s="156"/>
      <c r="OVU465" s="156"/>
      <c r="OVV465" s="156"/>
      <c r="OVW465" s="156"/>
      <c r="OVX465" s="156"/>
      <c r="OVY465" s="156"/>
      <c r="OVZ465" s="156"/>
      <c r="OWA465" s="156"/>
      <c r="OWB465" s="156"/>
      <c r="OWC465" s="156"/>
      <c r="OWD465" s="156"/>
      <c r="OWE465" s="156"/>
      <c r="OWF465" s="156"/>
      <c r="OWG465" s="156"/>
      <c r="OWH465" s="156"/>
      <c r="OWI465" s="156"/>
      <c r="OWJ465" s="156"/>
      <c r="OWK465" s="156"/>
      <c r="OWL465" s="156"/>
      <c r="OWM465" s="156"/>
      <c r="OWN465" s="156"/>
      <c r="OWO465" s="156"/>
      <c r="OWP465" s="156"/>
      <c r="OWQ465" s="156"/>
      <c r="OWR465" s="156"/>
      <c r="OWS465" s="156"/>
      <c r="OWT465" s="156"/>
      <c r="OWU465" s="156"/>
      <c r="OWV465" s="156"/>
      <c r="OWW465" s="156"/>
      <c r="OWX465" s="156"/>
      <c r="OWY465" s="156"/>
      <c r="OWZ465" s="156"/>
      <c r="OXA465" s="156"/>
      <c r="OXB465" s="156"/>
      <c r="OXC465" s="156"/>
      <c r="OXD465" s="156"/>
      <c r="OXE465" s="156"/>
      <c r="OXF465" s="156"/>
      <c r="OXG465" s="156"/>
      <c r="OXH465" s="156"/>
      <c r="OXI465" s="156"/>
      <c r="OXJ465" s="156"/>
      <c r="OXK465" s="156"/>
      <c r="OXL465" s="156"/>
      <c r="OXM465" s="156"/>
      <c r="OXN465" s="156"/>
      <c r="OXO465" s="156"/>
      <c r="OXP465" s="156"/>
      <c r="OXQ465" s="156"/>
      <c r="OXR465" s="156"/>
      <c r="OXS465" s="156"/>
      <c r="OXT465" s="156"/>
      <c r="OXU465" s="156"/>
      <c r="OXV465" s="156"/>
      <c r="OXW465" s="156"/>
      <c r="OXX465" s="156"/>
      <c r="OXY465" s="156"/>
      <c r="OXZ465" s="156"/>
      <c r="OYA465" s="156"/>
      <c r="OYB465" s="156"/>
      <c r="OYC465" s="156"/>
      <c r="OYD465" s="156"/>
      <c r="OYE465" s="156"/>
      <c r="OYF465" s="156"/>
      <c r="OYG465" s="156"/>
      <c r="OYH465" s="156"/>
      <c r="OYI465" s="156"/>
      <c r="OYJ465" s="156"/>
      <c r="OYK465" s="156"/>
      <c r="OYL465" s="156"/>
      <c r="OYM465" s="156"/>
      <c r="OYN465" s="156"/>
      <c r="OYO465" s="156"/>
      <c r="OYP465" s="156"/>
      <c r="OYQ465" s="156"/>
      <c r="OYR465" s="156"/>
      <c r="OYS465" s="156"/>
      <c r="OYT465" s="156"/>
      <c r="OYU465" s="156"/>
      <c r="OYV465" s="156"/>
      <c r="OYW465" s="156"/>
      <c r="OYX465" s="156"/>
      <c r="OYY465" s="156"/>
      <c r="OYZ465" s="156"/>
      <c r="OZA465" s="156"/>
      <c r="OZB465" s="156"/>
      <c r="OZC465" s="156"/>
      <c r="OZD465" s="156"/>
      <c r="OZE465" s="156"/>
      <c r="OZF465" s="156"/>
      <c r="OZG465" s="156"/>
      <c r="OZH465" s="156"/>
      <c r="OZI465" s="156"/>
      <c r="OZJ465" s="156"/>
      <c r="OZK465" s="156"/>
      <c r="OZL465" s="156"/>
      <c r="OZM465" s="156"/>
      <c r="OZN465" s="156"/>
      <c r="OZO465" s="156"/>
      <c r="OZP465" s="156"/>
      <c r="OZQ465" s="156"/>
      <c r="OZR465" s="156"/>
      <c r="OZS465" s="156"/>
      <c r="OZT465" s="156"/>
      <c r="OZU465" s="156"/>
      <c r="OZV465" s="156"/>
      <c r="OZW465" s="156"/>
      <c r="OZX465" s="156"/>
      <c r="OZY465" s="156"/>
      <c r="OZZ465" s="156"/>
      <c r="PAA465" s="156"/>
      <c r="PAB465" s="156"/>
      <c r="PAC465" s="156"/>
      <c r="PAD465" s="156"/>
      <c r="PAE465" s="156"/>
      <c r="PAF465" s="156"/>
      <c r="PAG465" s="156"/>
      <c r="PAH465" s="156"/>
      <c r="PAI465" s="156"/>
      <c r="PAJ465" s="156"/>
      <c r="PAK465" s="156"/>
      <c r="PAL465" s="156"/>
      <c r="PAM465" s="156"/>
      <c r="PAN465" s="156"/>
      <c r="PAO465" s="156"/>
      <c r="PAP465" s="156"/>
      <c r="PAQ465" s="156"/>
      <c r="PAR465" s="156"/>
      <c r="PAS465" s="156"/>
      <c r="PAT465" s="156"/>
      <c r="PAU465" s="156"/>
      <c r="PAV465" s="156"/>
      <c r="PAW465" s="156"/>
      <c r="PAX465" s="156"/>
      <c r="PAY465" s="156"/>
      <c r="PAZ465" s="156"/>
      <c r="PBA465" s="156"/>
      <c r="PBB465" s="156"/>
      <c r="PBC465" s="156"/>
      <c r="PBD465" s="156"/>
      <c r="PBE465" s="156"/>
      <c r="PBF465" s="156"/>
      <c r="PBG465" s="156"/>
      <c r="PBH465" s="156"/>
      <c r="PBI465" s="156"/>
      <c r="PBJ465" s="156"/>
      <c r="PBK465" s="156"/>
      <c r="PBL465" s="156"/>
      <c r="PBM465" s="156"/>
      <c r="PBN465" s="156"/>
      <c r="PBO465" s="156"/>
      <c r="PBP465" s="156"/>
      <c r="PBQ465" s="156"/>
      <c r="PBR465" s="156"/>
      <c r="PBS465" s="156"/>
      <c r="PBT465" s="156"/>
      <c r="PBU465" s="156"/>
      <c r="PBV465" s="156"/>
      <c r="PBW465" s="156"/>
      <c r="PBX465" s="156"/>
      <c r="PBY465" s="156"/>
      <c r="PBZ465" s="156"/>
      <c r="PCA465" s="156"/>
      <c r="PCB465" s="156"/>
      <c r="PCC465" s="156"/>
      <c r="PCD465" s="156"/>
      <c r="PCE465" s="156"/>
      <c r="PCF465" s="156"/>
      <c r="PCG465" s="156"/>
      <c r="PCH465" s="156"/>
      <c r="PCI465" s="156"/>
      <c r="PCJ465" s="156"/>
      <c r="PCK465" s="156"/>
      <c r="PCL465" s="156"/>
      <c r="PCM465" s="156"/>
      <c r="PCN465" s="156"/>
      <c r="PCO465" s="156"/>
      <c r="PCP465" s="156"/>
      <c r="PCQ465" s="156"/>
      <c r="PCR465" s="156"/>
      <c r="PCS465" s="156"/>
      <c r="PCT465" s="156"/>
      <c r="PCU465" s="156"/>
      <c r="PCV465" s="156"/>
      <c r="PCW465" s="156"/>
      <c r="PCX465" s="156"/>
      <c r="PCY465" s="156"/>
      <c r="PCZ465" s="156"/>
      <c r="PDA465" s="156"/>
      <c r="PDB465" s="156"/>
      <c r="PDC465" s="156"/>
      <c r="PDD465" s="156"/>
      <c r="PDE465" s="156"/>
      <c r="PDF465" s="156"/>
      <c r="PDG465" s="156"/>
      <c r="PDH465" s="156"/>
      <c r="PDI465" s="156"/>
      <c r="PDJ465" s="156"/>
      <c r="PDK465" s="156"/>
      <c r="PDL465" s="156"/>
      <c r="PDM465" s="156"/>
      <c r="PDN465" s="156"/>
      <c r="PDO465" s="156"/>
      <c r="PDP465" s="156"/>
      <c r="PDQ465" s="156"/>
      <c r="PDR465" s="156"/>
      <c r="PDS465" s="156"/>
      <c r="PDT465" s="156"/>
      <c r="PDU465" s="156"/>
      <c r="PDV465" s="156"/>
      <c r="PDW465" s="156"/>
      <c r="PDX465" s="156"/>
      <c r="PDY465" s="156"/>
      <c r="PDZ465" s="156"/>
      <c r="PEA465" s="156"/>
      <c r="PEB465" s="156"/>
      <c r="PEC465" s="156"/>
      <c r="PED465" s="156"/>
      <c r="PEE465" s="156"/>
      <c r="PEF465" s="156"/>
      <c r="PEG465" s="156"/>
      <c r="PEH465" s="156"/>
      <c r="PEI465" s="156"/>
      <c r="PEJ465" s="156"/>
      <c r="PEK465" s="156"/>
      <c r="PEL465" s="156"/>
      <c r="PEM465" s="156"/>
      <c r="PEN465" s="156"/>
      <c r="PEO465" s="156"/>
      <c r="PEP465" s="156"/>
      <c r="PEQ465" s="156"/>
      <c r="PER465" s="156"/>
      <c r="PES465" s="156"/>
      <c r="PET465" s="156"/>
      <c r="PEU465" s="156"/>
      <c r="PEV465" s="156"/>
      <c r="PEW465" s="156"/>
      <c r="PEX465" s="156"/>
      <c r="PEY465" s="156"/>
      <c r="PEZ465" s="156"/>
      <c r="PFA465" s="156"/>
      <c r="PFB465" s="156"/>
      <c r="PFC465" s="156"/>
      <c r="PFD465" s="156"/>
      <c r="PFE465" s="156"/>
      <c r="PFF465" s="156"/>
      <c r="PFG465" s="156"/>
      <c r="PFH465" s="156"/>
      <c r="PFI465" s="156"/>
      <c r="PFJ465" s="156"/>
      <c r="PFK465" s="156"/>
      <c r="PFL465" s="156"/>
      <c r="PFM465" s="156"/>
      <c r="PFN465" s="156"/>
      <c r="PFO465" s="156"/>
      <c r="PFP465" s="156"/>
      <c r="PFQ465" s="156"/>
      <c r="PFR465" s="156"/>
      <c r="PFS465" s="156"/>
      <c r="PFT465" s="156"/>
      <c r="PFU465" s="156"/>
      <c r="PFV465" s="156"/>
      <c r="PFW465" s="156"/>
      <c r="PFX465" s="156"/>
      <c r="PFY465" s="156"/>
      <c r="PFZ465" s="156"/>
      <c r="PGA465" s="156"/>
      <c r="PGB465" s="156"/>
      <c r="PGC465" s="156"/>
      <c r="PGD465" s="156"/>
      <c r="PGE465" s="156"/>
      <c r="PGF465" s="156"/>
      <c r="PGG465" s="156"/>
      <c r="PGH465" s="156"/>
      <c r="PGI465" s="156"/>
      <c r="PGJ465" s="156"/>
      <c r="PGK465" s="156"/>
      <c r="PGL465" s="156"/>
      <c r="PGM465" s="156"/>
      <c r="PGN465" s="156"/>
      <c r="PGO465" s="156"/>
      <c r="PGP465" s="156"/>
      <c r="PGQ465" s="156"/>
      <c r="PGR465" s="156"/>
      <c r="PGS465" s="156"/>
      <c r="PGT465" s="156"/>
      <c r="PGU465" s="156"/>
      <c r="PGV465" s="156"/>
      <c r="PGW465" s="156"/>
      <c r="PGX465" s="156"/>
      <c r="PGY465" s="156"/>
      <c r="PGZ465" s="156"/>
      <c r="PHA465" s="156"/>
      <c r="PHB465" s="156"/>
      <c r="PHC465" s="156"/>
      <c r="PHD465" s="156"/>
      <c r="PHE465" s="156"/>
      <c r="PHF465" s="156"/>
      <c r="PHG465" s="156"/>
      <c r="PHH465" s="156"/>
      <c r="PHI465" s="156"/>
      <c r="PHJ465" s="156"/>
      <c r="PHK465" s="156"/>
      <c r="PHL465" s="156"/>
      <c r="PHM465" s="156"/>
      <c r="PHN465" s="156"/>
      <c r="PHO465" s="156"/>
      <c r="PHP465" s="156"/>
      <c r="PHQ465" s="156"/>
      <c r="PHR465" s="156"/>
      <c r="PHS465" s="156"/>
      <c r="PHT465" s="156"/>
      <c r="PHU465" s="156"/>
      <c r="PHV465" s="156"/>
      <c r="PHW465" s="156"/>
      <c r="PHX465" s="156"/>
      <c r="PHY465" s="156"/>
      <c r="PHZ465" s="156"/>
      <c r="PIA465" s="156"/>
      <c r="PIB465" s="156"/>
      <c r="PIC465" s="156"/>
      <c r="PID465" s="156"/>
      <c r="PIE465" s="156"/>
      <c r="PIF465" s="156"/>
      <c r="PIG465" s="156"/>
      <c r="PIH465" s="156"/>
      <c r="PII465" s="156"/>
      <c r="PIJ465" s="156"/>
      <c r="PIK465" s="156"/>
      <c r="PIL465" s="156"/>
      <c r="PIM465" s="156"/>
      <c r="PIN465" s="156"/>
      <c r="PIO465" s="156"/>
      <c r="PIP465" s="156"/>
      <c r="PIQ465" s="156"/>
      <c r="PIR465" s="156"/>
      <c r="PIS465" s="156"/>
      <c r="PIT465" s="156"/>
      <c r="PIU465" s="156"/>
      <c r="PIV465" s="156"/>
      <c r="PIW465" s="156"/>
      <c r="PIX465" s="156"/>
      <c r="PIY465" s="156"/>
      <c r="PIZ465" s="156"/>
      <c r="PJA465" s="156"/>
      <c r="PJB465" s="156"/>
      <c r="PJC465" s="156"/>
      <c r="PJD465" s="156"/>
      <c r="PJE465" s="156"/>
      <c r="PJF465" s="156"/>
      <c r="PJG465" s="156"/>
      <c r="PJH465" s="156"/>
      <c r="PJI465" s="156"/>
      <c r="PJJ465" s="156"/>
      <c r="PJK465" s="156"/>
      <c r="PJL465" s="156"/>
      <c r="PJM465" s="156"/>
      <c r="PJN465" s="156"/>
      <c r="PJO465" s="156"/>
      <c r="PJP465" s="156"/>
      <c r="PJQ465" s="156"/>
      <c r="PJR465" s="156"/>
      <c r="PJS465" s="156"/>
      <c r="PJT465" s="156"/>
      <c r="PJU465" s="156"/>
      <c r="PJV465" s="156"/>
      <c r="PJW465" s="156"/>
      <c r="PJX465" s="156"/>
      <c r="PJY465" s="156"/>
      <c r="PJZ465" s="156"/>
      <c r="PKA465" s="156"/>
      <c r="PKB465" s="156"/>
      <c r="PKC465" s="156"/>
      <c r="PKD465" s="156"/>
      <c r="PKE465" s="156"/>
      <c r="PKF465" s="156"/>
      <c r="PKG465" s="156"/>
      <c r="PKH465" s="156"/>
      <c r="PKI465" s="156"/>
      <c r="PKJ465" s="156"/>
      <c r="PKK465" s="156"/>
      <c r="PKL465" s="156"/>
      <c r="PKM465" s="156"/>
      <c r="PKN465" s="156"/>
      <c r="PKO465" s="156"/>
      <c r="PKP465" s="156"/>
      <c r="PKQ465" s="156"/>
      <c r="PKR465" s="156"/>
      <c r="PKS465" s="156"/>
      <c r="PKT465" s="156"/>
      <c r="PKU465" s="156"/>
      <c r="PKV465" s="156"/>
      <c r="PKW465" s="156"/>
      <c r="PKX465" s="156"/>
      <c r="PKY465" s="156"/>
      <c r="PKZ465" s="156"/>
      <c r="PLA465" s="156"/>
      <c r="PLB465" s="156"/>
      <c r="PLC465" s="156"/>
      <c r="PLD465" s="156"/>
      <c r="PLE465" s="156"/>
      <c r="PLF465" s="156"/>
      <c r="PLG465" s="156"/>
      <c r="PLH465" s="156"/>
      <c r="PLI465" s="156"/>
      <c r="PLJ465" s="156"/>
      <c r="PLK465" s="156"/>
      <c r="PLL465" s="156"/>
      <c r="PLM465" s="156"/>
      <c r="PLN465" s="156"/>
      <c r="PLO465" s="156"/>
      <c r="PLP465" s="156"/>
      <c r="PLQ465" s="156"/>
      <c r="PLR465" s="156"/>
      <c r="PLS465" s="156"/>
      <c r="PLT465" s="156"/>
      <c r="PLU465" s="156"/>
      <c r="PLV465" s="156"/>
      <c r="PLW465" s="156"/>
      <c r="PLX465" s="156"/>
      <c r="PLY465" s="156"/>
      <c r="PLZ465" s="156"/>
      <c r="PMA465" s="156"/>
      <c r="PMB465" s="156"/>
      <c r="PMC465" s="156"/>
      <c r="PMD465" s="156"/>
      <c r="PME465" s="156"/>
      <c r="PMF465" s="156"/>
      <c r="PMG465" s="156"/>
      <c r="PMH465" s="156"/>
      <c r="PMI465" s="156"/>
      <c r="PMJ465" s="156"/>
      <c r="PMK465" s="156"/>
      <c r="PML465" s="156"/>
      <c r="PMM465" s="156"/>
      <c r="PMN465" s="156"/>
      <c r="PMO465" s="156"/>
      <c r="PMP465" s="156"/>
      <c r="PMQ465" s="156"/>
      <c r="PMR465" s="156"/>
      <c r="PMS465" s="156"/>
      <c r="PMT465" s="156"/>
      <c r="PMU465" s="156"/>
      <c r="PMV465" s="156"/>
      <c r="PMW465" s="156"/>
      <c r="PMX465" s="156"/>
      <c r="PMY465" s="156"/>
      <c r="PMZ465" s="156"/>
      <c r="PNA465" s="156"/>
      <c r="PNB465" s="156"/>
      <c r="PNC465" s="156"/>
      <c r="PND465" s="156"/>
      <c r="PNE465" s="156"/>
      <c r="PNF465" s="156"/>
      <c r="PNG465" s="156"/>
      <c r="PNH465" s="156"/>
      <c r="PNI465" s="156"/>
      <c r="PNJ465" s="156"/>
      <c r="PNK465" s="156"/>
      <c r="PNL465" s="156"/>
      <c r="PNM465" s="156"/>
      <c r="PNN465" s="156"/>
      <c r="PNO465" s="156"/>
      <c r="PNP465" s="156"/>
      <c r="PNQ465" s="156"/>
      <c r="PNR465" s="156"/>
      <c r="PNS465" s="156"/>
      <c r="PNT465" s="156"/>
      <c r="PNU465" s="156"/>
      <c r="PNV465" s="156"/>
      <c r="PNW465" s="156"/>
      <c r="PNX465" s="156"/>
      <c r="PNY465" s="156"/>
      <c r="PNZ465" s="156"/>
      <c r="POA465" s="156"/>
      <c r="POB465" s="156"/>
      <c r="POC465" s="156"/>
      <c r="POD465" s="156"/>
      <c r="POE465" s="156"/>
      <c r="POF465" s="156"/>
      <c r="POG465" s="156"/>
      <c r="POH465" s="156"/>
      <c r="POI465" s="156"/>
      <c r="POJ465" s="156"/>
      <c r="POK465" s="156"/>
      <c r="POL465" s="156"/>
      <c r="POM465" s="156"/>
      <c r="PON465" s="156"/>
      <c r="POO465" s="156"/>
      <c r="POP465" s="156"/>
      <c r="POQ465" s="156"/>
      <c r="POR465" s="156"/>
      <c r="POS465" s="156"/>
      <c r="POT465" s="156"/>
      <c r="POU465" s="156"/>
      <c r="POV465" s="156"/>
      <c r="POW465" s="156"/>
      <c r="POX465" s="156"/>
      <c r="POY465" s="156"/>
      <c r="POZ465" s="156"/>
      <c r="PPA465" s="156"/>
      <c r="PPB465" s="156"/>
      <c r="PPC465" s="156"/>
      <c r="PPD465" s="156"/>
      <c r="PPE465" s="156"/>
      <c r="PPF465" s="156"/>
      <c r="PPG465" s="156"/>
      <c r="PPH465" s="156"/>
      <c r="PPI465" s="156"/>
      <c r="PPJ465" s="156"/>
      <c r="PPK465" s="156"/>
      <c r="PPL465" s="156"/>
      <c r="PPM465" s="156"/>
      <c r="PPN465" s="156"/>
      <c r="PPO465" s="156"/>
      <c r="PPP465" s="156"/>
      <c r="PPQ465" s="156"/>
      <c r="PPR465" s="156"/>
      <c r="PPS465" s="156"/>
      <c r="PPT465" s="156"/>
      <c r="PPU465" s="156"/>
      <c r="PPV465" s="156"/>
      <c r="PPW465" s="156"/>
      <c r="PPX465" s="156"/>
      <c r="PPY465" s="156"/>
      <c r="PPZ465" s="156"/>
      <c r="PQA465" s="156"/>
      <c r="PQB465" s="156"/>
      <c r="PQC465" s="156"/>
      <c r="PQD465" s="156"/>
      <c r="PQE465" s="156"/>
      <c r="PQF465" s="156"/>
      <c r="PQG465" s="156"/>
      <c r="PQH465" s="156"/>
      <c r="PQI465" s="156"/>
      <c r="PQJ465" s="156"/>
      <c r="PQK465" s="156"/>
      <c r="PQL465" s="156"/>
      <c r="PQM465" s="156"/>
      <c r="PQN465" s="156"/>
      <c r="PQO465" s="156"/>
      <c r="PQP465" s="156"/>
      <c r="PQQ465" s="156"/>
      <c r="PQR465" s="156"/>
      <c r="PQS465" s="156"/>
      <c r="PQT465" s="156"/>
      <c r="PQU465" s="156"/>
      <c r="PQV465" s="156"/>
      <c r="PQW465" s="156"/>
      <c r="PQX465" s="156"/>
      <c r="PQY465" s="156"/>
      <c r="PQZ465" s="156"/>
      <c r="PRA465" s="156"/>
      <c r="PRB465" s="156"/>
      <c r="PRC465" s="156"/>
      <c r="PRD465" s="156"/>
      <c r="PRE465" s="156"/>
      <c r="PRF465" s="156"/>
      <c r="PRG465" s="156"/>
      <c r="PRH465" s="156"/>
      <c r="PRI465" s="156"/>
      <c r="PRJ465" s="156"/>
      <c r="PRK465" s="156"/>
      <c r="PRL465" s="156"/>
      <c r="PRM465" s="156"/>
      <c r="PRN465" s="156"/>
      <c r="PRO465" s="156"/>
      <c r="PRP465" s="156"/>
      <c r="PRQ465" s="156"/>
      <c r="PRR465" s="156"/>
      <c r="PRS465" s="156"/>
      <c r="PRT465" s="156"/>
      <c r="PRU465" s="156"/>
      <c r="PRV465" s="156"/>
      <c r="PRW465" s="156"/>
      <c r="PRX465" s="156"/>
      <c r="PRY465" s="156"/>
      <c r="PRZ465" s="156"/>
      <c r="PSA465" s="156"/>
      <c r="PSB465" s="156"/>
      <c r="PSC465" s="156"/>
      <c r="PSD465" s="156"/>
      <c r="PSE465" s="156"/>
      <c r="PSF465" s="156"/>
      <c r="PSG465" s="156"/>
      <c r="PSH465" s="156"/>
      <c r="PSI465" s="156"/>
      <c r="PSJ465" s="156"/>
      <c r="PSK465" s="156"/>
      <c r="PSL465" s="156"/>
      <c r="PSM465" s="156"/>
      <c r="PSN465" s="156"/>
      <c r="PSO465" s="156"/>
      <c r="PSP465" s="156"/>
      <c r="PSQ465" s="156"/>
      <c r="PSR465" s="156"/>
      <c r="PSS465" s="156"/>
      <c r="PST465" s="156"/>
      <c r="PSU465" s="156"/>
      <c r="PSV465" s="156"/>
      <c r="PSW465" s="156"/>
      <c r="PSX465" s="156"/>
      <c r="PSY465" s="156"/>
      <c r="PSZ465" s="156"/>
      <c r="PTA465" s="156"/>
      <c r="PTB465" s="156"/>
      <c r="PTC465" s="156"/>
      <c r="PTD465" s="156"/>
      <c r="PTE465" s="156"/>
      <c r="PTF465" s="156"/>
      <c r="PTG465" s="156"/>
      <c r="PTH465" s="156"/>
      <c r="PTI465" s="156"/>
      <c r="PTJ465" s="156"/>
      <c r="PTK465" s="156"/>
      <c r="PTL465" s="156"/>
      <c r="PTM465" s="156"/>
      <c r="PTN465" s="156"/>
      <c r="PTO465" s="156"/>
      <c r="PTP465" s="156"/>
      <c r="PTQ465" s="156"/>
      <c r="PTR465" s="156"/>
      <c r="PTS465" s="156"/>
      <c r="PTT465" s="156"/>
      <c r="PTU465" s="156"/>
      <c r="PTV465" s="156"/>
      <c r="PTW465" s="156"/>
      <c r="PTX465" s="156"/>
      <c r="PTY465" s="156"/>
      <c r="PTZ465" s="156"/>
      <c r="PUA465" s="156"/>
      <c r="PUB465" s="156"/>
      <c r="PUC465" s="156"/>
      <c r="PUD465" s="156"/>
      <c r="PUE465" s="156"/>
      <c r="PUF465" s="156"/>
      <c r="PUG465" s="156"/>
      <c r="PUH465" s="156"/>
      <c r="PUI465" s="156"/>
      <c r="PUJ465" s="156"/>
      <c r="PUK465" s="156"/>
      <c r="PUL465" s="156"/>
      <c r="PUM465" s="156"/>
      <c r="PUN465" s="156"/>
      <c r="PUO465" s="156"/>
      <c r="PUP465" s="156"/>
      <c r="PUQ465" s="156"/>
      <c r="PUR465" s="156"/>
      <c r="PUS465" s="156"/>
      <c r="PUT465" s="156"/>
      <c r="PUU465" s="156"/>
      <c r="PUV465" s="156"/>
      <c r="PUW465" s="156"/>
      <c r="PUX465" s="156"/>
      <c r="PUY465" s="156"/>
      <c r="PUZ465" s="156"/>
      <c r="PVA465" s="156"/>
      <c r="PVB465" s="156"/>
      <c r="PVC465" s="156"/>
      <c r="PVD465" s="156"/>
      <c r="PVE465" s="156"/>
      <c r="PVF465" s="156"/>
      <c r="PVG465" s="156"/>
      <c r="PVH465" s="156"/>
      <c r="PVI465" s="156"/>
      <c r="PVJ465" s="156"/>
      <c r="PVK465" s="156"/>
      <c r="PVL465" s="156"/>
      <c r="PVM465" s="156"/>
      <c r="PVN465" s="156"/>
      <c r="PVO465" s="156"/>
      <c r="PVP465" s="156"/>
      <c r="PVQ465" s="156"/>
      <c r="PVR465" s="156"/>
      <c r="PVS465" s="156"/>
      <c r="PVT465" s="156"/>
      <c r="PVU465" s="156"/>
      <c r="PVV465" s="156"/>
      <c r="PVW465" s="156"/>
      <c r="PVX465" s="156"/>
      <c r="PVY465" s="156"/>
      <c r="PVZ465" s="156"/>
      <c r="PWA465" s="156"/>
      <c r="PWB465" s="156"/>
      <c r="PWC465" s="156"/>
      <c r="PWD465" s="156"/>
      <c r="PWE465" s="156"/>
      <c r="PWF465" s="156"/>
      <c r="PWG465" s="156"/>
      <c r="PWH465" s="156"/>
      <c r="PWI465" s="156"/>
      <c r="PWJ465" s="156"/>
      <c r="PWK465" s="156"/>
      <c r="PWL465" s="156"/>
      <c r="PWM465" s="156"/>
      <c r="PWN465" s="156"/>
      <c r="PWO465" s="156"/>
      <c r="PWP465" s="156"/>
      <c r="PWQ465" s="156"/>
      <c r="PWR465" s="156"/>
      <c r="PWS465" s="156"/>
      <c r="PWT465" s="156"/>
      <c r="PWU465" s="156"/>
      <c r="PWV465" s="156"/>
      <c r="PWW465" s="156"/>
      <c r="PWX465" s="156"/>
      <c r="PWY465" s="156"/>
      <c r="PWZ465" s="156"/>
      <c r="PXA465" s="156"/>
      <c r="PXB465" s="156"/>
      <c r="PXC465" s="156"/>
      <c r="PXD465" s="156"/>
      <c r="PXE465" s="156"/>
      <c r="PXF465" s="156"/>
      <c r="PXG465" s="156"/>
      <c r="PXH465" s="156"/>
      <c r="PXI465" s="156"/>
      <c r="PXJ465" s="156"/>
      <c r="PXK465" s="156"/>
      <c r="PXL465" s="156"/>
      <c r="PXM465" s="156"/>
      <c r="PXN465" s="156"/>
      <c r="PXO465" s="156"/>
      <c r="PXP465" s="156"/>
      <c r="PXQ465" s="156"/>
      <c r="PXR465" s="156"/>
      <c r="PXS465" s="156"/>
      <c r="PXT465" s="156"/>
      <c r="PXU465" s="156"/>
      <c r="PXV465" s="156"/>
      <c r="PXW465" s="156"/>
      <c r="PXX465" s="156"/>
      <c r="PXY465" s="156"/>
      <c r="PXZ465" s="156"/>
      <c r="PYA465" s="156"/>
      <c r="PYB465" s="156"/>
      <c r="PYC465" s="156"/>
      <c r="PYD465" s="156"/>
      <c r="PYE465" s="156"/>
      <c r="PYF465" s="156"/>
      <c r="PYG465" s="156"/>
      <c r="PYH465" s="156"/>
      <c r="PYI465" s="156"/>
      <c r="PYJ465" s="156"/>
      <c r="PYK465" s="156"/>
      <c r="PYL465" s="156"/>
      <c r="PYM465" s="156"/>
      <c r="PYN465" s="156"/>
      <c r="PYO465" s="156"/>
      <c r="PYP465" s="156"/>
      <c r="PYQ465" s="156"/>
      <c r="PYR465" s="156"/>
      <c r="PYS465" s="156"/>
      <c r="PYT465" s="156"/>
      <c r="PYU465" s="156"/>
      <c r="PYV465" s="156"/>
      <c r="PYW465" s="156"/>
      <c r="PYX465" s="156"/>
      <c r="PYY465" s="156"/>
      <c r="PYZ465" s="156"/>
      <c r="PZA465" s="156"/>
      <c r="PZB465" s="156"/>
      <c r="PZC465" s="156"/>
      <c r="PZD465" s="156"/>
      <c r="PZE465" s="156"/>
      <c r="PZF465" s="156"/>
      <c r="PZG465" s="156"/>
      <c r="PZH465" s="156"/>
      <c r="PZI465" s="156"/>
      <c r="PZJ465" s="156"/>
      <c r="PZK465" s="156"/>
      <c r="PZL465" s="156"/>
      <c r="PZM465" s="156"/>
      <c r="PZN465" s="156"/>
      <c r="PZO465" s="156"/>
      <c r="PZP465" s="156"/>
      <c r="PZQ465" s="156"/>
      <c r="PZR465" s="156"/>
      <c r="PZS465" s="156"/>
      <c r="PZT465" s="156"/>
      <c r="PZU465" s="156"/>
      <c r="PZV465" s="156"/>
      <c r="PZW465" s="156"/>
      <c r="PZX465" s="156"/>
      <c r="PZY465" s="156"/>
      <c r="PZZ465" s="156"/>
      <c r="QAA465" s="156"/>
      <c r="QAB465" s="156"/>
      <c r="QAC465" s="156"/>
      <c r="QAD465" s="156"/>
      <c r="QAE465" s="156"/>
      <c r="QAF465" s="156"/>
      <c r="QAG465" s="156"/>
      <c r="QAH465" s="156"/>
      <c r="QAI465" s="156"/>
      <c r="QAJ465" s="156"/>
      <c r="QAK465" s="156"/>
      <c r="QAL465" s="156"/>
      <c r="QAM465" s="156"/>
      <c r="QAN465" s="156"/>
      <c r="QAO465" s="156"/>
      <c r="QAP465" s="156"/>
      <c r="QAQ465" s="156"/>
      <c r="QAR465" s="156"/>
      <c r="QAS465" s="156"/>
      <c r="QAT465" s="156"/>
      <c r="QAU465" s="156"/>
      <c r="QAV465" s="156"/>
      <c r="QAW465" s="156"/>
      <c r="QAX465" s="156"/>
      <c r="QAY465" s="156"/>
      <c r="QAZ465" s="156"/>
      <c r="QBA465" s="156"/>
      <c r="QBB465" s="156"/>
      <c r="QBC465" s="156"/>
      <c r="QBD465" s="156"/>
      <c r="QBE465" s="156"/>
      <c r="QBF465" s="156"/>
      <c r="QBG465" s="156"/>
      <c r="QBH465" s="156"/>
      <c r="QBI465" s="156"/>
      <c r="QBJ465" s="156"/>
      <c r="QBK465" s="156"/>
      <c r="QBL465" s="156"/>
      <c r="QBM465" s="156"/>
      <c r="QBN465" s="156"/>
      <c r="QBO465" s="156"/>
      <c r="QBP465" s="156"/>
      <c r="QBQ465" s="156"/>
      <c r="QBR465" s="156"/>
      <c r="QBS465" s="156"/>
      <c r="QBT465" s="156"/>
      <c r="QBU465" s="156"/>
      <c r="QBV465" s="156"/>
      <c r="QBW465" s="156"/>
      <c r="QBX465" s="156"/>
      <c r="QBY465" s="156"/>
      <c r="QBZ465" s="156"/>
      <c r="QCA465" s="156"/>
      <c r="QCB465" s="156"/>
      <c r="QCC465" s="156"/>
      <c r="QCD465" s="156"/>
      <c r="QCE465" s="156"/>
      <c r="QCF465" s="156"/>
      <c r="QCG465" s="156"/>
      <c r="QCH465" s="156"/>
      <c r="QCI465" s="156"/>
      <c r="QCJ465" s="156"/>
      <c r="QCK465" s="156"/>
      <c r="QCL465" s="156"/>
      <c r="QCM465" s="156"/>
      <c r="QCN465" s="156"/>
      <c r="QCO465" s="156"/>
      <c r="QCP465" s="156"/>
      <c r="QCQ465" s="156"/>
      <c r="QCR465" s="156"/>
      <c r="QCS465" s="156"/>
      <c r="QCT465" s="156"/>
      <c r="QCU465" s="156"/>
      <c r="QCV465" s="156"/>
      <c r="QCW465" s="156"/>
      <c r="QCX465" s="156"/>
      <c r="QCY465" s="156"/>
      <c r="QCZ465" s="156"/>
      <c r="QDA465" s="156"/>
      <c r="QDB465" s="156"/>
      <c r="QDC465" s="156"/>
      <c r="QDD465" s="156"/>
      <c r="QDE465" s="156"/>
      <c r="QDF465" s="156"/>
      <c r="QDG465" s="156"/>
      <c r="QDH465" s="156"/>
      <c r="QDI465" s="156"/>
      <c r="QDJ465" s="156"/>
      <c r="QDK465" s="156"/>
      <c r="QDL465" s="156"/>
      <c r="QDM465" s="156"/>
      <c r="QDN465" s="156"/>
      <c r="QDO465" s="156"/>
      <c r="QDP465" s="156"/>
      <c r="QDQ465" s="156"/>
      <c r="QDR465" s="156"/>
      <c r="QDS465" s="156"/>
      <c r="QDT465" s="156"/>
      <c r="QDU465" s="156"/>
      <c r="QDV465" s="156"/>
      <c r="QDW465" s="156"/>
      <c r="QDX465" s="156"/>
      <c r="QDY465" s="156"/>
      <c r="QDZ465" s="156"/>
      <c r="QEA465" s="156"/>
      <c r="QEB465" s="156"/>
      <c r="QEC465" s="156"/>
      <c r="QED465" s="156"/>
      <c r="QEE465" s="156"/>
      <c r="QEF465" s="156"/>
      <c r="QEG465" s="156"/>
      <c r="QEH465" s="156"/>
      <c r="QEI465" s="156"/>
      <c r="QEJ465" s="156"/>
      <c r="QEK465" s="156"/>
      <c r="QEL465" s="156"/>
      <c r="QEM465" s="156"/>
      <c r="QEN465" s="156"/>
      <c r="QEO465" s="156"/>
      <c r="QEP465" s="156"/>
      <c r="QEQ465" s="156"/>
      <c r="QER465" s="156"/>
      <c r="QES465" s="156"/>
      <c r="QET465" s="156"/>
      <c r="QEU465" s="156"/>
      <c r="QEV465" s="156"/>
      <c r="QEW465" s="156"/>
      <c r="QEX465" s="156"/>
      <c r="QEY465" s="156"/>
      <c r="QEZ465" s="156"/>
      <c r="QFA465" s="156"/>
      <c r="QFB465" s="156"/>
      <c r="QFC465" s="156"/>
      <c r="QFD465" s="156"/>
      <c r="QFE465" s="156"/>
      <c r="QFF465" s="156"/>
      <c r="QFG465" s="156"/>
      <c r="QFH465" s="156"/>
      <c r="QFI465" s="156"/>
      <c r="QFJ465" s="156"/>
      <c r="QFK465" s="156"/>
      <c r="QFL465" s="156"/>
      <c r="QFM465" s="156"/>
      <c r="QFN465" s="156"/>
      <c r="QFO465" s="156"/>
      <c r="QFP465" s="156"/>
      <c r="QFQ465" s="156"/>
      <c r="QFR465" s="156"/>
      <c r="QFS465" s="156"/>
      <c r="QFT465" s="156"/>
      <c r="QFU465" s="156"/>
      <c r="QFV465" s="156"/>
      <c r="QFW465" s="156"/>
      <c r="QFX465" s="156"/>
      <c r="QFY465" s="156"/>
      <c r="QFZ465" s="156"/>
      <c r="QGA465" s="156"/>
      <c r="QGB465" s="156"/>
      <c r="QGC465" s="156"/>
      <c r="QGD465" s="156"/>
      <c r="QGE465" s="156"/>
      <c r="QGF465" s="156"/>
      <c r="QGG465" s="156"/>
      <c r="QGH465" s="156"/>
      <c r="QGI465" s="156"/>
      <c r="QGJ465" s="156"/>
      <c r="QGK465" s="156"/>
      <c r="QGL465" s="156"/>
      <c r="QGM465" s="156"/>
      <c r="QGN465" s="156"/>
      <c r="QGO465" s="156"/>
      <c r="QGP465" s="156"/>
      <c r="QGQ465" s="156"/>
      <c r="QGR465" s="156"/>
      <c r="QGS465" s="156"/>
      <c r="QGT465" s="156"/>
      <c r="QGU465" s="156"/>
      <c r="QGV465" s="156"/>
      <c r="QGW465" s="156"/>
      <c r="QGX465" s="156"/>
      <c r="QGY465" s="156"/>
      <c r="QGZ465" s="156"/>
      <c r="QHA465" s="156"/>
      <c r="QHB465" s="156"/>
      <c r="QHC465" s="156"/>
      <c r="QHD465" s="156"/>
      <c r="QHE465" s="156"/>
      <c r="QHF465" s="156"/>
      <c r="QHG465" s="156"/>
      <c r="QHH465" s="156"/>
      <c r="QHI465" s="156"/>
      <c r="QHJ465" s="156"/>
      <c r="QHK465" s="156"/>
      <c r="QHL465" s="156"/>
      <c r="QHM465" s="156"/>
      <c r="QHN465" s="156"/>
      <c r="QHO465" s="156"/>
      <c r="QHP465" s="156"/>
      <c r="QHQ465" s="156"/>
      <c r="QHR465" s="156"/>
      <c r="QHS465" s="156"/>
      <c r="QHT465" s="156"/>
      <c r="QHU465" s="156"/>
      <c r="QHV465" s="156"/>
      <c r="QHW465" s="156"/>
      <c r="QHX465" s="156"/>
      <c r="QHY465" s="156"/>
      <c r="QHZ465" s="156"/>
      <c r="QIA465" s="156"/>
      <c r="QIB465" s="156"/>
      <c r="QIC465" s="156"/>
      <c r="QID465" s="156"/>
      <c r="QIE465" s="156"/>
      <c r="QIF465" s="156"/>
      <c r="QIG465" s="156"/>
      <c r="QIH465" s="156"/>
      <c r="QII465" s="156"/>
      <c r="QIJ465" s="156"/>
      <c r="QIK465" s="156"/>
      <c r="QIL465" s="156"/>
      <c r="QIM465" s="156"/>
      <c r="QIN465" s="156"/>
      <c r="QIO465" s="156"/>
      <c r="QIP465" s="156"/>
      <c r="QIQ465" s="156"/>
      <c r="QIR465" s="156"/>
      <c r="QIS465" s="156"/>
      <c r="QIT465" s="156"/>
      <c r="QIU465" s="156"/>
      <c r="QIV465" s="156"/>
      <c r="QIW465" s="156"/>
      <c r="QIX465" s="156"/>
      <c r="QIY465" s="156"/>
      <c r="QIZ465" s="156"/>
      <c r="QJA465" s="156"/>
      <c r="QJB465" s="156"/>
      <c r="QJC465" s="156"/>
      <c r="QJD465" s="156"/>
      <c r="QJE465" s="156"/>
      <c r="QJF465" s="156"/>
      <c r="QJG465" s="156"/>
      <c r="QJH465" s="156"/>
      <c r="QJI465" s="156"/>
      <c r="QJJ465" s="156"/>
      <c r="QJK465" s="156"/>
      <c r="QJL465" s="156"/>
      <c r="QJM465" s="156"/>
      <c r="QJN465" s="156"/>
      <c r="QJO465" s="156"/>
      <c r="QJP465" s="156"/>
      <c r="QJQ465" s="156"/>
      <c r="QJR465" s="156"/>
      <c r="QJS465" s="156"/>
      <c r="QJT465" s="156"/>
      <c r="QJU465" s="156"/>
      <c r="QJV465" s="156"/>
      <c r="QJW465" s="156"/>
      <c r="QJX465" s="156"/>
      <c r="QJY465" s="156"/>
      <c r="QJZ465" s="156"/>
      <c r="QKA465" s="156"/>
      <c r="QKB465" s="156"/>
      <c r="QKC465" s="156"/>
      <c r="QKD465" s="156"/>
      <c r="QKE465" s="156"/>
      <c r="QKF465" s="156"/>
      <c r="QKG465" s="156"/>
      <c r="QKH465" s="156"/>
      <c r="QKI465" s="156"/>
      <c r="QKJ465" s="156"/>
      <c r="QKK465" s="156"/>
      <c r="QKL465" s="156"/>
      <c r="QKM465" s="156"/>
      <c r="QKN465" s="156"/>
      <c r="QKO465" s="156"/>
      <c r="QKP465" s="156"/>
      <c r="QKQ465" s="156"/>
      <c r="QKR465" s="156"/>
      <c r="QKS465" s="156"/>
      <c r="QKT465" s="156"/>
      <c r="QKU465" s="156"/>
      <c r="QKV465" s="156"/>
      <c r="QKW465" s="156"/>
      <c r="QKX465" s="156"/>
      <c r="QKY465" s="156"/>
      <c r="QKZ465" s="156"/>
      <c r="QLA465" s="156"/>
      <c r="QLB465" s="156"/>
      <c r="QLC465" s="156"/>
      <c r="QLD465" s="156"/>
      <c r="QLE465" s="156"/>
      <c r="QLF465" s="156"/>
      <c r="QLG465" s="156"/>
      <c r="QLH465" s="156"/>
      <c r="QLI465" s="156"/>
      <c r="QLJ465" s="156"/>
      <c r="QLK465" s="156"/>
      <c r="QLL465" s="156"/>
      <c r="QLM465" s="156"/>
      <c r="QLN465" s="156"/>
      <c r="QLO465" s="156"/>
      <c r="QLP465" s="156"/>
      <c r="QLQ465" s="156"/>
      <c r="QLR465" s="156"/>
      <c r="QLS465" s="156"/>
      <c r="QLT465" s="156"/>
      <c r="QLU465" s="156"/>
      <c r="QLV465" s="156"/>
      <c r="QLW465" s="156"/>
      <c r="QLX465" s="156"/>
      <c r="QLY465" s="156"/>
      <c r="QLZ465" s="156"/>
      <c r="QMA465" s="156"/>
      <c r="QMB465" s="156"/>
      <c r="QMC465" s="156"/>
      <c r="QMD465" s="156"/>
      <c r="QME465" s="156"/>
      <c r="QMF465" s="156"/>
      <c r="QMG465" s="156"/>
      <c r="QMH465" s="156"/>
      <c r="QMI465" s="156"/>
      <c r="QMJ465" s="156"/>
      <c r="QMK465" s="156"/>
      <c r="QML465" s="156"/>
      <c r="QMM465" s="156"/>
      <c r="QMN465" s="156"/>
      <c r="QMO465" s="156"/>
      <c r="QMP465" s="156"/>
      <c r="QMQ465" s="156"/>
      <c r="QMR465" s="156"/>
      <c r="QMS465" s="156"/>
      <c r="QMT465" s="156"/>
      <c r="QMU465" s="156"/>
      <c r="QMV465" s="156"/>
      <c r="QMW465" s="156"/>
      <c r="QMX465" s="156"/>
      <c r="QMY465" s="156"/>
      <c r="QMZ465" s="156"/>
      <c r="QNA465" s="156"/>
      <c r="QNB465" s="156"/>
      <c r="QNC465" s="156"/>
      <c r="QND465" s="156"/>
      <c r="QNE465" s="156"/>
      <c r="QNF465" s="156"/>
      <c r="QNG465" s="156"/>
      <c r="QNH465" s="156"/>
      <c r="QNI465" s="156"/>
      <c r="QNJ465" s="156"/>
      <c r="QNK465" s="156"/>
      <c r="QNL465" s="156"/>
      <c r="QNM465" s="156"/>
      <c r="QNN465" s="156"/>
      <c r="QNO465" s="156"/>
      <c r="QNP465" s="156"/>
      <c r="QNQ465" s="156"/>
      <c r="QNR465" s="156"/>
      <c r="QNS465" s="156"/>
      <c r="QNT465" s="156"/>
      <c r="QNU465" s="156"/>
      <c r="QNV465" s="156"/>
      <c r="QNW465" s="156"/>
      <c r="QNX465" s="156"/>
      <c r="QNY465" s="156"/>
      <c r="QNZ465" s="156"/>
      <c r="QOA465" s="156"/>
      <c r="QOB465" s="156"/>
      <c r="QOC465" s="156"/>
      <c r="QOD465" s="156"/>
      <c r="QOE465" s="156"/>
      <c r="QOF465" s="156"/>
      <c r="QOG465" s="156"/>
      <c r="QOH465" s="156"/>
      <c r="QOI465" s="156"/>
      <c r="QOJ465" s="156"/>
      <c r="QOK465" s="156"/>
      <c r="QOL465" s="156"/>
      <c r="QOM465" s="156"/>
      <c r="QON465" s="156"/>
      <c r="QOO465" s="156"/>
      <c r="QOP465" s="156"/>
      <c r="QOQ465" s="156"/>
      <c r="QOR465" s="156"/>
      <c r="QOS465" s="156"/>
      <c r="QOT465" s="156"/>
      <c r="QOU465" s="156"/>
      <c r="QOV465" s="156"/>
      <c r="QOW465" s="156"/>
      <c r="QOX465" s="156"/>
      <c r="QOY465" s="156"/>
      <c r="QOZ465" s="156"/>
      <c r="QPA465" s="156"/>
      <c r="QPB465" s="156"/>
      <c r="QPC465" s="156"/>
      <c r="QPD465" s="156"/>
      <c r="QPE465" s="156"/>
      <c r="QPF465" s="156"/>
      <c r="QPG465" s="156"/>
      <c r="QPH465" s="156"/>
      <c r="QPI465" s="156"/>
      <c r="QPJ465" s="156"/>
      <c r="QPK465" s="156"/>
      <c r="QPL465" s="156"/>
      <c r="QPM465" s="156"/>
      <c r="QPN465" s="156"/>
      <c r="QPO465" s="156"/>
      <c r="QPP465" s="156"/>
      <c r="QPQ465" s="156"/>
      <c r="QPR465" s="156"/>
      <c r="QPS465" s="156"/>
      <c r="QPT465" s="156"/>
      <c r="QPU465" s="156"/>
      <c r="QPV465" s="156"/>
      <c r="QPW465" s="156"/>
      <c r="QPX465" s="156"/>
      <c r="QPY465" s="156"/>
      <c r="QPZ465" s="156"/>
      <c r="QQA465" s="156"/>
      <c r="QQB465" s="156"/>
      <c r="QQC465" s="156"/>
      <c r="QQD465" s="156"/>
      <c r="QQE465" s="156"/>
      <c r="QQF465" s="156"/>
      <c r="QQG465" s="156"/>
      <c r="QQH465" s="156"/>
      <c r="QQI465" s="156"/>
      <c r="QQJ465" s="156"/>
      <c r="QQK465" s="156"/>
      <c r="QQL465" s="156"/>
      <c r="QQM465" s="156"/>
      <c r="QQN465" s="156"/>
      <c r="QQO465" s="156"/>
      <c r="QQP465" s="156"/>
      <c r="QQQ465" s="156"/>
      <c r="QQR465" s="156"/>
      <c r="QQS465" s="156"/>
      <c r="QQT465" s="156"/>
      <c r="QQU465" s="156"/>
      <c r="QQV465" s="156"/>
      <c r="QQW465" s="156"/>
      <c r="QQX465" s="156"/>
      <c r="QQY465" s="156"/>
      <c r="QQZ465" s="156"/>
      <c r="QRA465" s="156"/>
      <c r="QRB465" s="156"/>
      <c r="QRC465" s="156"/>
      <c r="QRD465" s="156"/>
      <c r="QRE465" s="156"/>
      <c r="QRF465" s="156"/>
      <c r="QRG465" s="156"/>
      <c r="QRH465" s="156"/>
      <c r="QRI465" s="156"/>
      <c r="QRJ465" s="156"/>
      <c r="QRK465" s="156"/>
      <c r="QRL465" s="156"/>
      <c r="QRM465" s="156"/>
      <c r="QRN465" s="156"/>
      <c r="QRO465" s="156"/>
      <c r="QRP465" s="156"/>
      <c r="QRQ465" s="156"/>
      <c r="QRR465" s="156"/>
      <c r="QRS465" s="156"/>
      <c r="QRT465" s="156"/>
      <c r="QRU465" s="156"/>
      <c r="QRV465" s="156"/>
      <c r="QRW465" s="156"/>
      <c r="QRX465" s="156"/>
      <c r="QRY465" s="156"/>
      <c r="QRZ465" s="156"/>
      <c r="QSA465" s="156"/>
      <c r="QSB465" s="156"/>
      <c r="QSC465" s="156"/>
      <c r="QSD465" s="156"/>
      <c r="QSE465" s="156"/>
      <c r="QSF465" s="156"/>
      <c r="QSG465" s="156"/>
      <c r="QSH465" s="156"/>
      <c r="QSI465" s="156"/>
      <c r="QSJ465" s="156"/>
      <c r="QSK465" s="156"/>
      <c r="QSL465" s="156"/>
      <c r="QSM465" s="156"/>
      <c r="QSN465" s="156"/>
      <c r="QSO465" s="156"/>
      <c r="QSP465" s="156"/>
      <c r="QSQ465" s="156"/>
      <c r="QSR465" s="156"/>
      <c r="QSS465" s="156"/>
      <c r="QST465" s="156"/>
      <c r="QSU465" s="156"/>
      <c r="QSV465" s="156"/>
      <c r="QSW465" s="156"/>
      <c r="QSX465" s="156"/>
      <c r="QSY465" s="156"/>
      <c r="QSZ465" s="156"/>
      <c r="QTA465" s="156"/>
      <c r="QTB465" s="156"/>
      <c r="QTC465" s="156"/>
      <c r="QTD465" s="156"/>
      <c r="QTE465" s="156"/>
      <c r="QTF465" s="156"/>
      <c r="QTG465" s="156"/>
      <c r="QTH465" s="156"/>
      <c r="QTI465" s="156"/>
      <c r="QTJ465" s="156"/>
      <c r="QTK465" s="156"/>
      <c r="QTL465" s="156"/>
      <c r="QTM465" s="156"/>
      <c r="QTN465" s="156"/>
      <c r="QTO465" s="156"/>
      <c r="QTP465" s="156"/>
      <c r="QTQ465" s="156"/>
      <c r="QTR465" s="156"/>
      <c r="QTS465" s="156"/>
      <c r="QTT465" s="156"/>
      <c r="QTU465" s="156"/>
      <c r="QTV465" s="156"/>
      <c r="QTW465" s="156"/>
      <c r="QTX465" s="156"/>
      <c r="QTY465" s="156"/>
      <c r="QTZ465" s="156"/>
      <c r="QUA465" s="156"/>
      <c r="QUB465" s="156"/>
      <c r="QUC465" s="156"/>
      <c r="QUD465" s="156"/>
      <c r="QUE465" s="156"/>
      <c r="QUF465" s="156"/>
      <c r="QUG465" s="156"/>
      <c r="QUH465" s="156"/>
      <c r="QUI465" s="156"/>
      <c r="QUJ465" s="156"/>
      <c r="QUK465" s="156"/>
      <c r="QUL465" s="156"/>
      <c r="QUM465" s="156"/>
      <c r="QUN465" s="156"/>
      <c r="QUO465" s="156"/>
      <c r="QUP465" s="156"/>
      <c r="QUQ465" s="156"/>
      <c r="QUR465" s="156"/>
      <c r="QUS465" s="156"/>
      <c r="QUT465" s="156"/>
      <c r="QUU465" s="156"/>
      <c r="QUV465" s="156"/>
      <c r="QUW465" s="156"/>
      <c r="QUX465" s="156"/>
      <c r="QUY465" s="156"/>
      <c r="QUZ465" s="156"/>
      <c r="QVA465" s="156"/>
      <c r="QVB465" s="156"/>
      <c r="QVC465" s="156"/>
      <c r="QVD465" s="156"/>
      <c r="QVE465" s="156"/>
      <c r="QVF465" s="156"/>
      <c r="QVG465" s="156"/>
      <c r="QVH465" s="156"/>
      <c r="QVI465" s="156"/>
      <c r="QVJ465" s="156"/>
      <c r="QVK465" s="156"/>
      <c r="QVL465" s="156"/>
      <c r="QVM465" s="156"/>
      <c r="QVN465" s="156"/>
      <c r="QVO465" s="156"/>
      <c r="QVP465" s="156"/>
      <c r="QVQ465" s="156"/>
      <c r="QVR465" s="156"/>
      <c r="QVS465" s="156"/>
      <c r="QVT465" s="156"/>
      <c r="QVU465" s="156"/>
      <c r="QVV465" s="156"/>
      <c r="QVW465" s="156"/>
      <c r="QVX465" s="156"/>
      <c r="QVY465" s="156"/>
      <c r="QVZ465" s="156"/>
      <c r="QWA465" s="156"/>
      <c r="QWB465" s="156"/>
      <c r="QWC465" s="156"/>
      <c r="QWD465" s="156"/>
      <c r="QWE465" s="156"/>
      <c r="QWF465" s="156"/>
      <c r="QWG465" s="156"/>
      <c r="QWH465" s="156"/>
      <c r="QWI465" s="156"/>
      <c r="QWJ465" s="156"/>
      <c r="QWK465" s="156"/>
      <c r="QWL465" s="156"/>
      <c r="QWM465" s="156"/>
      <c r="QWN465" s="156"/>
      <c r="QWO465" s="156"/>
      <c r="QWP465" s="156"/>
      <c r="QWQ465" s="156"/>
      <c r="QWR465" s="156"/>
      <c r="QWS465" s="156"/>
      <c r="QWT465" s="156"/>
      <c r="QWU465" s="156"/>
      <c r="QWV465" s="156"/>
      <c r="QWW465" s="156"/>
      <c r="QWX465" s="156"/>
      <c r="QWY465" s="156"/>
      <c r="QWZ465" s="156"/>
      <c r="QXA465" s="156"/>
      <c r="QXB465" s="156"/>
      <c r="QXC465" s="156"/>
      <c r="QXD465" s="156"/>
      <c r="QXE465" s="156"/>
      <c r="QXF465" s="156"/>
      <c r="QXG465" s="156"/>
      <c r="QXH465" s="156"/>
      <c r="QXI465" s="156"/>
      <c r="QXJ465" s="156"/>
      <c r="QXK465" s="156"/>
      <c r="QXL465" s="156"/>
      <c r="QXM465" s="156"/>
      <c r="QXN465" s="156"/>
      <c r="QXO465" s="156"/>
      <c r="QXP465" s="156"/>
      <c r="QXQ465" s="156"/>
      <c r="QXR465" s="156"/>
      <c r="QXS465" s="156"/>
      <c r="QXT465" s="156"/>
      <c r="QXU465" s="156"/>
      <c r="QXV465" s="156"/>
      <c r="QXW465" s="156"/>
      <c r="QXX465" s="156"/>
      <c r="QXY465" s="156"/>
      <c r="QXZ465" s="156"/>
      <c r="QYA465" s="156"/>
      <c r="QYB465" s="156"/>
      <c r="QYC465" s="156"/>
      <c r="QYD465" s="156"/>
      <c r="QYE465" s="156"/>
      <c r="QYF465" s="156"/>
      <c r="QYG465" s="156"/>
      <c r="QYH465" s="156"/>
      <c r="QYI465" s="156"/>
      <c r="QYJ465" s="156"/>
      <c r="QYK465" s="156"/>
      <c r="QYL465" s="156"/>
      <c r="QYM465" s="156"/>
      <c r="QYN465" s="156"/>
      <c r="QYO465" s="156"/>
      <c r="QYP465" s="156"/>
      <c r="QYQ465" s="156"/>
      <c r="QYR465" s="156"/>
      <c r="QYS465" s="156"/>
      <c r="QYT465" s="156"/>
      <c r="QYU465" s="156"/>
      <c r="QYV465" s="156"/>
      <c r="QYW465" s="156"/>
      <c r="QYX465" s="156"/>
      <c r="QYY465" s="156"/>
      <c r="QYZ465" s="156"/>
      <c r="QZA465" s="156"/>
      <c r="QZB465" s="156"/>
      <c r="QZC465" s="156"/>
      <c r="QZD465" s="156"/>
      <c r="QZE465" s="156"/>
      <c r="QZF465" s="156"/>
      <c r="QZG465" s="156"/>
      <c r="QZH465" s="156"/>
      <c r="QZI465" s="156"/>
      <c r="QZJ465" s="156"/>
      <c r="QZK465" s="156"/>
      <c r="QZL465" s="156"/>
      <c r="QZM465" s="156"/>
      <c r="QZN465" s="156"/>
      <c r="QZO465" s="156"/>
      <c r="QZP465" s="156"/>
      <c r="QZQ465" s="156"/>
      <c r="QZR465" s="156"/>
      <c r="QZS465" s="156"/>
      <c r="QZT465" s="156"/>
      <c r="QZU465" s="156"/>
      <c r="QZV465" s="156"/>
      <c r="QZW465" s="156"/>
      <c r="QZX465" s="156"/>
      <c r="QZY465" s="156"/>
      <c r="QZZ465" s="156"/>
      <c r="RAA465" s="156"/>
      <c r="RAB465" s="156"/>
      <c r="RAC465" s="156"/>
      <c r="RAD465" s="156"/>
      <c r="RAE465" s="156"/>
      <c r="RAF465" s="156"/>
      <c r="RAG465" s="156"/>
      <c r="RAH465" s="156"/>
      <c r="RAI465" s="156"/>
      <c r="RAJ465" s="156"/>
      <c r="RAK465" s="156"/>
      <c r="RAL465" s="156"/>
      <c r="RAM465" s="156"/>
      <c r="RAN465" s="156"/>
      <c r="RAO465" s="156"/>
      <c r="RAP465" s="156"/>
      <c r="RAQ465" s="156"/>
      <c r="RAR465" s="156"/>
      <c r="RAS465" s="156"/>
      <c r="RAT465" s="156"/>
      <c r="RAU465" s="156"/>
      <c r="RAV465" s="156"/>
      <c r="RAW465" s="156"/>
      <c r="RAX465" s="156"/>
      <c r="RAY465" s="156"/>
      <c r="RAZ465" s="156"/>
      <c r="RBA465" s="156"/>
      <c r="RBB465" s="156"/>
      <c r="RBC465" s="156"/>
      <c r="RBD465" s="156"/>
      <c r="RBE465" s="156"/>
      <c r="RBF465" s="156"/>
      <c r="RBG465" s="156"/>
      <c r="RBH465" s="156"/>
      <c r="RBI465" s="156"/>
      <c r="RBJ465" s="156"/>
      <c r="RBK465" s="156"/>
      <c r="RBL465" s="156"/>
      <c r="RBM465" s="156"/>
      <c r="RBN465" s="156"/>
      <c r="RBO465" s="156"/>
      <c r="RBP465" s="156"/>
      <c r="RBQ465" s="156"/>
      <c r="RBR465" s="156"/>
      <c r="RBS465" s="156"/>
      <c r="RBT465" s="156"/>
      <c r="RBU465" s="156"/>
      <c r="RBV465" s="156"/>
      <c r="RBW465" s="156"/>
      <c r="RBX465" s="156"/>
      <c r="RBY465" s="156"/>
      <c r="RBZ465" s="156"/>
      <c r="RCA465" s="156"/>
      <c r="RCB465" s="156"/>
      <c r="RCC465" s="156"/>
      <c r="RCD465" s="156"/>
      <c r="RCE465" s="156"/>
      <c r="RCF465" s="156"/>
      <c r="RCG465" s="156"/>
      <c r="RCH465" s="156"/>
      <c r="RCI465" s="156"/>
      <c r="RCJ465" s="156"/>
      <c r="RCK465" s="156"/>
      <c r="RCL465" s="156"/>
      <c r="RCM465" s="156"/>
      <c r="RCN465" s="156"/>
      <c r="RCO465" s="156"/>
      <c r="RCP465" s="156"/>
      <c r="RCQ465" s="156"/>
      <c r="RCR465" s="156"/>
      <c r="RCS465" s="156"/>
      <c r="RCT465" s="156"/>
      <c r="RCU465" s="156"/>
      <c r="RCV465" s="156"/>
      <c r="RCW465" s="156"/>
      <c r="RCX465" s="156"/>
      <c r="RCY465" s="156"/>
      <c r="RCZ465" s="156"/>
      <c r="RDA465" s="156"/>
      <c r="RDB465" s="156"/>
      <c r="RDC465" s="156"/>
      <c r="RDD465" s="156"/>
      <c r="RDE465" s="156"/>
      <c r="RDF465" s="156"/>
      <c r="RDG465" s="156"/>
      <c r="RDH465" s="156"/>
      <c r="RDI465" s="156"/>
      <c r="RDJ465" s="156"/>
      <c r="RDK465" s="156"/>
      <c r="RDL465" s="156"/>
      <c r="RDM465" s="156"/>
      <c r="RDN465" s="156"/>
      <c r="RDO465" s="156"/>
      <c r="RDP465" s="156"/>
      <c r="RDQ465" s="156"/>
      <c r="RDR465" s="156"/>
      <c r="RDS465" s="156"/>
      <c r="RDT465" s="156"/>
      <c r="RDU465" s="156"/>
      <c r="RDV465" s="156"/>
      <c r="RDW465" s="156"/>
      <c r="RDX465" s="156"/>
      <c r="RDY465" s="156"/>
      <c r="RDZ465" s="156"/>
      <c r="REA465" s="156"/>
      <c r="REB465" s="156"/>
      <c r="REC465" s="156"/>
      <c r="RED465" s="156"/>
      <c r="REE465" s="156"/>
      <c r="REF465" s="156"/>
      <c r="REG465" s="156"/>
      <c r="REH465" s="156"/>
      <c r="REI465" s="156"/>
      <c r="REJ465" s="156"/>
      <c r="REK465" s="156"/>
      <c r="REL465" s="156"/>
      <c r="REM465" s="156"/>
      <c r="REN465" s="156"/>
      <c r="REO465" s="156"/>
      <c r="REP465" s="156"/>
      <c r="REQ465" s="156"/>
      <c r="RER465" s="156"/>
      <c r="RES465" s="156"/>
      <c r="RET465" s="156"/>
      <c r="REU465" s="156"/>
      <c r="REV465" s="156"/>
      <c r="REW465" s="156"/>
      <c r="REX465" s="156"/>
      <c r="REY465" s="156"/>
      <c r="REZ465" s="156"/>
      <c r="RFA465" s="156"/>
      <c r="RFB465" s="156"/>
      <c r="RFC465" s="156"/>
      <c r="RFD465" s="156"/>
      <c r="RFE465" s="156"/>
      <c r="RFF465" s="156"/>
      <c r="RFG465" s="156"/>
      <c r="RFH465" s="156"/>
      <c r="RFI465" s="156"/>
      <c r="RFJ465" s="156"/>
      <c r="RFK465" s="156"/>
      <c r="RFL465" s="156"/>
      <c r="RFM465" s="156"/>
      <c r="RFN465" s="156"/>
      <c r="RFO465" s="156"/>
      <c r="RFP465" s="156"/>
      <c r="RFQ465" s="156"/>
      <c r="RFR465" s="156"/>
      <c r="RFS465" s="156"/>
      <c r="RFT465" s="156"/>
      <c r="RFU465" s="156"/>
      <c r="RFV465" s="156"/>
      <c r="RFW465" s="156"/>
      <c r="RFX465" s="156"/>
      <c r="RFY465" s="156"/>
      <c r="RFZ465" s="156"/>
      <c r="RGA465" s="156"/>
      <c r="RGB465" s="156"/>
      <c r="RGC465" s="156"/>
      <c r="RGD465" s="156"/>
      <c r="RGE465" s="156"/>
      <c r="RGF465" s="156"/>
      <c r="RGG465" s="156"/>
      <c r="RGH465" s="156"/>
      <c r="RGI465" s="156"/>
      <c r="RGJ465" s="156"/>
      <c r="RGK465" s="156"/>
      <c r="RGL465" s="156"/>
      <c r="RGM465" s="156"/>
      <c r="RGN465" s="156"/>
      <c r="RGO465" s="156"/>
      <c r="RGP465" s="156"/>
      <c r="RGQ465" s="156"/>
      <c r="RGR465" s="156"/>
      <c r="RGS465" s="156"/>
      <c r="RGT465" s="156"/>
      <c r="RGU465" s="156"/>
      <c r="RGV465" s="156"/>
      <c r="RGW465" s="156"/>
      <c r="RGX465" s="156"/>
      <c r="RGY465" s="156"/>
      <c r="RGZ465" s="156"/>
      <c r="RHA465" s="156"/>
      <c r="RHB465" s="156"/>
      <c r="RHC465" s="156"/>
      <c r="RHD465" s="156"/>
      <c r="RHE465" s="156"/>
      <c r="RHF465" s="156"/>
      <c r="RHG465" s="156"/>
      <c r="RHH465" s="156"/>
      <c r="RHI465" s="156"/>
      <c r="RHJ465" s="156"/>
      <c r="RHK465" s="156"/>
      <c r="RHL465" s="156"/>
      <c r="RHM465" s="156"/>
      <c r="RHN465" s="156"/>
      <c r="RHO465" s="156"/>
      <c r="RHP465" s="156"/>
      <c r="RHQ465" s="156"/>
      <c r="RHR465" s="156"/>
      <c r="RHS465" s="156"/>
      <c r="RHT465" s="156"/>
      <c r="RHU465" s="156"/>
      <c r="RHV465" s="156"/>
      <c r="RHW465" s="156"/>
      <c r="RHX465" s="156"/>
      <c r="RHY465" s="156"/>
      <c r="RHZ465" s="156"/>
      <c r="RIA465" s="156"/>
      <c r="RIB465" s="156"/>
      <c r="RIC465" s="156"/>
      <c r="RID465" s="156"/>
      <c r="RIE465" s="156"/>
      <c r="RIF465" s="156"/>
      <c r="RIG465" s="156"/>
      <c r="RIH465" s="156"/>
      <c r="RII465" s="156"/>
      <c r="RIJ465" s="156"/>
      <c r="RIK465" s="156"/>
      <c r="RIL465" s="156"/>
      <c r="RIM465" s="156"/>
      <c r="RIN465" s="156"/>
      <c r="RIO465" s="156"/>
      <c r="RIP465" s="156"/>
      <c r="RIQ465" s="156"/>
      <c r="RIR465" s="156"/>
      <c r="RIS465" s="156"/>
      <c r="RIT465" s="156"/>
      <c r="RIU465" s="156"/>
      <c r="RIV465" s="156"/>
      <c r="RIW465" s="156"/>
      <c r="RIX465" s="156"/>
      <c r="RIY465" s="156"/>
      <c r="RIZ465" s="156"/>
      <c r="RJA465" s="156"/>
      <c r="RJB465" s="156"/>
      <c r="RJC465" s="156"/>
      <c r="RJD465" s="156"/>
      <c r="RJE465" s="156"/>
      <c r="RJF465" s="156"/>
      <c r="RJG465" s="156"/>
      <c r="RJH465" s="156"/>
      <c r="RJI465" s="156"/>
      <c r="RJJ465" s="156"/>
      <c r="RJK465" s="156"/>
      <c r="RJL465" s="156"/>
      <c r="RJM465" s="156"/>
      <c r="RJN465" s="156"/>
      <c r="RJO465" s="156"/>
      <c r="RJP465" s="156"/>
      <c r="RJQ465" s="156"/>
      <c r="RJR465" s="156"/>
      <c r="RJS465" s="156"/>
      <c r="RJT465" s="156"/>
      <c r="RJU465" s="156"/>
      <c r="RJV465" s="156"/>
      <c r="RJW465" s="156"/>
      <c r="RJX465" s="156"/>
      <c r="RJY465" s="156"/>
      <c r="RJZ465" s="156"/>
      <c r="RKA465" s="156"/>
      <c r="RKB465" s="156"/>
      <c r="RKC465" s="156"/>
      <c r="RKD465" s="156"/>
      <c r="RKE465" s="156"/>
      <c r="RKF465" s="156"/>
      <c r="RKG465" s="156"/>
      <c r="RKH465" s="156"/>
      <c r="RKI465" s="156"/>
      <c r="RKJ465" s="156"/>
      <c r="RKK465" s="156"/>
      <c r="RKL465" s="156"/>
      <c r="RKM465" s="156"/>
      <c r="RKN465" s="156"/>
      <c r="RKO465" s="156"/>
      <c r="RKP465" s="156"/>
      <c r="RKQ465" s="156"/>
      <c r="RKR465" s="156"/>
      <c r="RKS465" s="156"/>
      <c r="RKT465" s="156"/>
      <c r="RKU465" s="156"/>
      <c r="RKV465" s="156"/>
      <c r="RKW465" s="156"/>
      <c r="RKX465" s="156"/>
      <c r="RKY465" s="156"/>
      <c r="RKZ465" s="156"/>
      <c r="RLA465" s="156"/>
      <c r="RLB465" s="156"/>
      <c r="RLC465" s="156"/>
      <c r="RLD465" s="156"/>
      <c r="RLE465" s="156"/>
      <c r="RLF465" s="156"/>
      <c r="RLG465" s="156"/>
      <c r="RLH465" s="156"/>
      <c r="RLI465" s="156"/>
      <c r="RLJ465" s="156"/>
      <c r="RLK465" s="156"/>
      <c r="RLL465" s="156"/>
      <c r="RLM465" s="156"/>
      <c r="RLN465" s="156"/>
      <c r="RLO465" s="156"/>
      <c r="RLP465" s="156"/>
      <c r="RLQ465" s="156"/>
      <c r="RLR465" s="156"/>
      <c r="RLS465" s="156"/>
      <c r="RLT465" s="156"/>
      <c r="RLU465" s="156"/>
      <c r="RLV465" s="156"/>
      <c r="RLW465" s="156"/>
      <c r="RLX465" s="156"/>
      <c r="RLY465" s="156"/>
      <c r="RLZ465" s="156"/>
      <c r="RMA465" s="156"/>
      <c r="RMB465" s="156"/>
      <c r="RMC465" s="156"/>
      <c r="RMD465" s="156"/>
      <c r="RME465" s="156"/>
      <c r="RMF465" s="156"/>
      <c r="RMG465" s="156"/>
      <c r="RMH465" s="156"/>
      <c r="RMI465" s="156"/>
      <c r="RMJ465" s="156"/>
      <c r="RMK465" s="156"/>
      <c r="RML465" s="156"/>
      <c r="RMM465" s="156"/>
      <c r="RMN465" s="156"/>
      <c r="RMO465" s="156"/>
      <c r="RMP465" s="156"/>
      <c r="RMQ465" s="156"/>
      <c r="RMR465" s="156"/>
      <c r="RMS465" s="156"/>
      <c r="RMT465" s="156"/>
      <c r="RMU465" s="156"/>
      <c r="RMV465" s="156"/>
      <c r="RMW465" s="156"/>
      <c r="RMX465" s="156"/>
      <c r="RMY465" s="156"/>
      <c r="RMZ465" s="156"/>
      <c r="RNA465" s="156"/>
      <c r="RNB465" s="156"/>
      <c r="RNC465" s="156"/>
      <c r="RND465" s="156"/>
      <c r="RNE465" s="156"/>
      <c r="RNF465" s="156"/>
      <c r="RNG465" s="156"/>
      <c r="RNH465" s="156"/>
      <c r="RNI465" s="156"/>
      <c r="RNJ465" s="156"/>
      <c r="RNK465" s="156"/>
      <c r="RNL465" s="156"/>
      <c r="RNM465" s="156"/>
      <c r="RNN465" s="156"/>
      <c r="RNO465" s="156"/>
      <c r="RNP465" s="156"/>
      <c r="RNQ465" s="156"/>
      <c r="RNR465" s="156"/>
      <c r="RNS465" s="156"/>
      <c r="RNT465" s="156"/>
      <c r="RNU465" s="156"/>
      <c r="RNV465" s="156"/>
      <c r="RNW465" s="156"/>
      <c r="RNX465" s="156"/>
      <c r="RNY465" s="156"/>
      <c r="RNZ465" s="156"/>
      <c r="ROA465" s="156"/>
      <c r="ROB465" s="156"/>
      <c r="ROC465" s="156"/>
      <c r="ROD465" s="156"/>
      <c r="ROE465" s="156"/>
      <c r="ROF465" s="156"/>
      <c r="ROG465" s="156"/>
      <c r="ROH465" s="156"/>
      <c r="ROI465" s="156"/>
      <c r="ROJ465" s="156"/>
      <c r="ROK465" s="156"/>
      <c r="ROL465" s="156"/>
      <c r="ROM465" s="156"/>
      <c r="RON465" s="156"/>
      <c r="ROO465" s="156"/>
      <c r="ROP465" s="156"/>
      <c r="ROQ465" s="156"/>
      <c r="ROR465" s="156"/>
      <c r="ROS465" s="156"/>
      <c r="ROT465" s="156"/>
      <c r="ROU465" s="156"/>
      <c r="ROV465" s="156"/>
      <c r="ROW465" s="156"/>
      <c r="ROX465" s="156"/>
      <c r="ROY465" s="156"/>
      <c r="ROZ465" s="156"/>
      <c r="RPA465" s="156"/>
      <c r="RPB465" s="156"/>
      <c r="RPC465" s="156"/>
      <c r="RPD465" s="156"/>
      <c r="RPE465" s="156"/>
      <c r="RPF465" s="156"/>
      <c r="RPG465" s="156"/>
      <c r="RPH465" s="156"/>
      <c r="RPI465" s="156"/>
      <c r="RPJ465" s="156"/>
      <c r="RPK465" s="156"/>
      <c r="RPL465" s="156"/>
      <c r="RPM465" s="156"/>
      <c r="RPN465" s="156"/>
      <c r="RPO465" s="156"/>
      <c r="RPP465" s="156"/>
      <c r="RPQ465" s="156"/>
      <c r="RPR465" s="156"/>
      <c r="RPS465" s="156"/>
      <c r="RPT465" s="156"/>
      <c r="RPU465" s="156"/>
      <c r="RPV465" s="156"/>
      <c r="RPW465" s="156"/>
      <c r="RPX465" s="156"/>
      <c r="RPY465" s="156"/>
      <c r="RPZ465" s="156"/>
      <c r="RQA465" s="156"/>
      <c r="RQB465" s="156"/>
      <c r="RQC465" s="156"/>
      <c r="RQD465" s="156"/>
      <c r="RQE465" s="156"/>
      <c r="RQF465" s="156"/>
      <c r="RQG465" s="156"/>
      <c r="RQH465" s="156"/>
      <c r="RQI465" s="156"/>
      <c r="RQJ465" s="156"/>
      <c r="RQK465" s="156"/>
      <c r="RQL465" s="156"/>
      <c r="RQM465" s="156"/>
      <c r="RQN465" s="156"/>
      <c r="RQO465" s="156"/>
      <c r="RQP465" s="156"/>
      <c r="RQQ465" s="156"/>
      <c r="RQR465" s="156"/>
      <c r="RQS465" s="156"/>
      <c r="RQT465" s="156"/>
      <c r="RQU465" s="156"/>
      <c r="RQV465" s="156"/>
      <c r="RQW465" s="156"/>
      <c r="RQX465" s="156"/>
      <c r="RQY465" s="156"/>
      <c r="RQZ465" s="156"/>
      <c r="RRA465" s="156"/>
      <c r="RRB465" s="156"/>
      <c r="RRC465" s="156"/>
      <c r="RRD465" s="156"/>
      <c r="RRE465" s="156"/>
      <c r="RRF465" s="156"/>
      <c r="RRG465" s="156"/>
      <c r="RRH465" s="156"/>
      <c r="RRI465" s="156"/>
      <c r="RRJ465" s="156"/>
      <c r="RRK465" s="156"/>
      <c r="RRL465" s="156"/>
      <c r="RRM465" s="156"/>
      <c r="RRN465" s="156"/>
      <c r="RRO465" s="156"/>
      <c r="RRP465" s="156"/>
      <c r="RRQ465" s="156"/>
      <c r="RRR465" s="156"/>
      <c r="RRS465" s="156"/>
      <c r="RRT465" s="156"/>
      <c r="RRU465" s="156"/>
      <c r="RRV465" s="156"/>
      <c r="RRW465" s="156"/>
      <c r="RRX465" s="156"/>
      <c r="RRY465" s="156"/>
      <c r="RRZ465" s="156"/>
      <c r="RSA465" s="156"/>
      <c r="RSB465" s="156"/>
      <c r="RSC465" s="156"/>
      <c r="RSD465" s="156"/>
      <c r="RSE465" s="156"/>
      <c r="RSF465" s="156"/>
      <c r="RSG465" s="156"/>
      <c r="RSH465" s="156"/>
      <c r="RSI465" s="156"/>
      <c r="RSJ465" s="156"/>
      <c r="RSK465" s="156"/>
      <c r="RSL465" s="156"/>
      <c r="RSM465" s="156"/>
      <c r="RSN465" s="156"/>
      <c r="RSO465" s="156"/>
      <c r="RSP465" s="156"/>
      <c r="RSQ465" s="156"/>
      <c r="RSR465" s="156"/>
      <c r="RSS465" s="156"/>
      <c r="RST465" s="156"/>
      <c r="RSU465" s="156"/>
      <c r="RSV465" s="156"/>
      <c r="RSW465" s="156"/>
      <c r="RSX465" s="156"/>
      <c r="RSY465" s="156"/>
      <c r="RSZ465" s="156"/>
      <c r="RTA465" s="156"/>
      <c r="RTB465" s="156"/>
      <c r="RTC465" s="156"/>
      <c r="RTD465" s="156"/>
      <c r="RTE465" s="156"/>
      <c r="RTF465" s="156"/>
      <c r="RTG465" s="156"/>
      <c r="RTH465" s="156"/>
      <c r="RTI465" s="156"/>
      <c r="RTJ465" s="156"/>
      <c r="RTK465" s="156"/>
      <c r="RTL465" s="156"/>
      <c r="RTM465" s="156"/>
      <c r="RTN465" s="156"/>
      <c r="RTO465" s="156"/>
      <c r="RTP465" s="156"/>
      <c r="RTQ465" s="156"/>
      <c r="RTR465" s="156"/>
      <c r="RTS465" s="156"/>
      <c r="RTT465" s="156"/>
      <c r="RTU465" s="156"/>
      <c r="RTV465" s="156"/>
      <c r="RTW465" s="156"/>
      <c r="RTX465" s="156"/>
      <c r="RTY465" s="156"/>
      <c r="RTZ465" s="156"/>
      <c r="RUA465" s="156"/>
      <c r="RUB465" s="156"/>
      <c r="RUC465" s="156"/>
      <c r="RUD465" s="156"/>
      <c r="RUE465" s="156"/>
      <c r="RUF465" s="156"/>
      <c r="RUG465" s="156"/>
      <c r="RUH465" s="156"/>
      <c r="RUI465" s="156"/>
      <c r="RUJ465" s="156"/>
      <c r="RUK465" s="156"/>
      <c r="RUL465" s="156"/>
      <c r="RUM465" s="156"/>
      <c r="RUN465" s="156"/>
      <c r="RUO465" s="156"/>
      <c r="RUP465" s="156"/>
      <c r="RUQ465" s="156"/>
      <c r="RUR465" s="156"/>
      <c r="RUS465" s="156"/>
      <c r="RUT465" s="156"/>
      <c r="RUU465" s="156"/>
      <c r="RUV465" s="156"/>
      <c r="RUW465" s="156"/>
      <c r="RUX465" s="156"/>
      <c r="RUY465" s="156"/>
      <c r="RUZ465" s="156"/>
      <c r="RVA465" s="156"/>
      <c r="RVB465" s="156"/>
      <c r="RVC465" s="156"/>
      <c r="RVD465" s="156"/>
      <c r="RVE465" s="156"/>
      <c r="RVF465" s="156"/>
      <c r="RVG465" s="156"/>
      <c r="RVH465" s="156"/>
      <c r="RVI465" s="156"/>
      <c r="RVJ465" s="156"/>
      <c r="RVK465" s="156"/>
      <c r="RVL465" s="156"/>
      <c r="RVM465" s="156"/>
      <c r="RVN465" s="156"/>
      <c r="RVO465" s="156"/>
      <c r="RVP465" s="156"/>
      <c r="RVQ465" s="156"/>
      <c r="RVR465" s="156"/>
      <c r="RVS465" s="156"/>
      <c r="RVT465" s="156"/>
      <c r="RVU465" s="156"/>
      <c r="RVV465" s="156"/>
      <c r="RVW465" s="156"/>
      <c r="RVX465" s="156"/>
      <c r="RVY465" s="156"/>
      <c r="RVZ465" s="156"/>
      <c r="RWA465" s="156"/>
      <c r="RWB465" s="156"/>
      <c r="RWC465" s="156"/>
      <c r="RWD465" s="156"/>
      <c r="RWE465" s="156"/>
      <c r="RWF465" s="156"/>
      <c r="RWG465" s="156"/>
      <c r="RWH465" s="156"/>
      <c r="RWI465" s="156"/>
      <c r="RWJ465" s="156"/>
      <c r="RWK465" s="156"/>
      <c r="RWL465" s="156"/>
      <c r="RWM465" s="156"/>
      <c r="RWN465" s="156"/>
      <c r="RWO465" s="156"/>
      <c r="RWP465" s="156"/>
      <c r="RWQ465" s="156"/>
      <c r="RWR465" s="156"/>
      <c r="RWS465" s="156"/>
      <c r="RWT465" s="156"/>
      <c r="RWU465" s="156"/>
      <c r="RWV465" s="156"/>
      <c r="RWW465" s="156"/>
      <c r="RWX465" s="156"/>
      <c r="RWY465" s="156"/>
      <c r="RWZ465" s="156"/>
      <c r="RXA465" s="156"/>
      <c r="RXB465" s="156"/>
      <c r="RXC465" s="156"/>
      <c r="RXD465" s="156"/>
      <c r="RXE465" s="156"/>
      <c r="RXF465" s="156"/>
      <c r="RXG465" s="156"/>
      <c r="RXH465" s="156"/>
      <c r="RXI465" s="156"/>
      <c r="RXJ465" s="156"/>
      <c r="RXK465" s="156"/>
      <c r="RXL465" s="156"/>
      <c r="RXM465" s="156"/>
      <c r="RXN465" s="156"/>
      <c r="RXO465" s="156"/>
      <c r="RXP465" s="156"/>
      <c r="RXQ465" s="156"/>
      <c r="RXR465" s="156"/>
      <c r="RXS465" s="156"/>
      <c r="RXT465" s="156"/>
      <c r="RXU465" s="156"/>
      <c r="RXV465" s="156"/>
      <c r="RXW465" s="156"/>
      <c r="RXX465" s="156"/>
      <c r="RXY465" s="156"/>
      <c r="RXZ465" s="156"/>
      <c r="RYA465" s="156"/>
      <c r="RYB465" s="156"/>
      <c r="RYC465" s="156"/>
      <c r="RYD465" s="156"/>
      <c r="RYE465" s="156"/>
      <c r="RYF465" s="156"/>
      <c r="RYG465" s="156"/>
      <c r="RYH465" s="156"/>
      <c r="RYI465" s="156"/>
      <c r="RYJ465" s="156"/>
      <c r="RYK465" s="156"/>
      <c r="RYL465" s="156"/>
      <c r="RYM465" s="156"/>
      <c r="RYN465" s="156"/>
      <c r="RYO465" s="156"/>
      <c r="RYP465" s="156"/>
      <c r="RYQ465" s="156"/>
      <c r="RYR465" s="156"/>
      <c r="RYS465" s="156"/>
      <c r="RYT465" s="156"/>
      <c r="RYU465" s="156"/>
      <c r="RYV465" s="156"/>
      <c r="RYW465" s="156"/>
      <c r="RYX465" s="156"/>
      <c r="RYY465" s="156"/>
      <c r="RYZ465" s="156"/>
      <c r="RZA465" s="156"/>
      <c r="RZB465" s="156"/>
      <c r="RZC465" s="156"/>
      <c r="RZD465" s="156"/>
      <c r="RZE465" s="156"/>
      <c r="RZF465" s="156"/>
      <c r="RZG465" s="156"/>
      <c r="RZH465" s="156"/>
      <c r="RZI465" s="156"/>
      <c r="RZJ465" s="156"/>
      <c r="RZK465" s="156"/>
      <c r="RZL465" s="156"/>
      <c r="RZM465" s="156"/>
      <c r="RZN465" s="156"/>
      <c r="RZO465" s="156"/>
      <c r="RZP465" s="156"/>
      <c r="RZQ465" s="156"/>
      <c r="RZR465" s="156"/>
      <c r="RZS465" s="156"/>
      <c r="RZT465" s="156"/>
      <c r="RZU465" s="156"/>
      <c r="RZV465" s="156"/>
      <c r="RZW465" s="156"/>
      <c r="RZX465" s="156"/>
      <c r="RZY465" s="156"/>
      <c r="RZZ465" s="156"/>
      <c r="SAA465" s="156"/>
      <c r="SAB465" s="156"/>
      <c r="SAC465" s="156"/>
      <c r="SAD465" s="156"/>
      <c r="SAE465" s="156"/>
      <c r="SAF465" s="156"/>
      <c r="SAG465" s="156"/>
      <c r="SAH465" s="156"/>
      <c r="SAI465" s="156"/>
      <c r="SAJ465" s="156"/>
      <c r="SAK465" s="156"/>
      <c r="SAL465" s="156"/>
      <c r="SAM465" s="156"/>
      <c r="SAN465" s="156"/>
      <c r="SAO465" s="156"/>
      <c r="SAP465" s="156"/>
      <c r="SAQ465" s="156"/>
      <c r="SAR465" s="156"/>
      <c r="SAS465" s="156"/>
      <c r="SAT465" s="156"/>
      <c r="SAU465" s="156"/>
      <c r="SAV465" s="156"/>
      <c r="SAW465" s="156"/>
      <c r="SAX465" s="156"/>
      <c r="SAY465" s="156"/>
      <c r="SAZ465" s="156"/>
      <c r="SBA465" s="156"/>
      <c r="SBB465" s="156"/>
      <c r="SBC465" s="156"/>
      <c r="SBD465" s="156"/>
      <c r="SBE465" s="156"/>
      <c r="SBF465" s="156"/>
      <c r="SBG465" s="156"/>
      <c r="SBH465" s="156"/>
      <c r="SBI465" s="156"/>
      <c r="SBJ465" s="156"/>
      <c r="SBK465" s="156"/>
      <c r="SBL465" s="156"/>
      <c r="SBM465" s="156"/>
      <c r="SBN465" s="156"/>
      <c r="SBO465" s="156"/>
      <c r="SBP465" s="156"/>
      <c r="SBQ465" s="156"/>
      <c r="SBR465" s="156"/>
      <c r="SBS465" s="156"/>
      <c r="SBT465" s="156"/>
      <c r="SBU465" s="156"/>
      <c r="SBV465" s="156"/>
      <c r="SBW465" s="156"/>
      <c r="SBX465" s="156"/>
      <c r="SBY465" s="156"/>
      <c r="SBZ465" s="156"/>
      <c r="SCA465" s="156"/>
      <c r="SCB465" s="156"/>
      <c r="SCC465" s="156"/>
      <c r="SCD465" s="156"/>
      <c r="SCE465" s="156"/>
      <c r="SCF465" s="156"/>
      <c r="SCG465" s="156"/>
      <c r="SCH465" s="156"/>
      <c r="SCI465" s="156"/>
      <c r="SCJ465" s="156"/>
      <c r="SCK465" s="156"/>
      <c r="SCL465" s="156"/>
      <c r="SCM465" s="156"/>
      <c r="SCN465" s="156"/>
      <c r="SCO465" s="156"/>
      <c r="SCP465" s="156"/>
      <c r="SCQ465" s="156"/>
      <c r="SCR465" s="156"/>
      <c r="SCS465" s="156"/>
      <c r="SCT465" s="156"/>
      <c r="SCU465" s="156"/>
      <c r="SCV465" s="156"/>
      <c r="SCW465" s="156"/>
      <c r="SCX465" s="156"/>
      <c r="SCY465" s="156"/>
      <c r="SCZ465" s="156"/>
      <c r="SDA465" s="156"/>
      <c r="SDB465" s="156"/>
      <c r="SDC465" s="156"/>
      <c r="SDD465" s="156"/>
      <c r="SDE465" s="156"/>
      <c r="SDF465" s="156"/>
      <c r="SDG465" s="156"/>
      <c r="SDH465" s="156"/>
      <c r="SDI465" s="156"/>
      <c r="SDJ465" s="156"/>
      <c r="SDK465" s="156"/>
      <c r="SDL465" s="156"/>
      <c r="SDM465" s="156"/>
      <c r="SDN465" s="156"/>
      <c r="SDO465" s="156"/>
      <c r="SDP465" s="156"/>
      <c r="SDQ465" s="156"/>
      <c r="SDR465" s="156"/>
      <c r="SDS465" s="156"/>
      <c r="SDT465" s="156"/>
      <c r="SDU465" s="156"/>
      <c r="SDV465" s="156"/>
      <c r="SDW465" s="156"/>
      <c r="SDX465" s="156"/>
      <c r="SDY465" s="156"/>
      <c r="SDZ465" s="156"/>
      <c r="SEA465" s="156"/>
      <c r="SEB465" s="156"/>
      <c r="SEC465" s="156"/>
      <c r="SED465" s="156"/>
      <c r="SEE465" s="156"/>
      <c r="SEF465" s="156"/>
      <c r="SEG465" s="156"/>
      <c r="SEH465" s="156"/>
      <c r="SEI465" s="156"/>
      <c r="SEJ465" s="156"/>
      <c r="SEK465" s="156"/>
      <c r="SEL465" s="156"/>
      <c r="SEM465" s="156"/>
      <c r="SEN465" s="156"/>
      <c r="SEO465" s="156"/>
      <c r="SEP465" s="156"/>
      <c r="SEQ465" s="156"/>
      <c r="SER465" s="156"/>
      <c r="SES465" s="156"/>
      <c r="SET465" s="156"/>
      <c r="SEU465" s="156"/>
      <c r="SEV465" s="156"/>
      <c r="SEW465" s="156"/>
      <c r="SEX465" s="156"/>
      <c r="SEY465" s="156"/>
      <c r="SEZ465" s="156"/>
      <c r="SFA465" s="156"/>
      <c r="SFB465" s="156"/>
      <c r="SFC465" s="156"/>
      <c r="SFD465" s="156"/>
      <c r="SFE465" s="156"/>
      <c r="SFF465" s="156"/>
      <c r="SFG465" s="156"/>
      <c r="SFH465" s="156"/>
      <c r="SFI465" s="156"/>
      <c r="SFJ465" s="156"/>
      <c r="SFK465" s="156"/>
      <c r="SFL465" s="156"/>
      <c r="SFM465" s="156"/>
      <c r="SFN465" s="156"/>
      <c r="SFO465" s="156"/>
      <c r="SFP465" s="156"/>
      <c r="SFQ465" s="156"/>
      <c r="SFR465" s="156"/>
      <c r="SFS465" s="156"/>
      <c r="SFT465" s="156"/>
      <c r="SFU465" s="156"/>
      <c r="SFV465" s="156"/>
      <c r="SFW465" s="156"/>
      <c r="SFX465" s="156"/>
      <c r="SFY465" s="156"/>
      <c r="SFZ465" s="156"/>
      <c r="SGA465" s="156"/>
      <c r="SGB465" s="156"/>
      <c r="SGC465" s="156"/>
      <c r="SGD465" s="156"/>
      <c r="SGE465" s="156"/>
      <c r="SGF465" s="156"/>
      <c r="SGG465" s="156"/>
      <c r="SGH465" s="156"/>
      <c r="SGI465" s="156"/>
      <c r="SGJ465" s="156"/>
      <c r="SGK465" s="156"/>
      <c r="SGL465" s="156"/>
      <c r="SGM465" s="156"/>
      <c r="SGN465" s="156"/>
      <c r="SGO465" s="156"/>
      <c r="SGP465" s="156"/>
      <c r="SGQ465" s="156"/>
      <c r="SGR465" s="156"/>
      <c r="SGS465" s="156"/>
      <c r="SGT465" s="156"/>
      <c r="SGU465" s="156"/>
      <c r="SGV465" s="156"/>
      <c r="SGW465" s="156"/>
      <c r="SGX465" s="156"/>
      <c r="SGY465" s="156"/>
      <c r="SGZ465" s="156"/>
      <c r="SHA465" s="156"/>
      <c r="SHB465" s="156"/>
      <c r="SHC465" s="156"/>
      <c r="SHD465" s="156"/>
      <c r="SHE465" s="156"/>
      <c r="SHF465" s="156"/>
      <c r="SHG465" s="156"/>
      <c r="SHH465" s="156"/>
      <c r="SHI465" s="156"/>
      <c r="SHJ465" s="156"/>
      <c r="SHK465" s="156"/>
      <c r="SHL465" s="156"/>
      <c r="SHM465" s="156"/>
      <c r="SHN465" s="156"/>
      <c r="SHO465" s="156"/>
      <c r="SHP465" s="156"/>
      <c r="SHQ465" s="156"/>
      <c r="SHR465" s="156"/>
      <c r="SHS465" s="156"/>
      <c r="SHT465" s="156"/>
      <c r="SHU465" s="156"/>
      <c r="SHV465" s="156"/>
      <c r="SHW465" s="156"/>
      <c r="SHX465" s="156"/>
      <c r="SHY465" s="156"/>
      <c r="SHZ465" s="156"/>
      <c r="SIA465" s="156"/>
      <c r="SIB465" s="156"/>
      <c r="SIC465" s="156"/>
      <c r="SID465" s="156"/>
      <c r="SIE465" s="156"/>
      <c r="SIF465" s="156"/>
      <c r="SIG465" s="156"/>
      <c r="SIH465" s="156"/>
      <c r="SII465" s="156"/>
      <c r="SIJ465" s="156"/>
      <c r="SIK465" s="156"/>
      <c r="SIL465" s="156"/>
      <c r="SIM465" s="156"/>
      <c r="SIN465" s="156"/>
      <c r="SIO465" s="156"/>
      <c r="SIP465" s="156"/>
      <c r="SIQ465" s="156"/>
      <c r="SIR465" s="156"/>
      <c r="SIS465" s="156"/>
      <c r="SIT465" s="156"/>
      <c r="SIU465" s="156"/>
      <c r="SIV465" s="156"/>
      <c r="SIW465" s="156"/>
      <c r="SIX465" s="156"/>
      <c r="SIY465" s="156"/>
      <c r="SIZ465" s="156"/>
      <c r="SJA465" s="156"/>
      <c r="SJB465" s="156"/>
      <c r="SJC465" s="156"/>
      <c r="SJD465" s="156"/>
      <c r="SJE465" s="156"/>
      <c r="SJF465" s="156"/>
      <c r="SJG465" s="156"/>
      <c r="SJH465" s="156"/>
      <c r="SJI465" s="156"/>
      <c r="SJJ465" s="156"/>
      <c r="SJK465" s="156"/>
      <c r="SJL465" s="156"/>
      <c r="SJM465" s="156"/>
      <c r="SJN465" s="156"/>
      <c r="SJO465" s="156"/>
      <c r="SJP465" s="156"/>
      <c r="SJQ465" s="156"/>
      <c r="SJR465" s="156"/>
      <c r="SJS465" s="156"/>
      <c r="SJT465" s="156"/>
      <c r="SJU465" s="156"/>
      <c r="SJV465" s="156"/>
      <c r="SJW465" s="156"/>
      <c r="SJX465" s="156"/>
      <c r="SJY465" s="156"/>
      <c r="SJZ465" s="156"/>
      <c r="SKA465" s="156"/>
      <c r="SKB465" s="156"/>
      <c r="SKC465" s="156"/>
      <c r="SKD465" s="156"/>
      <c r="SKE465" s="156"/>
      <c r="SKF465" s="156"/>
      <c r="SKG465" s="156"/>
      <c r="SKH465" s="156"/>
      <c r="SKI465" s="156"/>
      <c r="SKJ465" s="156"/>
      <c r="SKK465" s="156"/>
      <c r="SKL465" s="156"/>
      <c r="SKM465" s="156"/>
      <c r="SKN465" s="156"/>
      <c r="SKO465" s="156"/>
      <c r="SKP465" s="156"/>
      <c r="SKQ465" s="156"/>
      <c r="SKR465" s="156"/>
      <c r="SKS465" s="156"/>
      <c r="SKT465" s="156"/>
      <c r="SKU465" s="156"/>
      <c r="SKV465" s="156"/>
      <c r="SKW465" s="156"/>
      <c r="SKX465" s="156"/>
      <c r="SKY465" s="156"/>
      <c r="SKZ465" s="156"/>
      <c r="SLA465" s="156"/>
      <c r="SLB465" s="156"/>
      <c r="SLC465" s="156"/>
      <c r="SLD465" s="156"/>
      <c r="SLE465" s="156"/>
      <c r="SLF465" s="156"/>
      <c r="SLG465" s="156"/>
      <c r="SLH465" s="156"/>
      <c r="SLI465" s="156"/>
      <c r="SLJ465" s="156"/>
      <c r="SLK465" s="156"/>
      <c r="SLL465" s="156"/>
      <c r="SLM465" s="156"/>
      <c r="SLN465" s="156"/>
      <c r="SLO465" s="156"/>
      <c r="SLP465" s="156"/>
      <c r="SLQ465" s="156"/>
      <c r="SLR465" s="156"/>
      <c r="SLS465" s="156"/>
      <c r="SLT465" s="156"/>
      <c r="SLU465" s="156"/>
      <c r="SLV465" s="156"/>
      <c r="SLW465" s="156"/>
      <c r="SLX465" s="156"/>
      <c r="SLY465" s="156"/>
      <c r="SLZ465" s="156"/>
      <c r="SMA465" s="156"/>
      <c r="SMB465" s="156"/>
      <c r="SMC465" s="156"/>
      <c r="SMD465" s="156"/>
      <c r="SME465" s="156"/>
      <c r="SMF465" s="156"/>
      <c r="SMG465" s="156"/>
      <c r="SMH465" s="156"/>
      <c r="SMI465" s="156"/>
      <c r="SMJ465" s="156"/>
      <c r="SMK465" s="156"/>
      <c r="SML465" s="156"/>
      <c r="SMM465" s="156"/>
      <c r="SMN465" s="156"/>
      <c r="SMO465" s="156"/>
      <c r="SMP465" s="156"/>
      <c r="SMQ465" s="156"/>
      <c r="SMR465" s="156"/>
      <c r="SMS465" s="156"/>
      <c r="SMT465" s="156"/>
      <c r="SMU465" s="156"/>
      <c r="SMV465" s="156"/>
      <c r="SMW465" s="156"/>
      <c r="SMX465" s="156"/>
      <c r="SMY465" s="156"/>
      <c r="SMZ465" s="156"/>
      <c r="SNA465" s="156"/>
      <c r="SNB465" s="156"/>
      <c r="SNC465" s="156"/>
      <c r="SND465" s="156"/>
      <c r="SNE465" s="156"/>
      <c r="SNF465" s="156"/>
      <c r="SNG465" s="156"/>
      <c r="SNH465" s="156"/>
      <c r="SNI465" s="156"/>
      <c r="SNJ465" s="156"/>
      <c r="SNK465" s="156"/>
      <c r="SNL465" s="156"/>
      <c r="SNM465" s="156"/>
      <c r="SNN465" s="156"/>
      <c r="SNO465" s="156"/>
      <c r="SNP465" s="156"/>
      <c r="SNQ465" s="156"/>
      <c r="SNR465" s="156"/>
      <c r="SNS465" s="156"/>
      <c r="SNT465" s="156"/>
      <c r="SNU465" s="156"/>
      <c r="SNV465" s="156"/>
      <c r="SNW465" s="156"/>
      <c r="SNX465" s="156"/>
      <c r="SNY465" s="156"/>
      <c r="SNZ465" s="156"/>
      <c r="SOA465" s="156"/>
      <c r="SOB465" s="156"/>
      <c r="SOC465" s="156"/>
      <c r="SOD465" s="156"/>
      <c r="SOE465" s="156"/>
      <c r="SOF465" s="156"/>
      <c r="SOG465" s="156"/>
      <c r="SOH465" s="156"/>
      <c r="SOI465" s="156"/>
      <c r="SOJ465" s="156"/>
      <c r="SOK465" s="156"/>
      <c r="SOL465" s="156"/>
      <c r="SOM465" s="156"/>
      <c r="SON465" s="156"/>
      <c r="SOO465" s="156"/>
      <c r="SOP465" s="156"/>
      <c r="SOQ465" s="156"/>
      <c r="SOR465" s="156"/>
      <c r="SOS465" s="156"/>
      <c r="SOT465" s="156"/>
      <c r="SOU465" s="156"/>
      <c r="SOV465" s="156"/>
      <c r="SOW465" s="156"/>
      <c r="SOX465" s="156"/>
      <c r="SOY465" s="156"/>
      <c r="SOZ465" s="156"/>
      <c r="SPA465" s="156"/>
      <c r="SPB465" s="156"/>
      <c r="SPC465" s="156"/>
      <c r="SPD465" s="156"/>
      <c r="SPE465" s="156"/>
      <c r="SPF465" s="156"/>
      <c r="SPG465" s="156"/>
      <c r="SPH465" s="156"/>
      <c r="SPI465" s="156"/>
      <c r="SPJ465" s="156"/>
      <c r="SPK465" s="156"/>
      <c r="SPL465" s="156"/>
      <c r="SPM465" s="156"/>
      <c r="SPN465" s="156"/>
      <c r="SPO465" s="156"/>
      <c r="SPP465" s="156"/>
      <c r="SPQ465" s="156"/>
      <c r="SPR465" s="156"/>
      <c r="SPS465" s="156"/>
      <c r="SPT465" s="156"/>
      <c r="SPU465" s="156"/>
      <c r="SPV465" s="156"/>
      <c r="SPW465" s="156"/>
      <c r="SPX465" s="156"/>
      <c r="SPY465" s="156"/>
      <c r="SPZ465" s="156"/>
      <c r="SQA465" s="156"/>
      <c r="SQB465" s="156"/>
      <c r="SQC465" s="156"/>
      <c r="SQD465" s="156"/>
      <c r="SQE465" s="156"/>
      <c r="SQF465" s="156"/>
      <c r="SQG465" s="156"/>
      <c r="SQH465" s="156"/>
      <c r="SQI465" s="156"/>
      <c r="SQJ465" s="156"/>
      <c r="SQK465" s="156"/>
      <c r="SQL465" s="156"/>
      <c r="SQM465" s="156"/>
      <c r="SQN465" s="156"/>
      <c r="SQO465" s="156"/>
      <c r="SQP465" s="156"/>
      <c r="SQQ465" s="156"/>
      <c r="SQR465" s="156"/>
      <c r="SQS465" s="156"/>
      <c r="SQT465" s="156"/>
      <c r="SQU465" s="156"/>
      <c r="SQV465" s="156"/>
      <c r="SQW465" s="156"/>
      <c r="SQX465" s="156"/>
      <c r="SQY465" s="156"/>
      <c r="SQZ465" s="156"/>
      <c r="SRA465" s="156"/>
      <c r="SRB465" s="156"/>
      <c r="SRC465" s="156"/>
      <c r="SRD465" s="156"/>
      <c r="SRE465" s="156"/>
      <c r="SRF465" s="156"/>
      <c r="SRG465" s="156"/>
      <c r="SRH465" s="156"/>
      <c r="SRI465" s="156"/>
      <c r="SRJ465" s="156"/>
      <c r="SRK465" s="156"/>
      <c r="SRL465" s="156"/>
      <c r="SRM465" s="156"/>
      <c r="SRN465" s="156"/>
      <c r="SRO465" s="156"/>
      <c r="SRP465" s="156"/>
      <c r="SRQ465" s="156"/>
      <c r="SRR465" s="156"/>
      <c r="SRS465" s="156"/>
      <c r="SRT465" s="156"/>
      <c r="SRU465" s="156"/>
      <c r="SRV465" s="156"/>
      <c r="SRW465" s="156"/>
      <c r="SRX465" s="156"/>
      <c r="SRY465" s="156"/>
      <c r="SRZ465" s="156"/>
      <c r="SSA465" s="156"/>
      <c r="SSB465" s="156"/>
      <c r="SSC465" s="156"/>
      <c r="SSD465" s="156"/>
      <c r="SSE465" s="156"/>
      <c r="SSF465" s="156"/>
      <c r="SSG465" s="156"/>
      <c r="SSH465" s="156"/>
      <c r="SSI465" s="156"/>
      <c r="SSJ465" s="156"/>
      <c r="SSK465" s="156"/>
      <c r="SSL465" s="156"/>
      <c r="SSM465" s="156"/>
      <c r="SSN465" s="156"/>
      <c r="SSO465" s="156"/>
      <c r="SSP465" s="156"/>
      <c r="SSQ465" s="156"/>
      <c r="SSR465" s="156"/>
      <c r="SSS465" s="156"/>
      <c r="SST465" s="156"/>
      <c r="SSU465" s="156"/>
      <c r="SSV465" s="156"/>
      <c r="SSW465" s="156"/>
      <c r="SSX465" s="156"/>
      <c r="SSY465" s="156"/>
      <c r="SSZ465" s="156"/>
      <c r="STA465" s="156"/>
      <c r="STB465" s="156"/>
      <c r="STC465" s="156"/>
      <c r="STD465" s="156"/>
      <c r="STE465" s="156"/>
      <c r="STF465" s="156"/>
      <c r="STG465" s="156"/>
      <c r="STH465" s="156"/>
      <c r="STI465" s="156"/>
      <c r="STJ465" s="156"/>
      <c r="STK465" s="156"/>
      <c r="STL465" s="156"/>
      <c r="STM465" s="156"/>
      <c r="STN465" s="156"/>
      <c r="STO465" s="156"/>
      <c r="STP465" s="156"/>
      <c r="STQ465" s="156"/>
      <c r="STR465" s="156"/>
      <c r="STS465" s="156"/>
      <c r="STT465" s="156"/>
      <c r="STU465" s="156"/>
      <c r="STV465" s="156"/>
      <c r="STW465" s="156"/>
      <c r="STX465" s="156"/>
      <c r="STY465" s="156"/>
      <c r="STZ465" s="156"/>
      <c r="SUA465" s="156"/>
      <c r="SUB465" s="156"/>
      <c r="SUC465" s="156"/>
      <c r="SUD465" s="156"/>
      <c r="SUE465" s="156"/>
      <c r="SUF465" s="156"/>
      <c r="SUG465" s="156"/>
      <c r="SUH465" s="156"/>
      <c r="SUI465" s="156"/>
      <c r="SUJ465" s="156"/>
      <c r="SUK465" s="156"/>
      <c r="SUL465" s="156"/>
      <c r="SUM465" s="156"/>
      <c r="SUN465" s="156"/>
      <c r="SUO465" s="156"/>
      <c r="SUP465" s="156"/>
      <c r="SUQ465" s="156"/>
      <c r="SUR465" s="156"/>
      <c r="SUS465" s="156"/>
      <c r="SUT465" s="156"/>
      <c r="SUU465" s="156"/>
      <c r="SUV465" s="156"/>
      <c r="SUW465" s="156"/>
      <c r="SUX465" s="156"/>
      <c r="SUY465" s="156"/>
      <c r="SUZ465" s="156"/>
      <c r="SVA465" s="156"/>
      <c r="SVB465" s="156"/>
      <c r="SVC465" s="156"/>
      <c r="SVD465" s="156"/>
      <c r="SVE465" s="156"/>
      <c r="SVF465" s="156"/>
      <c r="SVG465" s="156"/>
      <c r="SVH465" s="156"/>
      <c r="SVI465" s="156"/>
      <c r="SVJ465" s="156"/>
      <c r="SVK465" s="156"/>
      <c r="SVL465" s="156"/>
      <c r="SVM465" s="156"/>
      <c r="SVN465" s="156"/>
      <c r="SVO465" s="156"/>
      <c r="SVP465" s="156"/>
      <c r="SVQ465" s="156"/>
      <c r="SVR465" s="156"/>
      <c r="SVS465" s="156"/>
      <c r="SVT465" s="156"/>
      <c r="SVU465" s="156"/>
      <c r="SVV465" s="156"/>
      <c r="SVW465" s="156"/>
      <c r="SVX465" s="156"/>
      <c r="SVY465" s="156"/>
      <c r="SVZ465" s="156"/>
      <c r="SWA465" s="156"/>
      <c r="SWB465" s="156"/>
      <c r="SWC465" s="156"/>
      <c r="SWD465" s="156"/>
      <c r="SWE465" s="156"/>
      <c r="SWF465" s="156"/>
      <c r="SWG465" s="156"/>
      <c r="SWH465" s="156"/>
      <c r="SWI465" s="156"/>
      <c r="SWJ465" s="156"/>
      <c r="SWK465" s="156"/>
      <c r="SWL465" s="156"/>
      <c r="SWM465" s="156"/>
      <c r="SWN465" s="156"/>
      <c r="SWO465" s="156"/>
      <c r="SWP465" s="156"/>
      <c r="SWQ465" s="156"/>
      <c r="SWR465" s="156"/>
      <c r="SWS465" s="156"/>
      <c r="SWT465" s="156"/>
      <c r="SWU465" s="156"/>
      <c r="SWV465" s="156"/>
      <c r="SWW465" s="156"/>
      <c r="SWX465" s="156"/>
      <c r="SWY465" s="156"/>
      <c r="SWZ465" s="156"/>
      <c r="SXA465" s="156"/>
      <c r="SXB465" s="156"/>
      <c r="SXC465" s="156"/>
      <c r="SXD465" s="156"/>
      <c r="SXE465" s="156"/>
      <c r="SXF465" s="156"/>
      <c r="SXG465" s="156"/>
      <c r="SXH465" s="156"/>
      <c r="SXI465" s="156"/>
      <c r="SXJ465" s="156"/>
      <c r="SXK465" s="156"/>
      <c r="SXL465" s="156"/>
      <c r="SXM465" s="156"/>
      <c r="SXN465" s="156"/>
      <c r="SXO465" s="156"/>
      <c r="SXP465" s="156"/>
      <c r="SXQ465" s="156"/>
      <c r="SXR465" s="156"/>
      <c r="SXS465" s="156"/>
      <c r="SXT465" s="156"/>
      <c r="SXU465" s="156"/>
      <c r="SXV465" s="156"/>
      <c r="SXW465" s="156"/>
      <c r="SXX465" s="156"/>
      <c r="SXY465" s="156"/>
      <c r="SXZ465" s="156"/>
      <c r="SYA465" s="156"/>
      <c r="SYB465" s="156"/>
      <c r="SYC465" s="156"/>
      <c r="SYD465" s="156"/>
      <c r="SYE465" s="156"/>
      <c r="SYF465" s="156"/>
      <c r="SYG465" s="156"/>
      <c r="SYH465" s="156"/>
      <c r="SYI465" s="156"/>
      <c r="SYJ465" s="156"/>
      <c r="SYK465" s="156"/>
      <c r="SYL465" s="156"/>
      <c r="SYM465" s="156"/>
      <c r="SYN465" s="156"/>
      <c r="SYO465" s="156"/>
      <c r="SYP465" s="156"/>
      <c r="SYQ465" s="156"/>
      <c r="SYR465" s="156"/>
      <c r="SYS465" s="156"/>
      <c r="SYT465" s="156"/>
      <c r="SYU465" s="156"/>
      <c r="SYV465" s="156"/>
      <c r="SYW465" s="156"/>
      <c r="SYX465" s="156"/>
      <c r="SYY465" s="156"/>
      <c r="SYZ465" s="156"/>
      <c r="SZA465" s="156"/>
      <c r="SZB465" s="156"/>
      <c r="SZC465" s="156"/>
      <c r="SZD465" s="156"/>
      <c r="SZE465" s="156"/>
      <c r="SZF465" s="156"/>
      <c r="SZG465" s="156"/>
      <c r="SZH465" s="156"/>
      <c r="SZI465" s="156"/>
      <c r="SZJ465" s="156"/>
      <c r="SZK465" s="156"/>
      <c r="SZL465" s="156"/>
      <c r="SZM465" s="156"/>
      <c r="SZN465" s="156"/>
      <c r="SZO465" s="156"/>
      <c r="SZP465" s="156"/>
      <c r="SZQ465" s="156"/>
      <c r="SZR465" s="156"/>
      <c r="SZS465" s="156"/>
      <c r="SZT465" s="156"/>
      <c r="SZU465" s="156"/>
      <c r="SZV465" s="156"/>
      <c r="SZW465" s="156"/>
      <c r="SZX465" s="156"/>
      <c r="SZY465" s="156"/>
      <c r="SZZ465" s="156"/>
      <c r="TAA465" s="156"/>
      <c r="TAB465" s="156"/>
      <c r="TAC465" s="156"/>
      <c r="TAD465" s="156"/>
      <c r="TAE465" s="156"/>
      <c r="TAF465" s="156"/>
      <c r="TAG465" s="156"/>
      <c r="TAH465" s="156"/>
      <c r="TAI465" s="156"/>
      <c r="TAJ465" s="156"/>
      <c r="TAK465" s="156"/>
      <c r="TAL465" s="156"/>
      <c r="TAM465" s="156"/>
      <c r="TAN465" s="156"/>
      <c r="TAO465" s="156"/>
      <c r="TAP465" s="156"/>
      <c r="TAQ465" s="156"/>
      <c r="TAR465" s="156"/>
      <c r="TAS465" s="156"/>
      <c r="TAT465" s="156"/>
      <c r="TAU465" s="156"/>
      <c r="TAV465" s="156"/>
      <c r="TAW465" s="156"/>
      <c r="TAX465" s="156"/>
      <c r="TAY465" s="156"/>
      <c r="TAZ465" s="156"/>
      <c r="TBA465" s="156"/>
      <c r="TBB465" s="156"/>
      <c r="TBC465" s="156"/>
      <c r="TBD465" s="156"/>
      <c r="TBE465" s="156"/>
      <c r="TBF465" s="156"/>
      <c r="TBG465" s="156"/>
      <c r="TBH465" s="156"/>
      <c r="TBI465" s="156"/>
      <c r="TBJ465" s="156"/>
      <c r="TBK465" s="156"/>
      <c r="TBL465" s="156"/>
      <c r="TBM465" s="156"/>
      <c r="TBN465" s="156"/>
      <c r="TBO465" s="156"/>
      <c r="TBP465" s="156"/>
      <c r="TBQ465" s="156"/>
      <c r="TBR465" s="156"/>
      <c r="TBS465" s="156"/>
      <c r="TBT465" s="156"/>
      <c r="TBU465" s="156"/>
      <c r="TBV465" s="156"/>
      <c r="TBW465" s="156"/>
      <c r="TBX465" s="156"/>
      <c r="TBY465" s="156"/>
      <c r="TBZ465" s="156"/>
      <c r="TCA465" s="156"/>
      <c r="TCB465" s="156"/>
      <c r="TCC465" s="156"/>
      <c r="TCD465" s="156"/>
      <c r="TCE465" s="156"/>
      <c r="TCF465" s="156"/>
      <c r="TCG465" s="156"/>
      <c r="TCH465" s="156"/>
      <c r="TCI465" s="156"/>
      <c r="TCJ465" s="156"/>
      <c r="TCK465" s="156"/>
      <c r="TCL465" s="156"/>
      <c r="TCM465" s="156"/>
      <c r="TCN465" s="156"/>
      <c r="TCO465" s="156"/>
      <c r="TCP465" s="156"/>
      <c r="TCQ465" s="156"/>
      <c r="TCR465" s="156"/>
      <c r="TCS465" s="156"/>
      <c r="TCT465" s="156"/>
      <c r="TCU465" s="156"/>
      <c r="TCV465" s="156"/>
      <c r="TCW465" s="156"/>
      <c r="TCX465" s="156"/>
      <c r="TCY465" s="156"/>
      <c r="TCZ465" s="156"/>
      <c r="TDA465" s="156"/>
      <c r="TDB465" s="156"/>
      <c r="TDC465" s="156"/>
      <c r="TDD465" s="156"/>
      <c r="TDE465" s="156"/>
      <c r="TDF465" s="156"/>
      <c r="TDG465" s="156"/>
      <c r="TDH465" s="156"/>
      <c r="TDI465" s="156"/>
      <c r="TDJ465" s="156"/>
      <c r="TDK465" s="156"/>
      <c r="TDL465" s="156"/>
      <c r="TDM465" s="156"/>
      <c r="TDN465" s="156"/>
      <c r="TDO465" s="156"/>
      <c r="TDP465" s="156"/>
      <c r="TDQ465" s="156"/>
      <c r="TDR465" s="156"/>
      <c r="TDS465" s="156"/>
      <c r="TDT465" s="156"/>
      <c r="TDU465" s="156"/>
      <c r="TDV465" s="156"/>
      <c r="TDW465" s="156"/>
      <c r="TDX465" s="156"/>
      <c r="TDY465" s="156"/>
      <c r="TDZ465" s="156"/>
      <c r="TEA465" s="156"/>
      <c r="TEB465" s="156"/>
      <c r="TEC465" s="156"/>
      <c r="TED465" s="156"/>
      <c r="TEE465" s="156"/>
      <c r="TEF465" s="156"/>
      <c r="TEG465" s="156"/>
      <c r="TEH465" s="156"/>
      <c r="TEI465" s="156"/>
      <c r="TEJ465" s="156"/>
      <c r="TEK465" s="156"/>
      <c r="TEL465" s="156"/>
      <c r="TEM465" s="156"/>
      <c r="TEN465" s="156"/>
      <c r="TEO465" s="156"/>
      <c r="TEP465" s="156"/>
      <c r="TEQ465" s="156"/>
      <c r="TER465" s="156"/>
      <c r="TES465" s="156"/>
      <c r="TET465" s="156"/>
      <c r="TEU465" s="156"/>
      <c r="TEV465" s="156"/>
      <c r="TEW465" s="156"/>
      <c r="TEX465" s="156"/>
      <c r="TEY465" s="156"/>
      <c r="TEZ465" s="156"/>
      <c r="TFA465" s="156"/>
      <c r="TFB465" s="156"/>
      <c r="TFC465" s="156"/>
      <c r="TFD465" s="156"/>
      <c r="TFE465" s="156"/>
      <c r="TFF465" s="156"/>
      <c r="TFG465" s="156"/>
      <c r="TFH465" s="156"/>
      <c r="TFI465" s="156"/>
      <c r="TFJ465" s="156"/>
      <c r="TFK465" s="156"/>
      <c r="TFL465" s="156"/>
      <c r="TFM465" s="156"/>
      <c r="TFN465" s="156"/>
      <c r="TFO465" s="156"/>
      <c r="TFP465" s="156"/>
      <c r="TFQ465" s="156"/>
      <c r="TFR465" s="156"/>
      <c r="TFS465" s="156"/>
      <c r="TFT465" s="156"/>
      <c r="TFU465" s="156"/>
      <c r="TFV465" s="156"/>
      <c r="TFW465" s="156"/>
      <c r="TFX465" s="156"/>
      <c r="TFY465" s="156"/>
      <c r="TFZ465" s="156"/>
      <c r="TGA465" s="156"/>
      <c r="TGB465" s="156"/>
      <c r="TGC465" s="156"/>
      <c r="TGD465" s="156"/>
      <c r="TGE465" s="156"/>
      <c r="TGF465" s="156"/>
      <c r="TGG465" s="156"/>
      <c r="TGH465" s="156"/>
      <c r="TGI465" s="156"/>
      <c r="TGJ465" s="156"/>
      <c r="TGK465" s="156"/>
      <c r="TGL465" s="156"/>
      <c r="TGM465" s="156"/>
      <c r="TGN465" s="156"/>
      <c r="TGO465" s="156"/>
      <c r="TGP465" s="156"/>
      <c r="TGQ465" s="156"/>
      <c r="TGR465" s="156"/>
      <c r="TGS465" s="156"/>
      <c r="TGT465" s="156"/>
      <c r="TGU465" s="156"/>
      <c r="TGV465" s="156"/>
      <c r="TGW465" s="156"/>
      <c r="TGX465" s="156"/>
      <c r="TGY465" s="156"/>
      <c r="TGZ465" s="156"/>
      <c r="THA465" s="156"/>
      <c r="THB465" s="156"/>
      <c r="THC465" s="156"/>
      <c r="THD465" s="156"/>
      <c r="THE465" s="156"/>
      <c r="THF465" s="156"/>
      <c r="THG465" s="156"/>
      <c r="THH465" s="156"/>
      <c r="THI465" s="156"/>
      <c r="THJ465" s="156"/>
      <c r="THK465" s="156"/>
      <c r="THL465" s="156"/>
      <c r="THM465" s="156"/>
      <c r="THN465" s="156"/>
      <c r="THO465" s="156"/>
      <c r="THP465" s="156"/>
      <c r="THQ465" s="156"/>
      <c r="THR465" s="156"/>
      <c r="THS465" s="156"/>
      <c r="THT465" s="156"/>
      <c r="THU465" s="156"/>
      <c r="THV465" s="156"/>
      <c r="THW465" s="156"/>
      <c r="THX465" s="156"/>
      <c r="THY465" s="156"/>
      <c r="THZ465" s="156"/>
      <c r="TIA465" s="156"/>
      <c r="TIB465" s="156"/>
      <c r="TIC465" s="156"/>
      <c r="TID465" s="156"/>
      <c r="TIE465" s="156"/>
      <c r="TIF465" s="156"/>
      <c r="TIG465" s="156"/>
      <c r="TIH465" s="156"/>
      <c r="TII465" s="156"/>
      <c r="TIJ465" s="156"/>
      <c r="TIK465" s="156"/>
      <c r="TIL465" s="156"/>
      <c r="TIM465" s="156"/>
      <c r="TIN465" s="156"/>
      <c r="TIO465" s="156"/>
      <c r="TIP465" s="156"/>
      <c r="TIQ465" s="156"/>
      <c r="TIR465" s="156"/>
      <c r="TIS465" s="156"/>
      <c r="TIT465" s="156"/>
      <c r="TIU465" s="156"/>
      <c r="TIV465" s="156"/>
      <c r="TIW465" s="156"/>
      <c r="TIX465" s="156"/>
      <c r="TIY465" s="156"/>
      <c r="TIZ465" s="156"/>
      <c r="TJA465" s="156"/>
      <c r="TJB465" s="156"/>
      <c r="TJC465" s="156"/>
      <c r="TJD465" s="156"/>
      <c r="TJE465" s="156"/>
      <c r="TJF465" s="156"/>
      <c r="TJG465" s="156"/>
      <c r="TJH465" s="156"/>
      <c r="TJI465" s="156"/>
      <c r="TJJ465" s="156"/>
      <c r="TJK465" s="156"/>
      <c r="TJL465" s="156"/>
      <c r="TJM465" s="156"/>
      <c r="TJN465" s="156"/>
      <c r="TJO465" s="156"/>
      <c r="TJP465" s="156"/>
      <c r="TJQ465" s="156"/>
      <c r="TJR465" s="156"/>
      <c r="TJS465" s="156"/>
      <c r="TJT465" s="156"/>
      <c r="TJU465" s="156"/>
      <c r="TJV465" s="156"/>
      <c r="TJW465" s="156"/>
      <c r="TJX465" s="156"/>
      <c r="TJY465" s="156"/>
      <c r="TJZ465" s="156"/>
      <c r="TKA465" s="156"/>
      <c r="TKB465" s="156"/>
      <c r="TKC465" s="156"/>
      <c r="TKD465" s="156"/>
      <c r="TKE465" s="156"/>
      <c r="TKF465" s="156"/>
      <c r="TKG465" s="156"/>
      <c r="TKH465" s="156"/>
      <c r="TKI465" s="156"/>
      <c r="TKJ465" s="156"/>
      <c r="TKK465" s="156"/>
      <c r="TKL465" s="156"/>
      <c r="TKM465" s="156"/>
      <c r="TKN465" s="156"/>
      <c r="TKO465" s="156"/>
      <c r="TKP465" s="156"/>
      <c r="TKQ465" s="156"/>
      <c r="TKR465" s="156"/>
      <c r="TKS465" s="156"/>
      <c r="TKT465" s="156"/>
      <c r="TKU465" s="156"/>
      <c r="TKV465" s="156"/>
      <c r="TKW465" s="156"/>
      <c r="TKX465" s="156"/>
      <c r="TKY465" s="156"/>
      <c r="TKZ465" s="156"/>
      <c r="TLA465" s="156"/>
      <c r="TLB465" s="156"/>
      <c r="TLC465" s="156"/>
      <c r="TLD465" s="156"/>
      <c r="TLE465" s="156"/>
      <c r="TLF465" s="156"/>
      <c r="TLG465" s="156"/>
      <c r="TLH465" s="156"/>
      <c r="TLI465" s="156"/>
      <c r="TLJ465" s="156"/>
      <c r="TLK465" s="156"/>
      <c r="TLL465" s="156"/>
      <c r="TLM465" s="156"/>
      <c r="TLN465" s="156"/>
      <c r="TLO465" s="156"/>
      <c r="TLP465" s="156"/>
      <c r="TLQ465" s="156"/>
      <c r="TLR465" s="156"/>
      <c r="TLS465" s="156"/>
      <c r="TLT465" s="156"/>
      <c r="TLU465" s="156"/>
      <c r="TLV465" s="156"/>
      <c r="TLW465" s="156"/>
      <c r="TLX465" s="156"/>
      <c r="TLY465" s="156"/>
      <c r="TLZ465" s="156"/>
      <c r="TMA465" s="156"/>
      <c r="TMB465" s="156"/>
      <c r="TMC465" s="156"/>
      <c r="TMD465" s="156"/>
      <c r="TME465" s="156"/>
      <c r="TMF465" s="156"/>
      <c r="TMG465" s="156"/>
      <c r="TMH465" s="156"/>
      <c r="TMI465" s="156"/>
      <c r="TMJ465" s="156"/>
      <c r="TMK465" s="156"/>
      <c r="TML465" s="156"/>
      <c r="TMM465" s="156"/>
      <c r="TMN465" s="156"/>
      <c r="TMO465" s="156"/>
      <c r="TMP465" s="156"/>
      <c r="TMQ465" s="156"/>
      <c r="TMR465" s="156"/>
      <c r="TMS465" s="156"/>
      <c r="TMT465" s="156"/>
      <c r="TMU465" s="156"/>
      <c r="TMV465" s="156"/>
      <c r="TMW465" s="156"/>
      <c r="TMX465" s="156"/>
      <c r="TMY465" s="156"/>
      <c r="TMZ465" s="156"/>
      <c r="TNA465" s="156"/>
      <c r="TNB465" s="156"/>
      <c r="TNC465" s="156"/>
      <c r="TND465" s="156"/>
      <c r="TNE465" s="156"/>
      <c r="TNF465" s="156"/>
      <c r="TNG465" s="156"/>
      <c r="TNH465" s="156"/>
      <c r="TNI465" s="156"/>
      <c r="TNJ465" s="156"/>
      <c r="TNK465" s="156"/>
      <c r="TNL465" s="156"/>
      <c r="TNM465" s="156"/>
      <c r="TNN465" s="156"/>
      <c r="TNO465" s="156"/>
      <c r="TNP465" s="156"/>
      <c r="TNQ465" s="156"/>
      <c r="TNR465" s="156"/>
      <c r="TNS465" s="156"/>
      <c r="TNT465" s="156"/>
      <c r="TNU465" s="156"/>
      <c r="TNV465" s="156"/>
      <c r="TNW465" s="156"/>
      <c r="TNX465" s="156"/>
      <c r="TNY465" s="156"/>
      <c r="TNZ465" s="156"/>
      <c r="TOA465" s="156"/>
      <c r="TOB465" s="156"/>
      <c r="TOC465" s="156"/>
      <c r="TOD465" s="156"/>
      <c r="TOE465" s="156"/>
      <c r="TOF465" s="156"/>
      <c r="TOG465" s="156"/>
      <c r="TOH465" s="156"/>
      <c r="TOI465" s="156"/>
      <c r="TOJ465" s="156"/>
      <c r="TOK465" s="156"/>
      <c r="TOL465" s="156"/>
      <c r="TOM465" s="156"/>
      <c r="TON465" s="156"/>
      <c r="TOO465" s="156"/>
      <c r="TOP465" s="156"/>
      <c r="TOQ465" s="156"/>
      <c r="TOR465" s="156"/>
      <c r="TOS465" s="156"/>
      <c r="TOT465" s="156"/>
      <c r="TOU465" s="156"/>
      <c r="TOV465" s="156"/>
      <c r="TOW465" s="156"/>
      <c r="TOX465" s="156"/>
      <c r="TOY465" s="156"/>
      <c r="TOZ465" s="156"/>
      <c r="TPA465" s="156"/>
      <c r="TPB465" s="156"/>
      <c r="TPC465" s="156"/>
      <c r="TPD465" s="156"/>
      <c r="TPE465" s="156"/>
      <c r="TPF465" s="156"/>
      <c r="TPG465" s="156"/>
      <c r="TPH465" s="156"/>
      <c r="TPI465" s="156"/>
      <c r="TPJ465" s="156"/>
      <c r="TPK465" s="156"/>
      <c r="TPL465" s="156"/>
      <c r="TPM465" s="156"/>
      <c r="TPN465" s="156"/>
      <c r="TPO465" s="156"/>
      <c r="TPP465" s="156"/>
      <c r="TPQ465" s="156"/>
      <c r="TPR465" s="156"/>
      <c r="TPS465" s="156"/>
      <c r="TPT465" s="156"/>
      <c r="TPU465" s="156"/>
      <c r="TPV465" s="156"/>
      <c r="TPW465" s="156"/>
      <c r="TPX465" s="156"/>
      <c r="TPY465" s="156"/>
      <c r="TPZ465" s="156"/>
      <c r="TQA465" s="156"/>
      <c r="TQB465" s="156"/>
      <c r="TQC465" s="156"/>
      <c r="TQD465" s="156"/>
      <c r="TQE465" s="156"/>
      <c r="TQF465" s="156"/>
      <c r="TQG465" s="156"/>
      <c r="TQH465" s="156"/>
      <c r="TQI465" s="156"/>
      <c r="TQJ465" s="156"/>
      <c r="TQK465" s="156"/>
      <c r="TQL465" s="156"/>
      <c r="TQM465" s="156"/>
      <c r="TQN465" s="156"/>
      <c r="TQO465" s="156"/>
      <c r="TQP465" s="156"/>
      <c r="TQQ465" s="156"/>
      <c r="TQR465" s="156"/>
      <c r="TQS465" s="156"/>
      <c r="TQT465" s="156"/>
      <c r="TQU465" s="156"/>
      <c r="TQV465" s="156"/>
      <c r="TQW465" s="156"/>
      <c r="TQX465" s="156"/>
      <c r="TQY465" s="156"/>
      <c r="TQZ465" s="156"/>
      <c r="TRA465" s="156"/>
      <c r="TRB465" s="156"/>
      <c r="TRC465" s="156"/>
      <c r="TRD465" s="156"/>
      <c r="TRE465" s="156"/>
      <c r="TRF465" s="156"/>
      <c r="TRG465" s="156"/>
      <c r="TRH465" s="156"/>
      <c r="TRI465" s="156"/>
      <c r="TRJ465" s="156"/>
      <c r="TRK465" s="156"/>
      <c r="TRL465" s="156"/>
      <c r="TRM465" s="156"/>
      <c r="TRN465" s="156"/>
      <c r="TRO465" s="156"/>
      <c r="TRP465" s="156"/>
      <c r="TRQ465" s="156"/>
      <c r="TRR465" s="156"/>
      <c r="TRS465" s="156"/>
      <c r="TRT465" s="156"/>
      <c r="TRU465" s="156"/>
      <c r="TRV465" s="156"/>
      <c r="TRW465" s="156"/>
      <c r="TRX465" s="156"/>
      <c r="TRY465" s="156"/>
      <c r="TRZ465" s="156"/>
      <c r="TSA465" s="156"/>
      <c r="TSB465" s="156"/>
      <c r="TSC465" s="156"/>
      <c r="TSD465" s="156"/>
      <c r="TSE465" s="156"/>
      <c r="TSF465" s="156"/>
      <c r="TSG465" s="156"/>
      <c r="TSH465" s="156"/>
      <c r="TSI465" s="156"/>
      <c r="TSJ465" s="156"/>
      <c r="TSK465" s="156"/>
      <c r="TSL465" s="156"/>
      <c r="TSM465" s="156"/>
      <c r="TSN465" s="156"/>
      <c r="TSO465" s="156"/>
      <c r="TSP465" s="156"/>
      <c r="TSQ465" s="156"/>
      <c r="TSR465" s="156"/>
      <c r="TSS465" s="156"/>
      <c r="TST465" s="156"/>
      <c r="TSU465" s="156"/>
      <c r="TSV465" s="156"/>
      <c r="TSW465" s="156"/>
      <c r="TSX465" s="156"/>
      <c r="TSY465" s="156"/>
      <c r="TSZ465" s="156"/>
      <c r="TTA465" s="156"/>
      <c r="TTB465" s="156"/>
      <c r="TTC465" s="156"/>
      <c r="TTD465" s="156"/>
      <c r="TTE465" s="156"/>
      <c r="TTF465" s="156"/>
      <c r="TTG465" s="156"/>
      <c r="TTH465" s="156"/>
      <c r="TTI465" s="156"/>
      <c r="TTJ465" s="156"/>
      <c r="TTK465" s="156"/>
      <c r="TTL465" s="156"/>
      <c r="TTM465" s="156"/>
      <c r="TTN465" s="156"/>
      <c r="TTO465" s="156"/>
      <c r="TTP465" s="156"/>
      <c r="TTQ465" s="156"/>
      <c r="TTR465" s="156"/>
      <c r="TTS465" s="156"/>
      <c r="TTT465" s="156"/>
      <c r="TTU465" s="156"/>
      <c r="TTV465" s="156"/>
      <c r="TTW465" s="156"/>
      <c r="TTX465" s="156"/>
      <c r="TTY465" s="156"/>
      <c r="TTZ465" s="156"/>
      <c r="TUA465" s="156"/>
      <c r="TUB465" s="156"/>
      <c r="TUC465" s="156"/>
      <c r="TUD465" s="156"/>
      <c r="TUE465" s="156"/>
      <c r="TUF465" s="156"/>
      <c r="TUG465" s="156"/>
      <c r="TUH465" s="156"/>
      <c r="TUI465" s="156"/>
      <c r="TUJ465" s="156"/>
      <c r="TUK465" s="156"/>
      <c r="TUL465" s="156"/>
      <c r="TUM465" s="156"/>
      <c r="TUN465" s="156"/>
      <c r="TUO465" s="156"/>
      <c r="TUP465" s="156"/>
      <c r="TUQ465" s="156"/>
      <c r="TUR465" s="156"/>
      <c r="TUS465" s="156"/>
      <c r="TUT465" s="156"/>
      <c r="TUU465" s="156"/>
      <c r="TUV465" s="156"/>
      <c r="TUW465" s="156"/>
      <c r="TUX465" s="156"/>
      <c r="TUY465" s="156"/>
      <c r="TUZ465" s="156"/>
      <c r="TVA465" s="156"/>
      <c r="TVB465" s="156"/>
      <c r="TVC465" s="156"/>
      <c r="TVD465" s="156"/>
      <c r="TVE465" s="156"/>
      <c r="TVF465" s="156"/>
      <c r="TVG465" s="156"/>
      <c r="TVH465" s="156"/>
      <c r="TVI465" s="156"/>
      <c r="TVJ465" s="156"/>
      <c r="TVK465" s="156"/>
      <c r="TVL465" s="156"/>
      <c r="TVM465" s="156"/>
      <c r="TVN465" s="156"/>
      <c r="TVO465" s="156"/>
      <c r="TVP465" s="156"/>
      <c r="TVQ465" s="156"/>
      <c r="TVR465" s="156"/>
      <c r="TVS465" s="156"/>
      <c r="TVT465" s="156"/>
      <c r="TVU465" s="156"/>
      <c r="TVV465" s="156"/>
      <c r="TVW465" s="156"/>
      <c r="TVX465" s="156"/>
      <c r="TVY465" s="156"/>
      <c r="TVZ465" s="156"/>
      <c r="TWA465" s="156"/>
      <c r="TWB465" s="156"/>
      <c r="TWC465" s="156"/>
      <c r="TWD465" s="156"/>
      <c r="TWE465" s="156"/>
      <c r="TWF465" s="156"/>
      <c r="TWG465" s="156"/>
      <c r="TWH465" s="156"/>
      <c r="TWI465" s="156"/>
      <c r="TWJ465" s="156"/>
      <c r="TWK465" s="156"/>
      <c r="TWL465" s="156"/>
      <c r="TWM465" s="156"/>
      <c r="TWN465" s="156"/>
      <c r="TWO465" s="156"/>
      <c r="TWP465" s="156"/>
      <c r="TWQ465" s="156"/>
      <c r="TWR465" s="156"/>
      <c r="TWS465" s="156"/>
      <c r="TWT465" s="156"/>
      <c r="TWU465" s="156"/>
      <c r="TWV465" s="156"/>
      <c r="TWW465" s="156"/>
      <c r="TWX465" s="156"/>
      <c r="TWY465" s="156"/>
      <c r="TWZ465" s="156"/>
      <c r="TXA465" s="156"/>
      <c r="TXB465" s="156"/>
      <c r="TXC465" s="156"/>
      <c r="TXD465" s="156"/>
      <c r="TXE465" s="156"/>
      <c r="TXF465" s="156"/>
      <c r="TXG465" s="156"/>
      <c r="TXH465" s="156"/>
      <c r="TXI465" s="156"/>
      <c r="TXJ465" s="156"/>
      <c r="TXK465" s="156"/>
      <c r="TXL465" s="156"/>
      <c r="TXM465" s="156"/>
      <c r="TXN465" s="156"/>
      <c r="TXO465" s="156"/>
      <c r="TXP465" s="156"/>
      <c r="TXQ465" s="156"/>
      <c r="TXR465" s="156"/>
      <c r="TXS465" s="156"/>
      <c r="TXT465" s="156"/>
      <c r="TXU465" s="156"/>
      <c r="TXV465" s="156"/>
      <c r="TXW465" s="156"/>
      <c r="TXX465" s="156"/>
      <c r="TXY465" s="156"/>
      <c r="TXZ465" s="156"/>
      <c r="TYA465" s="156"/>
      <c r="TYB465" s="156"/>
      <c r="TYC465" s="156"/>
      <c r="TYD465" s="156"/>
      <c r="TYE465" s="156"/>
      <c r="TYF465" s="156"/>
      <c r="TYG465" s="156"/>
      <c r="TYH465" s="156"/>
      <c r="TYI465" s="156"/>
      <c r="TYJ465" s="156"/>
      <c r="TYK465" s="156"/>
      <c r="TYL465" s="156"/>
      <c r="TYM465" s="156"/>
      <c r="TYN465" s="156"/>
      <c r="TYO465" s="156"/>
      <c r="TYP465" s="156"/>
      <c r="TYQ465" s="156"/>
      <c r="TYR465" s="156"/>
      <c r="TYS465" s="156"/>
      <c r="TYT465" s="156"/>
      <c r="TYU465" s="156"/>
      <c r="TYV465" s="156"/>
      <c r="TYW465" s="156"/>
      <c r="TYX465" s="156"/>
      <c r="TYY465" s="156"/>
      <c r="TYZ465" s="156"/>
      <c r="TZA465" s="156"/>
      <c r="TZB465" s="156"/>
      <c r="TZC465" s="156"/>
      <c r="TZD465" s="156"/>
      <c r="TZE465" s="156"/>
      <c r="TZF465" s="156"/>
      <c r="TZG465" s="156"/>
      <c r="TZH465" s="156"/>
      <c r="TZI465" s="156"/>
      <c r="TZJ465" s="156"/>
      <c r="TZK465" s="156"/>
      <c r="TZL465" s="156"/>
      <c r="TZM465" s="156"/>
      <c r="TZN465" s="156"/>
      <c r="TZO465" s="156"/>
      <c r="TZP465" s="156"/>
      <c r="TZQ465" s="156"/>
      <c r="TZR465" s="156"/>
      <c r="TZS465" s="156"/>
      <c r="TZT465" s="156"/>
      <c r="TZU465" s="156"/>
      <c r="TZV465" s="156"/>
      <c r="TZW465" s="156"/>
      <c r="TZX465" s="156"/>
      <c r="TZY465" s="156"/>
      <c r="TZZ465" s="156"/>
      <c r="UAA465" s="156"/>
      <c r="UAB465" s="156"/>
      <c r="UAC465" s="156"/>
      <c r="UAD465" s="156"/>
      <c r="UAE465" s="156"/>
      <c r="UAF465" s="156"/>
      <c r="UAG465" s="156"/>
      <c r="UAH465" s="156"/>
      <c r="UAI465" s="156"/>
      <c r="UAJ465" s="156"/>
      <c r="UAK465" s="156"/>
      <c r="UAL465" s="156"/>
      <c r="UAM465" s="156"/>
      <c r="UAN465" s="156"/>
      <c r="UAO465" s="156"/>
      <c r="UAP465" s="156"/>
      <c r="UAQ465" s="156"/>
      <c r="UAR465" s="156"/>
      <c r="UAS465" s="156"/>
      <c r="UAT465" s="156"/>
      <c r="UAU465" s="156"/>
      <c r="UAV465" s="156"/>
      <c r="UAW465" s="156"/>
      <c r="UAX465" s="156"/>
      <c r="UAY465" s="156"/>
      <c r="UAZ465" s="156"/>
      <c r="UBA465" s="156"/>
      <c r="UBB465" s="156"/>
      <c r="UBC465" s="156"/>
      <c r="UBD465" s="156"/>
      <c r="UBE465" s="156"/>
      <c r="UBF465" s="156"/>
      <c r="UBG465" s="156"/>
      <c r="UBH465" s="156"/>
      <c r="UBI465" s="156"/>
      <c r="UBJ465" s="156"/>
      <c r="UBK465" s="156"/>
      <c r="UBL465" s="156"/>
      <c r="UBM465" s="156"/>
      <c r="UBN465" s="156"/>
      <c r="UBO465" s="156"/>
      <c r="UBP465" s="156"/>
      <c r="UBQ465" s="156"/>
      <c r="UBR465" s="156"/>
      <c r="UBS465" s="156"/>
      <c r="UBT465" s="156"/>
      <c r="UBU465" s="156"/>
      <c r="UBV465" s="156"/>
      <c r="UBW465" s="156"/>
      <c r="UBX465" s="156"/>
      <c r="UBY465" s="156"/>
      <c r="UBZ465" s="156"/>
      <c r="UCA465" s="156"/>
      <c r="UCB465" s="156"/>
      <c r="UCC465" s="156"/>
      <c r="UCD465" s="156"/>
      <c r="UCE465" s="156"/>
      <c r="UCF465" s="156"/>
      <c r="UCG465" s="156"/>
      <c r="UCH465" s="156"/>
      <c r="UCI465" s="156"/>
      <c r="UCJ465" s="156"/>
      <c r="UCK465" s="156"/>
      <c r="UCL465" s="156"/>
      <c r="UCM465" s="156"/>
      <c r="UCN465" s="156"/>
      <c r="UCO465" s="156"/>
      <c r="UCP465" s="156"/>
      <c r="UCQ465" s="156"/>
      <c r="UCR465" s="156"/>
      <c r="UCS465" s="156"/>
      <c r="UCT465" s="156"/>
      <c r="UCU465" s="156"/>
      <c r="UCV465" s="156"/>
      <c r="UCW465" s="156"/>
      <c r="UCX465" s="156"/>
      <c r="UCY465" s="156"/>
      <c r="UCZ465" s="156"/>
      <c r="UDA465" s="156"/>
      <c r="UDB465" s="156"/>
      <c r="UDC465" s="156"/>
      <c r="UDD465" s="156"/>
      <c r="UDE465" s="156"/>
      <c r="UDF465" s="156"/>
      <c r="UDG465" s="156"/>
      <c r="UDH465" s="156"/>
      <c r="UDI465" s="156"/>
      <c r="UDJ465" s="156"/>
      <c r="UDK465" s="156"/>
      <c r="UDL465" s="156"/>
      <c r="UDM465" s="156"/>
      <c r="UDN465" s="156"/>
      <c r="UDO465" s="156"/>
      <c r="UDP465" s="156"/>
      <c r="UDQ465" s="156"/>
      <c r="UDR465" s="156"/>
      <c r="UDS465" s="156"/>
      <c r="UDT465" s="156"/>
      <c r="UDU465" s="156"/>
      <c r="UDV465" s="156"/>
      <c r="UDW465" s="156"/>
      <c r="UDX465" s="156"/>
      <c r="UDY465" s="156"/>
      <c r="UDZ465" s="156"/>
      <c r="UEA465" s="156"/>
      <c r="UEB465" s="156"/>
      <c r="UEC465" s="156"/>
      <c r="UED465" s="156"/>
      <c r="UEE465" s="156"/>
      <c r="UEF465" s="156"/>
      <c r="UEG465" s="156"/>
      <c r="UEH465" s="156"/>
      <c r="UEI465" s="156"/>
      <c r="UEJ465" s="156"/>
      <c r="UEK465" s="156"/>
      <c r="UEL465" s="156"/>
      <c r="UEM465" s="156"/>
      <c r="UEN465" s="156"/>
      <c r="UEO465" s="156"/>
      <c r="UEP465" s="156"/>
      <c r="UEQ465" s="156"/>
      <c r="UER465" s="156"/>
      <c r="UES465" s="156"/>
      <c r="UET465" s="156"/>
      <c r="UEU465" s="156"/>
      <c r="UEV465" s="156"/>
      <c r="UEW465" s="156"/>
      <c r="UEX465" s="156"/>
      <c r="UEY465" s="156"/>
      <c r="UEZ465" s="156"/>
      <c r="UFA465" s="156"/>
      <c r="UFB465" s="156"/>
      <c r="UFC465" s="156"/>
      <c r="UFD465" s="156"/>
      <c r="UFE465" s="156"/>
      <c r="UFF465" s="156"/>
      <c r="UFG465" s="156"/>
      <c r="UFH465" s="156"/>
      <c r="UFI465" s="156"/>
      <c r="UFJ465" s="156"/>
      <c r="UFK465" s="156"/>
      <c r="UFL465" s="156"/>
      <c r="UFM465" s="156"/>
      <c r="UFN465" s="156"/>
      <c r="UFO465" s="156"/>
      <c r="UFP465" s="156"/>
      <c r="UFQ465" s="156"/>
      <c r="UFR465" s="156"/>
      <c r="UFS465" s="156"/>
      <c r="UFT465" s="156"/>
      <c r="UFU465" s="156"/>
      <c r="UFV465" s="156"/>
      <c r="UFW465" s="156"/>
      <c r="UFX465" s="156"/>
      <c r="UFY465" s="156"/>
      <c r="UFZ465" s="156"/>
      <c r="UGA465" s="156"/>
      <c r="UGB465" s="156"/>
      <c r="UGC465" s="156"/>
      <c r="UGD465" s="156"/>
      <c r="UGE465" s="156"/>
      <c r="UGF465" s="156"/>
      <c r="UGG465" s="156"/>
      <c r="UGH465" s="156"/>
      <c r="UGI465" s="156"/>
      <c r="UGJ465" s="156"/>
      <c r="UGK465" s="156"/>
      <c r="UGL465" s="156"/>
      <c r="UGM465" s="156"/>
      <c r="UGN465" s="156"/>
      <c r="UGO465" s="156"/>
      <c r="UGP465" s="156"/>
      <c r="UGQ465" s="156"/>
      <c r="UGR465" s="156"/>
      <c r="UGS465" s="156"/>
      <c r="UGT465" s="156"/>
      <c r="UGU465" s="156"/>
      <c r="UGV465" s="156"/>
      <c r="UGW465" s="156"/>
      <c r="UGX465" s="156"/>
      <c r="UGY465" s="156"/>
      <c r="UGZ465" s="156"/>
      <c r="UHA465" s="156"/>
      <c r="UHB465" s="156"/>
      <c r="UHC465" s="156"/>
      <c r="UHD465" s="156"/>
      <c r="UHE465" s="156"/>
      <c r="UHF465" s="156"/>
      <c r="UHG465" s="156"/>
      <c r="UHH465" s="156"/>
      <c r="UHI465" s="156"/>
      <c r="UHJ465" s="156"/>
      <c r="UHK465" s="156"/>
      <c r="UHL465" s="156"/>
      <c r="UHM465" s="156"/>
      <c r="UHN465" s="156"/>
      <c r="UHO465" s="156"/>
      <c r="UHP465" s="156"/>
      <c r="UHQ465" s="156"/>
      <c r="UHR465" s="156"/>
      <c r="UHS465" s="156"/>
      <c r="UHT465" s="156"/>
      <c r="UHU465" s="156"/>
      <c r="UHV465" s="156"/>
      <c r="UHW465" s="156"/>
      <c r="UHX465" s="156"/>
      <c r="UHY465" s="156"/>
      <c r="UHZ465" s="156"/>
      <c r="UIA465" s="156"/>
      <c r="UIB465" s="156"/>
      <c r="UIC465" s="156"/>
      <c r="UID465" s="156"/>
      <c r="UIE465" s="156"/>
      <c r="UIF465" s="156"/>
      <c r="UIG465" s="156"/>
      <c r="UIH465" s="156"/>
      <c r="UII465" s="156"/>
      <c r="UIJ465" s="156"/>
      <c r="UIK465" s="156"/>
      <c r="UIL465" s="156"/>
      <c r="UIM465" s="156"/>
      <c r="UIN465" s="156"/>
      <c r="UIO465" s="156"/>
      <c r="UIP465" s="156"/>
      <c r="UIQ465" s="156"/>
      <c r="UIR465" s="156"/>
      <c r="UIS465" s="156"/>
      <c r="UIT465" s="156"/>
      <c r="UIU465" s="156"/>
      <c r="UIV465" s="156"/>
      <c r="UIW465" s="156"/>
      <c r="UIX465" s="156"/>
      <c r="UIY465" s="156"/>
      <c r="UIZ465" s="156"/>
      <c r="UJA465" s="156"/>
      <c r="UJB465" s="156"/>
      <c r="UJC465" s="156"/>
      <c r="UJD465" s="156"/>
      <c r="UJE465" s="156"/>
      <c r="UJF465" s="156"/>
      <c r="UJG465" s="156"/>
      <c r="UJH465" s="156"/>
      <c r="UJI465" s="156"/>
      <c r="UJJ465" s="156"/>
      <c r="UJK465" s="156"/>
      <c r="UJL465" s="156"/>
      <c r="UJM465" s="156"/>
      <c r="UJN465" s="156"/>
      <c r="UJO465" s="156"/>
      <c r="UJP465" s="156"/>
      <c r="UJQ465" s="156"/>
      <c r="UJR465" s="156"/>
      <c r="UJS465" s="156"/>
      <c r="UJT465" s="156"/>
      <c r="UJU465" s="156"/>
      <c r="UJV465" s="156"/>
      <c r="UJW465" s="156"/>
      <c r="UJX465" s="156"/>
      <c r="UJY465" s="156"/>
      <c r="UJZ465" s="156"/>
      <c r="UKA465" s="156"/>
      <c r="UKB465" s="156"/>
      <c r="UKC465" s="156"/>
      <c r="UKD465" s="156"/>
      <c r="UKE465" s="156"/>
      <c r="UKF465" s="156"/>
      <c r="UKG465" s="156"/>
      <c r="UKH465" s="156"/>
      <c r="UKI465" s="156"/>
      <c r="UKJ465" s="156"/>
      <c r="UKK465" s="156"/>
      <c r="UKL465" s="156"/>
      <c r="UKM465" s="156"/>
      <c r="UKN465" s="156"/>
      <c r="UKO465" s="156"/>
      <c r="UKP465" s="156"/>
      <c r="UKQ465" s="156"/>
      <c r="UKR465" s="156"/>
      <c r="UKS465" s="156"/>
      <c r="UKT465" s="156"/>
      <c r="UKU465" s="156"/>
      <c r="UKV465" s="156"/>
      <c r="UKW465" s="156"/>
      <c r="UKX465" s="156"/>
      <c r="UKY465" s="156"/>
      <c r="UKZ465" s="156"/>
      <c r="ULA465" s="156"/>
      <c r="ULB465" s="156"/>
      <c r="ULC465" s="156"/>
      <c r="ULD465" s="156"/>
      <c r="ULE465" s="156"/>
      <c r="ULF465" s="156"/>
      <c r="ULG465" s="156"/>
      <c r="ULH465" s="156"/>
      <c r="ULI465" s="156"/>
      <c r="ULJ465" s="156"/>
      <c r="ULK465" s="156"/>
      <c r="ULL465" s="156"/>
      <c r="ULM465" s="156"/>
      <c r="ULN465" s="156"/>
      <c r="ULO465" s="156"/>
      <c r="ULP465" s="156"/>
      <c r="ULQ465" s="156"/>
      <c r="ULR465" s="156"/>
      <c r="ULS465" s="156"/>
      <c r="ULT465" s="156"/>
      <c r="ULU465" s="156"/>
      <c r="ULV465" s="156"/>
      <c r="ULW465" s="156"/>
      <c r="ULX465" s="156"/>
      <c r="ULY465" s="156"/>
      <c r="ULZ465" s="156"/>
      <c r="UMA465" s="156"/>
      <c r="UMB465" s="156"/>
      <c r="UMC465" s="156"/>
      <c r="UMD465" s="156"/>
      <c r="UME465" s="156"/>
      <c r="UMF465" s="156"/>
      <c r="UMG465" s="156"/>
      <c r="UMH465" s="156"/>
      <c r="UMI465" s="156"/>
      <c r="UMJ465" s="156"/>
      <c r="UMK465" s="156"/>
      <c r="UML465" s="156"/>
      <c r="UMM465" s="156"/>
      <c r="UMN465" s="156"/>
      <c r="UMO465" s="156"/>
      <c r="UMP465" s="156"/>
      <c r="UMQ465" s="156"/>
      <c r="UMR465" s="156"/>
      <c r="UMS465" s="156"/>
      <c r="UMT465" s="156"/>
      <c r="UMU465" s="156"/>
      <c r="UMV465" s="156"/>
      <c r="UMW465" s="156"/>
      <c r="UMX465" s="156"/>
      <c r="UMY465" s="156"/>
      <c r="UMZ465" s="156"/>
      <c r="UNA465" s="156"/>
      <c r="UNB465" s="156"/>
      <c r="UNC465" s="156"/>
      <c r="UND465" s="156"/>
      <c r="UNE465" s="156"/>
      <c r="UNF465" s="156"/>
      <c r="UNG465" s="156"/>
      <c r="UNH465" s="156"/>
      <c r="UNI465" s="156"/>
      <c r="UNJ465" s="156"/>
      <c r="UNK465" s="156"/>
      <c r="UNL465" s="156"/>
      <c r="UNM465" s="156"/>
      <c r="UNN465" s="156"/>
      <c r="UNO465" s="156"/>
      <c r="UNP465" s="156"/>
      <c r="UNQ465" s="156"/>
      <c r="UNR465" s="156"/>
      <c r="UNS465" s="156"/>
      <c r="UNT465" s="156"/>
      <c r="UNU465" s="156"/>
      <c r="UNV465" s="156"/>
      <c r="UNW465" s="156"/>
      <c r="UNX465" s="156"/>
      <c r="UNY465" s="156"/>
      <c r="UNZ465" s="156"/>
      <c r="UOA465" s="156"/>
      <c r="UOB465" s="156"/>
      <c r="UOC465" s="156"/>
      <c r="UOD465" s="156"/>
      <c r="UOE465" s="156"/>
      <c r="UOF465" s="156"/>
      <c r="UOG465" s="156"/>
      <c r="UOH465" s="156"/>
      <c r="UOI465" s="156"/>
      <c r="UOJ465" s="156"/>
      <c r="UOK465" s="156"/>
      <c r="UOL465" s="156"/>
      <c r="UOM465" s="156"/>
      <c r="UON465" s="156"/>
      <c r="UOO465" s="156"/>
      <c r="UOP465" s="156"/>
      <c r="UOQ465" s="156"/>
      <c r="UOR465" s="156"/>
      <c r="UOS465" s="156"/>
      <c r="UOT465" s="156"/>
      <c r="UOU465" s="156"/>
      <c r="UOV465" s="156"/>
      <c r="UOW465" s="156"/>
      <c r="UOX465" s="156"/>
      <c r="UOY465" s="156"/>
      <c r="UOZ465" s="156"/>
      <c r="UPA465" s="156"/>
      <c r="UPB465" s="156"/>
      <c r="UPC465" s="156"/>
      <c r="UPD465" s="156"/>
      <c r="UPE465" s="156"/>
      <c r="UPF465" s="156"/>
      <c r="UPG465" s="156"/>
      <c r="UPH465" s="156"/>
      <c r="UPI465" s="156"/>
      <c r="UPJ465" s="156"/>
      <c r="UPK465" s="156"/>
      <c r="UPL465" s="156"/>
      <c r="UPM465" s="156"/>
      <c r="UPN465" s="156"/>
      <c r="UPO465" s="156"/>
      <c r="UPP465" s="156"/>
      <c r="UPQ465" s="156"/>
      <c r="UPR465" s="156"/>
      <c r="UPS465" s="156"/>
      <c r="UPT465" s="156"/>
      <c r="UPU465" s="156"/>
      <c r="UPV465" s="156"/>
      <c r="UPW465" s="156"/>
      <c r="UPX465" s="156"/>
      <c r="UPY465" s="156"/>
      <c r="UPZ465" s="156"/>
      <c r="UQA465" s="156"/>
      <c r="UQB465" s="156"/>
      <c r="UQC465" s="156"/>
      <c r="UQD465" s="156"/>
      <c r="UQE465" s="156"/>
      <c r="UQF465" s="156"/>
      <c r="UQG465" s="156"/>
      <c r="UQH465" s="156"/>
      <c r="UQI465" s="156"/>
      <c r="UQJ465" s="156"/>
      <c r="UQK465" s="156"/>
      <c r="UQL465" s="156"/>
      <c r="UQM465" s="156"/>
      <c r="UQN465" s="156"/>
      <c r="UQO465" s="156"/>
      <c r="UQP465" s="156"/>
      <c r="UQQ465" s="156"/>
      <c r="UQR465" s="156"/>
      <c r="UQS465" s="156"/>
      <c r="UQT465" s="156"/>
      <c r="UQU465" s="156"/>
      <c r="UQV465" s="156"/>
      <c r="UQW465" s="156"/>
      <c r="UQX465" s="156"/>
      <c r="UQY465" s="156"/>
      <c r="UQZ465" s="156"/>
      <c r="URA465" s="156"/>
      <c r="URB465" s="156"/>
      <c r="URC465" s="156"/>
      <c r="URD465" s="156"/>
      <c r="URE465" s="156"/>
      <c r="URF465" s="156"/>
      <c r="URG465" s="156"/>
      <c r="URH465" s="156"/>
      <c r="URI465" s="156"/>
      <c r="URJ465" s="156"/>
      <c r="URK465" s="156"/>
      <c r="URL465" s="156"/>
      <c r="URM465" s="156"/>
      <c r="URN465" s="156"/>
      <c r="URO465" s="156"/>
      <c r="URP465" s="156"/>
      <c r="URQ465" s="156"/>
      <c r="URR465" s="156"/>
      <c r="URS465" s="156"/>
      <c r="URT465" s="156"/>
      <c r="URU465" s="156"/>
      <c r="URV465" s="156"/>
      <c r="URW465" s="156"/>
      <c r="URX465" s="156"/>
      <c r="URY465" s="156"/>
      <c r="URZ465" s="156"/>
      <c r="USA465" s="156"/>
      <c r="USB465" s="156"/>
      <c r="USC465" s="156"/>
      <c r="USD465" s="156"/>
      <c r="USE465" s="156"/>
      <c r="USF465" s="156"/>
      <c r="USG465" s="156"/>
      <c r="USH465" s="156"/>
      <c r="USI465" s="156"/>
      <c r="USJ465" s="156"/>
      <c r="USK465" s="156"/>
      <c r="USL465" s="156"/>
      <c r="USM465" s="156"/>
      <c r="USN465" s="156"/>
      <c r="USO465" s="156"/>
      <c r="USP465" s="156"/>
      <c r="USQ465" s="156"/>
      <c r="USR465" s="156"/>
      <c r="USS465" s="156"/>
      <c r="UST465" s="156"/>
      <c r="USU465" s="156"/>
      <c r="USV465" s="156"/>
      <c r="USW465" s="156"/>
      <c r="USX465" s="156"/>
      <c r="USY465" s="156"/>
      <c r="USZ465" s="156"/>
      <c r="UTA465" s="156"/>
      <c r="UTB465" s="156"/>
      <c r="UTC465" s="156"/>
      <c r="UTD465" s="156"/>
      <c r="UTE465" s="156"/>
      <c r="UTF465" s="156"/>
      <c r="UTG465" s="156"/>
      <c r="UTH465" s="156"/>
      <c r="UTI465" s="156"/>
      <c r="UTJ465" s="156"/>
      <c r="UTK465" s="156"/>
      <c r="UTL465" s="156"/>
      <c r="UTM465" s="156"/>
      <c r="UTN465" s="156"/>
      <c r="UTO465" s="156"/>
      <c r="UTP465" s="156"/>
      <c r="UTQ465" s="156"/>
      <c r="UTR465" s="156"/>
      <c r="UTS465" s="156"/>
      <c r="UTT465" s="156"/>
      <c r="UTU465" s="156"/>
      <c r="UTV465" s="156"/>
      <c r="UTW465" s="156"/>
      <c r="UTX465" s="156"/>
      <c r="UTY465" s="156"/>
      <c r="UTZ465" s="156"/>
      <c r="UUA465" s="156"/>
      <c r="UUB465" s="156"/>
      <c r="UUC465" s="156"/>
      <c r="UUD465" s="156"/>
      <c r="UUE465" s="156"/>
      <c r="UUF465" s="156"/>
      <c r="UUG465" s="156"/>
      <c r="UUH465" s="156"/>
      <c r="UUI465" s="156"/>
      <c r="UUJ465" s="156"/>
      <c r="UUK465" s="156"/>
      <c r="UUL465" s="156"/>
      <c r="UUM465" s="156"/>
      <c r="UUN465" s="156"/>
      <c r="UUO465" s="156"/>
      <c r="UUP465" s="156"/>
      <c r="UUQ465" s="156"/>
      <c r="UUR465" s="156"/>
      <c r="UUS465" s="156"/>
      <c r="UUT465" s="156"/>
      <c r="UUU465" s="156"/>
      <c r="UUV465" s="156"/>
      <c r="UUW465" s="156"/>
      <c r="UUX465" s="156"/>
      <c r="UUY465" s="156"/>
      <c r="UUZ465" s="156"/>
      <c r="UVA465" s="156"/>
      <c r="UVB465" s="156"/>
      <c r="UVC465" s="156"/>
      <c r="UVD465" s="156"/>
      <c r="UVE465" s="156"/>
      <c r="UVF465" s="156"/>
      <c r="UVG465" s="156"/>
      <c r="UVH465" s="156"/>
      <c r="UVI465" s="156"/>
      <c r="UVJ465" s="156"/>
      <c r="UVK465" s="156"/>
      <c r="UVL465" s="156"/>
      <c r="UVM465" s="156"/>
      <c r="UVN465" s="156"/>
      <c r="UVO465" s="156"/>
      <c r="UVP465" s="156"/>
      <c r="UVQ465" s="156"/>
      <c r="UVR465" s="156"/>
      <c r="UVS465" s="156"/>
      <c r="UVT465" s="156"/>
      <c r="UVU465" s="156"/>
      <c r="UVV465" s="156"/>
      <c r="UVW465" s="156"/>
      <c r="UVX465" s="156"/>
      <c r="UVY465" s="156"/>
      <c r="UVZ465" s="156"/>
      <c r="UWA465" s="156"/>
      <c r="UWB465" s="156"/>
      <c r="UWC465" s="156"/>
      <c r="UWD465" s="156"/>
      <c r="UWE465" s="156"/>
      <c r="UWF465" s="156"/>
      <c r="UWG465" s="156"/>
      <c r="UWH465" s="156"/>
      <c r="UWI465" s="156"/>
      <c r="UWJ465" s="156"/>
      <c r="UWK465" s="156"/>
      <c r="UWL465" s="156"/>
      <c r="UWM465" s="156"/>
      <c r="UWN465" s="156"/>
      <c r="UWO465" s="156"/>
      <c r="UWP465" s="156"/>
      <c r="UWQ465" s="156"/>
      <c r="UWR465" s="156"/>
      <c r="UWS465" s="156"/>
      <c r="UWT465" s="156"/>
      <c r="UWU465" s="156"/>
      <c r="UWV465" s="156"/>
      <c r="UWW465" s="156"/>
      <c r="UWX465" s="156"/>
      <c r="UWY465" s="156"/>
      <c r="UWZ465" s="156"/>
      <c r="UXA465" s="156"/>
      <c r="UXB465" s="156"/>
      <c r="UXC465" s="156"/>
      <c r="UXD465" s="156"/>
      <c r="UXE465" s="156"/>
      <c r="UXF465" s="156"/>
      <c r="UXG465" s="156"/>
      <c r="UXH465" s="156"/>
      <c r="UXI465" s="156"/>
      <c r="UXJ465" s="156"/>
      <c r="UXK465" s="156"/>
      <c r="UXL465" s="156"/>
      <c r="UXM465" s="156"/>
      <c r="UXN465" s="156"/>
      <c r="UXO465" s="156"/>
      <c r="UXP465" s="156"/>
      <c r="UXQ465" s="156"/>
      <c r="UXR465" s="156"/>
      <c r="UXS465" s="156"/>
      <c r="UXT465" s="156"/>
      <c r="UXU465" s="156"/>
      <c r="UXV465" s="156"/>
      <c r="UXW465" s="156"/>
      <c r="UXX465" s="156"/>
      <c r="UXY465" s="156"/>
      <c r="UXZ465" s="156"/>
      <c r="UYA465" s="156"/>
      <c r="UYB465" s="156"/>
      <c r="UYC465" s="156"/>
      <c r="UYD465" s="156"/>
      <c r="UYE465" s="156"/>
      <c r="UYF465" s="156"/>
      <c r="UYG465" s="156"/>
      <c r="UYH465" s="156"/>
      <c r="UYI465" s="156"/>
      <c r="UYJ465" s="156"/>
      <c r="UYK465" s="156"/>
      <c r="UYL465" s="156"/>
      <c r="UYM465" s="156"/>
      <c r="UYN465" s="156"/>
      <c r="UYO465" s="156"/>
      <c r="UYP465" s="156"/>
      <c r="UYQ465" s="156"/>
      <c r="UYR465" s="156"/>
      <c r="UYS465" s="156"/>
      <c r="UYT465" s="156"/>
      <c r="UYU465" s="156"/>
      <c r="UYV465" s="156"/>
      <c r="UYW465" s="156"/>
      <c r="UYX465" s="156"/>
      <c r="UYY465" s="156"/>
      <c r="UYZ465" s="156"/>
      <c r="UZA465" s="156"/>
      <c r="UZB465" s="156"/>
      <c r="UZC465" s="156"/>
      <c r="UZD465" s="156"/>
      <c r="UZE465" s="156"/>
      <c r="UZF465" s="156"/>
      <c r="UZG465" s="156"/>
      <c r="UZH465" s="156"/>
      <c r="UZI465" s="156"/>
      <c r="UZJ465" s="156"/>
      <c r="UZK465" s="156"/>
      <c r="UZL465" s="156"/>
      <c r="UZM465" s="156"/>
      <c r="UZN465" s="156"/>
      <c r="UZO465" s="156"/>
      <c r="UZP465" s="156"/>
      <c r="UZQ465" s="156"/>
      <c r="UZR465" s="156"/>
      <c r="UZS465" s="156"/>
      <c r="UZT465" s="156"/>
      <c r="UZU465" s="156"/>
      <c r="UZV465" s="156"/>
      <c r="UZW465" s="156"/>
      <c r="UZX465" s="156"/>
      <c r="UZY465" s="156"/>
      <c r="UZZ465" s="156"/>
      <c r="VAA465" s="156"/>
      <c r="VAB465" s="156"/>
      <c r="VAC465" s="156"/>
      <c r="VAD465" s="156"/>
      <c r="VAE465" s="156"/>
      <c r="VAF465" s="156"/>
      <c r="VAG465" s="156"/>
      <c r="VAH465" s="156"/>
      <c r="VAI465" s="156"/>
      <c r="VAJ465" s="156"/>
      <c r="VAK465" s="156"/>
      <c r="VAL465" s="156"/>
      <c r="VAM465" s="156"/>
      <c r="VAN465" s="156"/>
      <c r="VAO465" s="156"/>
      <c r="VAP465" s="156"/>
      <c r="VAQ465" s="156"/>
      <c r="VAR465" s="156"/>
      <c r="VAS465" s="156"/>
      <c r="VAT465" s="156"/>
      <c r="VAU465" s="156"/>
      <c r="VAV465" s="156"/>
      <c r="VAW465" s="156"/>
      <c r="VAX465" s="156"/>
      <c r="VAY465" s="156"/>
      <c r="VAZ465" s="156"/>
      <c r="VBA465" s="156"/>
      <c r="VBB465" s="156"/>
      <c r="VBC465" s="156"/>
      <c r="VBD465" s="156"/>
      <c r="VBE465" s="156"/>
      <c r="VBF465" s="156"/>
      <c r="VBG465" s="156"/>
      <c r="VBH465" s="156"/>
      <c r="VBI465" s="156"/>
      <c r="VBJ465" s="156"/>
      <c r="VBK465" s="156"/>
      <c r="VBL465" s="156"/>
      <c r="VBM465" s="156"/>
      <c r="VBN465" s="156"/>
      <c r="VBO465" s="156"/>
      <c r="VBP465" s="156"/>
      <c r="VBQ465" s="156"/>
      <c r="VBR465" s="156"/>
      <c r="VBS465" s="156"/>
      <c r="VBT465" s="156"/>
      <c r="VBU465" s="156"/>
      <c r="VBV465" s="156"/>
      <c r="VBW465" s="156"/>
      <c r="VBX465" s="156"/>
      <c r="VBY465" s="156"/>
      <c r="VBZ465" s="156"/>
      <c r="VCA465" s="156"/>
      <c r="VCB465" s="156"/>
      <c r="VCC465" s="156"/>
      <c r="VCD465" s="156"/>
      <c r="VCE465" s="156"/>
      <c r="VCF465" s="156"/>
      <c r="VCG465" s="156"/>
      <c r="VCH465" s="156"/>
      <c r="VCI465" s="156"/>
      <c r="VCJ465" s="156"/>
      <c r="VCK465" s="156"/>
      <c r="VCL465" s="156"/>
      <c r="VCM465" s="156"/>
      <c r="VCN465" s="156"/>
      <c r="VCO465" s="156"/>
      <c r="VCP465" s="156"/>
      <c r="VCQ465" s="156"/>
      <c r="VCR465" s="156"/>
      <c r="VCS465" s="156"/>
      <c r="VCT465" s="156"/>
      <c r="VCU465" s="156"/>
      <c r="VCV465" s="156"/>
      <c r="VCW465" s="156"/>
      <c r="VCX465" s="156"/>
      <c r="VCY465" s="156"/>
      <c r="VCZ465" s="156"/>
      <c r="VDA465" s="156"/>
      <c r="VDB465" s="156"/>
      <c r="VDC465" s="156"/>
      <c r="VDD465" s="156"/>
      <c r="VDE465" s="156"/>
      <c r="VDF465" s="156"/>
      <c r="VDG465" s="156"/>
      <c r="VDH465" s="156"/>
      <c r="VDI465" s="156"/>
      <c r="VDJ465" s="156"/>
      <c r="VDK465" s="156"/>
      <c r="VDL465" s="156"/>
      <c r="VDM465" s="156"/>
      <c r="VDN465" s="156"/>
      <c r="VDO465" s="156"/>
      <c r="VDP465" s="156"/>
      <c r="VDQ465" s="156"/>
      <c r="VDR465" s="156"/>
      <c r="VDS465" s="156"/>
      <c r="VDT465" s="156"/>
      <c r="VDU465" s="156"/>
      <c r="VDV465" s="156"/>
      <c r="VDW465" s="156"/>
      <c r="VDX465" s="156"/>
      <c r="VDY465" s="156"/>
      <c r="VDZ465" s="156"/>
      <c r="VEA465" s="156"/>
      <c r="VEB465" s="156"/>
      <c r="VEC465" s="156"/>
      <c r="VED465" s="156"/>
      <c r="VEE465" s="156"/>
      <c r="VEF465" s="156"/>
      <c r="VEG465" s="156"/>
      <c r="VEH465" s="156"/>
      <c r="VEI465" s="156"/>
      <c r="VEJ465" s="156"/>
      <c r="VEK465" s="156"/>
      <c r="VEL465" s="156"/>
      <c r="VEM465" s="156"/>
      <c r="VEN465" s="156"/>
      <c r="VEO465" s="156"/>
      <c r="VEP465" s="156"/>
      <c r="VEQ465" s="156"/>
      <c r="VER465" s="156"/>
      <c r="VES465" s="156"/>
      <c r="VET465" s="156"/>
      <c r="VEU465" s="156"/>
      <c r="VEV465" s="156"/>
      <c r="VEW465" s="156"/>
      <c r="VEX465" s="156"/>
      <c r="VEY465" s="156"/>
      <c r="VEZ465" s="156"/>
      <c r="VFA465" s="156"/>
      <c r="VFB465" s="156"/>
      <c r="VFC465" s="156"/>
      <c r="VFD465" s="156"/>
      <c r="VFE465" s="156"/>
      <c r="VFF465" s="156"/>
      <c r="VFG465" s="156"/>
      <c r="VFH465" s="156"/>
      <c r="VFI465" s="156"/>
      <c r="VFJ465" s="156"/>
      <c r="VFK465" s="156"/>
      <c r="VFL465" s="156"/>
      <c r="VFM465" s="156"/>
      <c r="VFN465" s="156"/>
      <c r="VFO465" s="156"/>
      <c r="VFP465" s="156"/>
      <c r="VFQ465" s="156"/>
      <c r="VFR465" s="156"/>
      <c r="VFS465" s="156"/>
      <c r="VFT465" s="156"/>
      <c r="VFU465" s="156"/>
      <c r="VFV465" s="156"/>
      <c r="VFW465" s="156"/>
      <c r="VFX465" s="156"/>
      <c r="VFY465" s="156"/>
      <c r="VFZ465" s="156"/>
      <c r="VGA465" s="156"/>
      <c r="VGB465" s="156"/>
      <c r="VGC465" s="156"/>
      <c r="VGD465" s="156"/>
      <c r="VGE465" s="156"/>
      <c r="VGF465" s="156"/>
      <c r="VGG465" s="156"/>
      <c r="VGH465" s="156"/>
      <c r="VGI465" s="156"/>
      <c r="VGJ465" s="156"/>
      <c r="VGK465" s="156"/>
      <c r="VGL465" s="156"/>
      <c r="VGM465" s="156"/>
      <c r="VGN465" s="156"/>
      <c r="VGO465" s="156"/>
      <c r="VGP465" s="156"/>
      <c r="VGQ465" s="156"/>
      <c r="VGR465" s="156"/>
      <c r="VGS465" s="156"/>
      <c r="VGT465" s="156"/>
      <c r="VGU465" s="156"/>
      <c r="VGV465" s="156"/>
      <c r="VGW465" s="156"/>
      <c r="VGX465" s="156"/>
      <c r="VGY465" s="156"/>
      <c r="VGZ465" s="156"/>
      <c r="VHA465" s="156"/>
      <c r="VHB465" s="156"/>
      <c r="VHC465" s="156"/>
      <c r="VHD465" s="156"/>
      <c r="VHE465" s="156"/>
      <c r="VHF465" s="156"/>
      <c r="VHG465" s="156"/>
      <c r="VHH465" s="156"/>
      <c r="VHI465" s="156"/>
      <c r="VHJ465" s="156"/>
      <c r="VHK465" s="156"/>
      <c r="VHL465" s="156"/>
      <c r="VHM465" s="156"/>
      <c r="VHN465" s="156"/>
      <c r="VHO465" s="156"/>
      <c r="VHP465" s="156"/>
      <c r="VHQ465" s="156"/>
      <c r="VHR465" s="156"/>
      <c r="VHS465" s="156"/>
      <c r="VHT465" s="156"/>
      <c r="VHU465" s="156"/>
      <c r="VHV465" s="156"/>
      <c r="VHW465" s="156"/>
      <c r="VHX465" s="156"/>
      <c r="VHY465" s="156"/>
      <c r="VHZ465" s="156"/>
      <c r="VIA465" s="156"/>
      <c r="VIB465" s="156"/>
      <c r="VIC465" s="156"/>
      <c r="VID465" s="156"/>
      <c r="VIE465" s="156"/>
      <c r="VIF465" s="156"/>
      <c r="VIG465" s="156"/>
      <c r="VIH465" s="156"/>
      <c r="VII465" s="156"/>
      <c r="VIJ465" s="156"/>
      <c r="VIK465" s="156"/>
      <c r="VIL465" s="156"/>
      <c r="VIM465" s="156"/>
      <c r="VIN465" s="156"/>
      <c r="VIO465" s="156"/>
      <c r="VIP465" s="156"/>
      <c r="VIQ465" s="156"/>
      <c r="VIR465" s="156"/>
      <c r="VIS465" s="156"/>
      <c r="VIT465" s="156"/>
      <c r="VIU465" s="156"/>
      <c r="VIV465" s="156"/>
      <c r="VIW465" s="156"/>
      <c r="VIX465" s="156"/>
      <c r="VIY465" s="156"/>
      <c r="VIZ465" s="156"/>
      <c r="VJA465" s="156"/>
      <c r="VJB465" s="156"/>
      <c r="VJC465" s="156"/>
      <c r="VJD465" s="156"/>
      <c r="VJE465" s="156"/>
      <c r="VJF465" s="156"/>
      <c r="VJG465" s="156"/>
      <c r="VJH465" s="156"/>
      <c r="VJI465" s="156"/>
      <c r="VJJ465" s="156"/>
      <c r="VJK465" s="156"/>
      <c r="VJL465" s="156"/>
      <c r="VJM465" s="156"/>
      <c r="VJN465" s="156"/>
      <c r="VJO465" s="156"/>
      <c r="VJP465" s="156"/>
      <c r="VJQ465" s="156"/>
      <c r="VJR465" s="156"/>
      <c r="VJS465" s="156"/>
      <c r="VJT465" s="156"/>
      <c r="VJU465" s="156"/>
      <c r="VJV465" s="156"/>
      <c r="VJW465" s="156"/>
      <c r="VJX465" s="156"/>
      <c r="VJY465" s="156"/>
      <c r="VJZ465" s="156"/>
      <c r="VKA465" s="156"/>
      <c r="VKB465" s="156"/>
      <c r="VKC465" s="156"/>
      <c r="VKD465" s="156"/>
      <c r="VKE465" s="156"/>
      <c r="VKF465" s="156"/>
      <c r="VKG465" s="156"/>
      <c r="VKH465" s="156"/>
      <c r="VKI465" s="156"/>
      <c r="VKJ465" s="156"/>
      <c r="VKK465" s="156"/>
      <c r="VKL465" s="156"/>
      <c r="VKM465" s="156"/>
      <c r="VKN465" s="156"/>
      <c r="VKO465" s="156"/>
      <c r="VKP465" s="156"/>
      <c r="VKQ465" s="156"/>
      <c r="VKR465" s="156"/>
      <c r="VKS465" s="156"/>
      <c r="VKT465" s="156"/>
      <c r="VKU465" s="156"/>
      <c r="VKV465" s="156"/>
      <c r="VKW465" s="156"/>
      <c r="VKX465" s="156"/>
      <c r="VKY465" s="156"/>
      <c r="VKZ465" s="156"/>
      <c r="VLA465" s="156"/>
      <c r="VLB465" s="156"/>
      <c r="VLC465" s="156"/>
      <c r="VLD465" s="156"/>
      <c r="VLE465" s="156"/>
      <c r="VLF465" s="156"/>
      <c r="VLG465" s="156"/>
      <c r="VLH465" s="156"/>
      <c r="VLI465" s="156"/>
      <c r="VLJ465" s="156"/>
      <c r="VLK465" s="156"/>
      <c r="VLL465" s="156"/>
      <c r="VLM465" s="156"/>
      <c r="VLN465" s="156"/>
      <c r="VLO465" s="156"/>
      <c r="VLP465" s="156"/>
      <c r="VLQ465" s="156"/>
      <c r="VLR465" s="156"/>
      <c r="VLS465" s="156"/>
      <c r="VLT465" s="156"/>
      <c r="VLU465" s="156"/>
      <c r="VLV465" s="156"/>
      <c r="VLW465" s="156"/>
      <c r="VLX465" s="156"/>
      <c r="VLY465" s="156"/>
      <c r="VLZ465" s="156"/>
      <c r="VMA465" s="156"/>
      <c r="VMB465" s="156"/>
      <c r="VMC465" s="156"/>
      <c r="VMD465" s="156"/>
      <c r="VME465" s="156"/>
      <c r="VMF465" s="156"/>
      <c r="VMG465" s="156"/>
      <c r="VMH465" s="156"/>
      <c r="VMI465" s="156"/>
      <c r="VMJ465" s="156"/>
      <c r="VMK465" s="156"/>
      <c r="VML465" s="156"/>
      <c r="VMM465" s="156"/>
      <c r="VMN465" s="156"/>
      <c r="VMO465" s="156"/>
      <c r="VMP465" s="156"/>
      <c r="VMQ465" s="156"/>
      <c r="VMR465" s="156"/>
      <c r="VMS465" s="156"/>
      <c r="VMT465" s="156"/>
      <c r="VMU465" s="156"/>
      <c r="VMV465" s="156"/>
      <c r="VMW465" s="156"/>
      <c r="VMX465" s="156"/>
      <c r="VMY465" s="156"/>
      <c r="VMZ465" s="156"/>
      <c r="VNA465" s="156"/>
      <c r="VNB465" s="156"/>
      <c r="VNC465" s="156"/>
      <c r="VND465" s="156"/>
      <c r="VNE465" s="156"/>
      <c r="VNF465" s="156"/>
      <c r="VNG465" s="156"/>
      <c r="VNH465" s="156"/>
      <c r="VNI465" s="156"/>
      <c r="VNJ465" s="156"/>
      <c r="VNK465" s="156"/>
      <c r="VNL465" s="156"/>
      <c r="VNM465" s="156"/>
      <c r="VNN465" s="156"/>
      <c r="VNO465" s="156"/>
      <c r="VNP465" s="156"/>
      <c r="VNQ465" s="156"/>
      <c r="VNR465" s="156"/>
      <c r="VNS465" s="156"/>
      <c r="VNT465" s="156"/>
      <c r="VNU465" s="156"/>
      <c r="VNV465" s="156"/>
      <c r="VNW465" s="156"/>
      <c r="VNX465" s="156"/>
      <c r="VNY465" s="156"/>
      <c r="VNZ465" s="156"/>
      <c r="VOA465" s="156"/>
      <c r="VOB465" s="156"/>
      <c r="VOC465" s="156"/>
      <c r="VOD465" s="156"/>
      <c r="VOE465" s="156"/>
      <c r="VOF465" s="156"/>
      <c r="VOG465" s="156"/>
      <c r="VOH465" s="156"/>
      <c r="VOI465" s="156"/>
      <c r="VOJ465" s="156"/>
      <c r="VOK465" s="156"/>
      <c r="VOL465" s="156"/>
      <c r="VOM465" s="156"/>
      <c r="VON465" s="156"/>
      <c r="VOO465" s="156"/>
      <c r="VOP465" s="156"/>
      <c r="VOQ465" s="156"/>
      <c r="VOR465" s="156"/>
      <c r="VOS465" s="156"/>
      <c r="VOT465" s="156"/>
      <c r="VOU465" s="156"/>
      <c r="VOV465" s="156"/>
      <c r="VOW465" s="156"/>
      <c r="VOX465" s="156"/>
      <c r="VOY465" s="156"/>
      <c r="VOZ465" s="156"/>
      <c r="VPA465" s="156"/>
      <c r="VPB465" s="156"/>
      <c r="VPC465" s="156"/>
      <c r="VPD465" s="156"/>
      <c r="VPE465" s="156"/>
      <c r="VPF465" s="156"/>
      <c r="VPG465" s="156"/>
      <c r="VPH465" s="156"/>
      <c r="VPI465" s="156"/>
      <c r="VPJ465" s="156"/>
      <c r="VPK465" s="156"/>
      <c r="VPL465" s="156"/>
      <c r="VPM465" s="156"/>
      <c r="VPN465" s="156"/>
      <c r="VPO465" s="156"/>
      <c r="VPP465" s="156"/>
      <c r="VPQ465" s="156"/>
      <c r="VPR465" s="156"/>
      <c r="VPS465" s="156"/>
      <c r="VPT465" s="156"/>
      <c r="VPU465" s="156"/>
      <c r="VPV465" s="156"/>
      <c r="VPW465" s="156"/>
      <c r="VPX465" s="156"/>
      <c r="VPY465" s="156"/>
      <c r="VPZ465" s="156"/>
      <c r="VQA465" s="156"/>
      <c r="VQB465" s="156"/>
      <c r="VQC465" s="156"/>
      <c r="VQD465" s="156"/>
      <c r="VQE465" s="156"/>
      <c r="VQF465" s="156"/>
      <c r="VQG465" s="156"/>
      <c r="VQH465" s="156"/>
      <c r="VQI465" s="156"/>
      <c r="VQJ465" s="156"/>
      <c r="VQK465" s="156"/>
      <c r="VQL465" s="156"/>
      <c r="VQM465" s="156"/>
      <c r="VQN465" s="156"/>
      <c r="VQO465" s="156"/>
      <c r="VQP465" s="156"/>
      <c r="VQQ465" s="156"/>
      <c r="VQR465" s="156"/>
      <c r="VQS465" s="156"/>
      <c r="VQT465" s="156"/>
      <c r="VQU465" s="156"/>
      <c r="VQV465" s="156"/>
      <c r="VQW465" s="156"/>
      <c r="VQX465" s="156"/>
      <c r="VQY465" s="156"/>
      <c r="VQZ465" s="156"/>
      <c r="VRA465" s="156"/>
      <c r="VRB465" s="156"/>
      <c r="VRC465" s="156"/>
      <c r="VRD465" s="156"/>
      <c r="VRE465" s="156"/>
      <c r="VRF465" s="156"/>
      <c r="VRG465" s="156"/>
      <c r="VRH465" s="156"/>
      <c r="VRI465" s="156"/>
      <c r="VRJ465" s="156"/>
      <c r="VRK465" s="156"/>
      <c r="VRL465" s="156"/>
      <c r="VRM465" s="156"/>
      <c r="VRN465" s="156"/>
      <c r="VRO465" s="156"/>
      <c r="VRP465" s="156"/>
      <c r="VRQ465" s="156"/>
      <c r="VRR465" s="156"/>
      <c r="VRS465" s="156"/>
      <c r="VRT465" s="156"/>
      <c r="VRU465" s="156"/>
      <c r="VRV465" s="156"/>
      <c r="VRW465" s="156"/>
      <c r="VRX465" s="156"/>
      <c r="VRY465" s="156"/>
      <c r="VRZ465" s="156"/>
      <c r="VSA465" s="156"/>
      <c r="VSB465" s="156"/>
      <c r="VSC465" s="156"/>
      <c r="VSD465" s="156"/>
      <c r="VSE465" s="156"/>
      <c r="VSF465" s="156"/>
      <c r="VSG465" s="156"/>
      <c r="VSH465" s="156"/>
      <c r="VSI465" s="156"/>
      <c r="VSJ465" s="156"/>
      <c r="VSK465" s="156"/>
      <c r="VSL465" s="156"/>
      <c r="VSM465" s="156"/>
      <c r="VSN465" s="156"/>
      <c r="VSO465" s="156"/>
      <c r="VSP465" s="156"/>
      <c r="VSQ465" s="156"/>
      <c r="VSR465" s="156"/>
      <c r="VSS465" s="156"/>
      <c r="VST465" s="156"/>
      <c r="VSU465" s="156"/>
      <c r="VSV465" s="156"/>
      <c r="VSW465" s="156"/>
      <c r="VSX465" s="156"/>
      <c r="VSY465" s="156"/>
      <c r="VSZ465" s="156"/>
      <c r="VTA465" s="156"/>
      <c r="VTB465" s="156"/>
      <c r="VTC465" s="156"/>
      <c r="VTD465" s="156"/>
      <c r="VTE465" s="156"/>
      <c r="VTF465" s="156"/>
      <c r="VTG465" s="156"/>
      <c r="VTH465" s="156"/>
      <c r="VTI465" s="156"/>
      <c r="VTJ465" s="156"/>
      <c r="VTK465" s="156"/>
      <c r="VTL465" s="156"/>
      <c r="VTM465" s="156"/>
      <c r="VTN465" s="156"/>
      <c r="VTO465" s="156"/>
      <c r="VTP465" s="156"/>
      <c r="VTQ465" s="156"/>
      <c r="VTR465" s="156"/>
      <c r="VTS465" s="156"/>
      <c r="VTT465" s="156"/>
      <c r="VTU465" s="156"/>
      <c r="VTV465" s="156"/>
      <c r="VTW465" s="156"/>
      <c r="VTX465" s="156"/>
      <c r="VTY465" s="156"/>
      <c r="VTZ465" s="156"/>
      <c r="VUA465" s="156"/>
      <c r="VUB465" s="156"/>
      <c r="VUC465" s="156"/>
      <c r="VUD465" s="156"/>
      <c r="VUE465" s="156"/>
      <c r="VUF465" s="156"/>
      <c r="VUG465" s="156"/>
      <c r="VUH465" s="156"/>
      <c r="VUI465" s="156"/>
      <c r="VUJ465" s="156"/>
      <c r="VUK465" s="156"/>
      <c r="VUL465" s="156"/>
      <c r="VUM465" s="156"/>
      <c r="VUN465" s="156"/>
      <c r="VUO465" s="156"/>
      <c r="VUP465" s="156"/>
      <c r="VUQ465" s="156"/>
      <c r="VUR465" s="156"/>
      <c r="VUS465" s="156"/>
      <c r="VUT465" s="156"/>
      <c r="VUU465" s="156"/>
      <c r="VUV465" s="156"/>
      <c r="VUW465" s="156"/>
      <c r="VUX465" s="156"/>
      <c r="VUY465" s="156"/>
      <c r="VUZ465" s="156"/>
      <c r="VVA465" s="156"/>
      <c r="VVB465" s="156"/>
      <c r="VVC465" s="156"/>
      <c r="VVD465" s="156"/>
      <c r="VVE465" s="156"/>
      <c r="VVF465" s="156"/>
      <c r="VVG465" s="156"/>
      <c r="VVH465" s="156"/>
      <c r="VVI465" s="156"/>
      <c r="VVJ465" s="156"/>
      <c r="VVK465" s="156"/>
      <c r="VVL465" s="156"/>
      <c r="VVM465" s="156"/>
      <c r="VVN465" s="156"/>
      <c r="VVO465" s="156"/>
      <c r="VVP465" s="156"/>
      <c r="VVQ465" s="156"/>
      <c r="VVR465" s="156"/>
      <c r="VVS465" s="156"/>
      <c r="VVT465" s="156"/>
      <c r="VVU465" s="156"/>
      <c r="VVV465" s="156"/>
      <c r="VVW465" s="156"/>
      <c r="VVX465" s="156"/>
      <c r="VVY465" s="156"/>
      <c r="VVZ465" s="156"/>
      <c r="VWA465" s="156"/>
      <c r="VWB465" s="156"/>
      <c r="VWC465" s="156"/>
      <c r="VWD465" s="156"/>
      <c r="VWE465" s="156"/>
      <c r="VWF465" s="156"/>
      <c r="VWG465" s="156"/>
      <c r="VWH465" s="156"/>
      <c r="VWI465" s="156"/>
      <c r="VWJ465" s="156"/>
      <c r="VWK465" s="156"/>
      <c r="VWL465" s="156"/>
      <c r="VWM465" s="156"/>
      <c r="VWN465" s="156"/>
      <c r="VWO465" s="156"/>
      <c r="VWP465" s="156"/>
      <c r="VWQ465" s="156"/>
      <c r="VWR465" s="156"/>
      <c r="VWS465" s="156"/>
      <c r="VWT465" s="156"/>
      <c r="VWU465" s="156"/>
      <c r="VWV465" s="156"/>
      <c r="VWW465" s="156"/>
      <c r="VWX465" s="156"/>
      <c r="VWY465" s="156"/>
      <c r="VWZ465" s="156"/>
      <c r="VXA465" s="156"/>
      <c r="VXB465" s="156"/>
      <c r="VXC465" s="156"/>
      <c r="VXD465" s="156"/>
      <c r="VXE465" s="156"/>
      <c r="VXF465" s="156"/>
      <c r="VXG465" s="156"/>
      <c r="VXH465" s="156"/>
      <c r="VXI465" s="156"/>
      <c r="VXJ465" s="156"/>
      <c r="VXK465" s="156"/>
      <c r="VXL465" s="156"/>
      <c r="VXM465" s="156"/>
      <c r="VXN465" s="156"/>
      <c r="VXO465" s="156"/>
      <c r="VXP465" s="156"/>
      <c r="VXQ465" s="156"/>
      <c r="VXR465" s="156"/>
      <c r="VXS465" s="156"/>
      <c r="VXT465" s="156"/>
      <c r="VXU465" s="156"/>
      <c r="VXV465" s="156"/>
      <c r="VXW465" s="156"/>
      <c r="VXX465" s="156"/>
      <c r="VXY465" s="156"/>
      <c r="VXZ465" s="156"/>
      <c r="VYA465" s="156"/>
      <c r="VYB465" s="156"/>
      <c r="VYC465" s="156"/>
      <c r="VYD465" s="156"/>
      <c r="VYE465" s="156"/>
      <c r="VYF465" s="156"/>
      <c r="VYG465" s="156"/>
      <c r="VYH465" s="156"/>
      <c r="VYI465" s="156"/>
      <c r="VYJ465" s="156"/>
      <c r="VYK465" s="156"/>
      <c r="VYL465" s="156"/>
      <c r="VYM465" s="156"/>
      <c r="VYN465" s="156"/>
      <c r="VYO465" s="156"/>
      <c r="VYP465" s="156"/>
      <c r="VYQ465" s="156"/>
      <c r="VYR465" s="156"/>
      <c r="VYS465" s="156"/>
      <c r="VYT465" s="156"/>
      <c r="VYU465" s="156"/>
      <c r="VYV465" s="156"/>
      <c r="VYW465" s="156"/>
      <c r="VYX465" s="156"/>
      <c r="VYY465" s="156"/>
      <c r="VYZ465" s="156"/>
      <c r="VZA465" s="156"/>
      <c r="VZB465" s="156"/>
      <c r="VZC465" s="156"/>
      <c r="VZD465" s="156"/>
      <c r="VZE465" s="156"/>
      <c r="VZF465" s="156"/>
      <c r="VZG465" s="156"/>
      <c r="VZH465" s="156"/>
      <c r="VZI465" s="156"/>
      <c r="VZJ465" s="156"/>
      <c r="VZK465" s="156"/>
      <c r="VZL465" s="156"/>
      <c r="VZM465" s="156"/>
      <c r="VZN465" s="156"/>
      <c r="VZO465" s="156"/>
      <c r="VZP465" s="156"/>
      <c r="VZQ465" s="156"/>
      <c r="VZR465" s="156"/>
      <c r="VZS465" s="156"/>
      <c r="VZT465" s="156"/>
      <c r="VZU465" s="156"/>
      <c r="VZV465" s="156"/>
      <c r="VZW465" s="156"/>
      <c r="VZX465" s="156"/>
      <c r="VZY465" s="156"/>
      <c r="VZZ465" s="156"/>
      <c r="WAA465" s="156"/>
      <c r="WAB465" s="156"/>
      <c r="WAC465" s="156"/>
      <c r="WAD465" s="156"/>
      <c r="WAE465" s="156"/>
      <c r="WAF465" s="156"/>
      <c r="WAG465" s="156"/>
      <c r="WAH465" s="156"/>
      <c r="WAI465" s="156"/>
      <c r="WAJ465" s="156"/>
      <c r="WAK465" s="156"/>
      <c r="WAL465" s="156"/>
      <c r="WAM465" s="156"/>
      <c r="WAN465" s="156"/>
      <c r="WAO465" s="156"/>
      <c r="WAP465" s="156"/>
      <c r="WAQ465" s="156"/>
      <c r="WAR465" s="156"/>
      <c r="WAS465" s="156"/>
      <c r="WAT465" s="156"/>
      <c r="WAU465" s="156"/>
      <c r="WAV465" s="156"/>
      <c r="WAW465" s="156"/>
      <c r="WAX465" s="156"/>
      <c r="WAY465" s="156"/>
      <c r="WAZ465" s="156"/>
      <c r="WBA465" s="156"/>
      <c r="WBB465" s="156"/>
      <c r="WBC465" s="156"/>
      <c r="WBD465" s="156"/>
      <c r="WBE465" s="156"/>
      <c r="WBF465" s="156"/>
      <c r="WBG465" s="156"/>
      <c r="WBH465" s="156"/>
      <c r="WBI465" s="156"/>
      <c r="WBJ465" s="156"/>
      <c r="WBK465" s="156"/>
      <c r="WBL465" s="156"/>
      <c r="WBM465" s="156"/>
      <c r="WBN465" s="156"/>
      <c r="WBO465" s="156"/>
      <c r="WBP465" s="156"/>
      <c r="WBQ465" s="156"/>
      <c r="WBR465" s="156"/>
      <c r="WBS465" s="156"/>
      <c r="WBT465" s="156"/>
      <c r="WBU465" s="156"/>
      <c r="WBV465" s="156"/>
      <c r="WBW465" s="156"/>
      <c r="WBX465" s="156"/>
      <c r="WBY465" s="156"/>
      <c r="WBZ465" s="156"/>
      <c r="WCA465" s="156"/>
      <c r="WCB465" s="156"/>
      <c r="WCC465" s="156"/>
      <c r="WCD465" s="156"/>
      <c r="WCE465" s="156"/>
      <c r="WCF465" s="156"/>
      <c r="WCG465" s="156"/>
      <c r="WCH465" s="156"/>
      <c r="WCI465" s="156"/>
      <c r="WCJ465" s="156"/>
      <c r="WCK465" s="156"/>
      <c r="WCL465" s="156"/>
      <c r="WCM465" s="156"/>
      <c r="WCN465" s="156"/>
      <c r="WCO465" s="156"/>
      <c r="WCP465" s="156"/>
      <c r="WCQ465" s="156"/>
      <c r="WCR465" s="156"/>
      <c r="WCS465" s="156"/>
      <c r="WCT465" s="156"/>
      <c r="WCU465" s="156"/>
      <c r="WCV465" s="156"/>
      <c r="WCW465" s="156"/>
      <c r="WCX465" s="156"/>
      <c r="WCY465" s="156"/>
      <c r="WCZ465" s="156"/>
      <c r="WDA465" s="156"/>
      <c r="WDB465" s="156"/>
      <c r="WDC465" s="156"/>
      <c r="WDD465" s="156"/>
      <c r="WDE465" s="156"/>
      <c r="WDF465" s="156"/>
      <c r="WDG465" s="156"/>
      <c r="WDH465" s="156"/>
      <c r="WDI465" s="156"/>
      <c r="WDJ465" s="156"/>
      <c r="WDK465" s="156"/>
      <c r="WDL465" s="156"/>
      <c r="WDM465" s="156"/>
      <c r="WDN465" s="156"/>
      <c r="WDO465" s="156"/>
      <c r="WDP465" s="156"/>
      <c r="WDQ465" s="156"/>
      <c r="WDR465" s="156"/>
      <c r="WDS465" s="156"/>
      <c r="WDT465" s="156"/>
      <c r="WDU465" s="156"/>
      <c r="WDV465" s="156"/>
      <c r="WDW465" s="156"/>
      <c r="WDX465" s="156"/>
      <c r="WDY465" s="156"/>
      <c r="WDZ465" s="156"/>
      <c r="WEA465" s="156"/>
      <c r="WEB465" s="156"/>
      <c r="WEC465" s="156"/>
      <c r="WED465" s="156"/>
      <c r="WEE465" s="156"/>
      <c r="WEF465" s="156"/>
      <c r="WEG465" s="156"/>
      <c r="WEH465" s="156"/>
      <c r="WEI465" s="156"/>
      <c r="WEJ465" s="156"/>
      <c r="WEK465" s="156"/>
      <c r="WEL465" s="156"/>
      <c r="WEM465" s="156"/>
      <c r="WEN465" s="156"/>
      <c r="WEO465" s="156"/>
      <c r="WEP465" s="156"/>
      <c r="WEQ465" s="156"/>
      <c r="WER465" s="156"/>
      <c r="WES465" s="156"/>
      <c r="WET465" s="156"/>
      <c r="WEU465" s="156"/>
      <c r="WEV465" s="156"/>
      <c r="WEW465" s="156"/>
      <c r="WEX465" s="156"/>
      <c r="WEY465" s="156"/>
      <c r="WEZ465" s="156"/>
      <c r="WFA465" s="156"/>
      <c r="WFB465" s="156"/>
      <c r="WFC465" s="156"/>
      <c r="WFD465" s="156"/>
      <c r="WFE465" s="156"/>
      <c r="WFF465" s="156"/>
      <c r="WFG465" s="156"/>
      <c r="WFH465" s="156"/>
      <c r="WFI465" s="156"/>
      <c r="WFJ465" s="156"/>
      <c r="WFK465" s="156"/>
      <c r="WFL465" s="156"/>
      <c r="WFM465" s="156"/>
      <c r="WFN465" s="156"/>
      <c r="WFO465" s="156"/>
      <c r="WFP465" s="156"/>
      <c r="WFQ465" s="156"/>
      <c r="WFR465" s="156"/>
      <c r="WFS465" s="156"/>
      <c r="WFT465" s="156"/>
      <c r="WFU465" s="156"/>
      <c r="WFV465" s="156"/>
      <c r="WFW465" s="156"/>
      <c r="WFX465" s="156"/>
      <c r="WFY465" s="156"/>
      <c r="WFZ465" s="156"/>
      <c r="WGA465" s="156"/>
      <c r="WGB465" s="156"/>
      <c r="WGC465" s="156"/>
      <c r="WGD465" s="156"/>
      <c r="WGE465" s="156"/>
      <c r="WGF465" s="156"/>
      <c r="WGG465" s="156"/>
      <c r="WGH465" s="156"/>
      <c r="WGI465" s="156"/>
      <c r="WGJ465" s="156"/>
      <c r="WGK465" s="156"/>
      <c r="WGL465" s="156"/>
      <c r="WGM465" s="156"/>
      <c r="WGN465" s="156"/>
      <c r="WGO465" s="156"/>
      <c r="WGP465" s="156"/>
      <c r="WGQ465" s="156"/>
      <c r="WGR465" s="156"/>
      <c r="WGS465" s="156"/>
      <c r="WGT465" s="156"/>
      <c r="WGU465" s="156"/>
      <c r="WGV465" s="156"/>
      <c r="WGW465" s="156"/>
      <c r="WGX465" s="156"/>
      <c r="WGY465" s="156"/>
      <c r="WGZ465" s="156"/>
      <c r="WHA465" s="156"/>
      <c r="WHB465" s="156"/>
      <c r="WHC465" s="156"/>
      <c r="WHD465" s="156"/>
      <c r="WHE465" s="156"/>
      <c r="WHF465" s="156"/>
      <c r="WHG465" s="156"/>
      <c r="WHH465" s="156"/>
      <c r="WHI465" s="156"/>
      <c r="WHJ465" s="156"/>
      <c r="WHK465" s="156"/>
      <c r="WHL465" s="156"/>
      <c r="WHM465" s="156"/>
      <c r="WHN465" s="156"/>
      <c r="WHO465" s="156"/>
      <c r="WHP465" s="156"/>
      <c r="WHQ465" s="156"/>
      <c r="WHR465" s="156"/>
      <c r="WHS465" s="156"/>
      <c r="WHT465" s="156"/>
      <c r="WHU465" s="156"/>
      <c r="WHV465" s="156"/>
      <c r="WHW465" s="156"/>
      <c r="WHX465" s="156"/>
      <c r="WHY465" s="156"/>
      <c r="WHZ465" s="156"/>
      <c r="WIA465" s="156"/>
      <c r="WIB465" s="156"/>
      <c r="WIC465" s="156"/>
      <c r="WID465" s="156"/>
      <c r="WIE465" s="156"/>
      <c r="WIF465" s="156"/>
      <c r="WIG465" s="156"/>
      <c r="WIH465" s="156"/>
      <c r="WII465" s="156"/>
      <c r="WIJ465" s="156"/>
      <c r="WIK465" s="156"/>
      <c r="WIL465" s="156"/>
      <c r="WIM465" s="156"/>
      <c r="WIN465" s="156"/>
      <c r="WIO465" s="156"/>
      <c r="WIP465" s="156"/>
      <c r="WIQ465" s="156"/>
      <c r="WIR465" s="156"/>
      <c r="WIS465" s="156"/>
      <c r="WIT465" s="156"/>
      <c r="WIU465" s="156"/>
      <c r="WIV465" s="156"/>
      <c r="WIW465" s="156"/>
      <c r="WIX465" s="156"/>
      <c r="WIY465" s="156"/>
      <c r="WIZ465" s="156"/>
      <c r="WJA465" s="156"/>
      <c r="WJB465" s="156"/>
      <c r="WJC465" s="156"/>
      <c r="WJD465" s="156"/>
      <c r="WJE465" s="156"/>
      <c r="WJF465" s="156"/>
      <c r="WJG465" s="156"/>
      <c r="WJH465" s="156"/>
      <c r="WJI465" s="156"/>
      <c r="WJJ465" s="156"/>
      <c r="WJK465" s="156"/>
      <c r="WJL465" s="156"/>
      <c r="WJM465" s="156"/>
      <c r="WJN465" s="156"/>
      <c r="WJO465" s="156"/>
      <c r="WJP465" s="156"/>
      <c r="WJQ465" s="156"/>
      <c r="WJR465" s="156"/>
      <c r="WJS465" s="156"/>
      <c r="WJT465" s="156"/>
      <c r="WJU465" s="156"/>
      <c r="WJV465" s="156"/>
      <c r="WJW465" s="156"/>
      <c r="WJX465" s="156"/>
      <c r="WJY465" s="156"/>
      <c r="WJZ465" s="156"/>
      <c r="WKA465" s="156"/>
      <c r="WKB465" s="156"/>
      <c r="WKC465" s="156"/>
      <c r="WKD465" s="156"/>
      <c r="WKE465" s="156"/>
      <c r="WKF465" s="156"/>
      <c r="WKG465" s="156"/>
      <c r="WKH465" s="156"/>
      <c r="WKI465" s="156"/>
      <c r="WKJ465" s="156"/>
      <c r="WKK465" s="156"/>
      <c r="WKL465" s="156"/>
      <c r="WKM465" s="156"/>
      <c r="WKN465" s="156"/>
      <c r="WKO465" s="156"/>
      <c r="WKP465" s="156"/>
      <c r="WKQ465" s="156"/>
      <c r="WKR465" s="156"/>
      <c r="WKS465" s="156"/>
      <c r="WKT465" s="156"/>
      <c r="WKU465" s="156"/>
      <c r="WKV465" s="156"/>
      <c r="WKW465" s="156"/>
      <c r="WKX465" s="156"/>
      <c r="WKY465" s="156"/>
      <c r="WKZ465" s="156"/>
      <c r="WLA465" s="156"/>
      <c r="WLB465" s="156"/>
      <c r="WLC465" s="156"/>
      <c r="WLD465" s="156"/>
      <c r="WLE465" s="156"/>
      <c r="WLF465" s="156"/>
      <c r="WLG465" s="156"/>
      <c r="WLH465" s="156"/>
      <c r="WLI465" s="156"/>
      <c r="WLJ465" s="156"/>
      <c r="WLK465" s="156"/>
      <c r="WLL465" s="156"/>
      <c r="WLM465" s="156"/>
      <c r="WLN465" s="156"/>
      <c r="WLO465" s="156"/>
      <c r="WLP465" s="156"/>
      <c r="WLQ465" s="156"/>
      <c r="WLR465" s="156"/>
      <c r="WLS465" s="156"/>
      <c r="WLT465" s="156"/>
      <c r="WLU465" s="156"/>
      <c r="WLV465" s="156"/>
      <c r="WLW465" s="156"/>
      <c r="WLX465" s="156"/>
      <c r="WLY465" s="156"/>
      <c r="WLZ465" s="156"/>
      <c r="WMA465" s="156"/>
      <c r="WMB465" s="156"/>
      <c r="WMC465" s="156"/>
      <c r="WMD465" s="156"/>
      <c r="WME465" s="156"/>
      <c r="WMF465" s="156"/>
      <c r="WMG465" s="156"/>
      <c r="WMH465" s="156"/>
      <c r="WMI465" s="156"/>
      <c r="WMJ465" s="156"/>
      <c r="WMK465" s="156"/>
      <c r="WML465" s="156"/>
      <c r="WMM465" s="156"/>
      <c r="WMN465" s="156"/>
      <c r="WMO465" s="156"/>
      <c r="WMP465" s="156"/>
      <c r="WMQ465" s="156"/>
      <c r="WMR465" s="156"/>
      <c r="WMS465" s="156"/>
      <c r="WMT465" s="156"/>
      <c r="WMU465" s="156"/>
      <c r="WMV465" s="156"/>
      <c r="WMW465" s="156"/>
      <c r="WMX465" s="156"/>
      <c r="WMY465" s="156"/>
      <c r="WMZ465" s="156"/>
      <c r="WNA465" s="156"/>
      <c r="WNB465" s="156"/>
      <c r="WNC465" s="156"/>
      <c r="WND465" s="156"/>
      <c r="WNE465" s="156"/>
      <c r="WNF465" s="156"/>
      <c r="WNG465" s="156"/>
      <c r="WNH465" s="156"/>
      <c r="WNI465" s="156"/>
      <c r="WNJ465" s="156"/>
      <c r="WNK465" s="156"/>
      <c r="WNL465" s="156"/>
      <c r="WNM465" s="156"/>
      <c r="WNN465" s="156"/>
      <c r="WNO465" s="156"/>
      <c r="WNP465" s="156"/>
      <c r="WNQ465" s="156"/>
      <c r="WNR465" s="156"/>
      <c r="WNS465" s="156"/>
      <c r="WNT465" s="156"/>
      <c r="WNU465" s="156"/>
      <c r="WNV465" s="156"/>
      <c r="WNW465" s="156"/>
      <c r="WNX465" s="156"/>
      <c r="WNY465" s="156"/>
      <c r="WNZ465" s="156"/>
      <c r="WOA465" s="156"/>
      <c r="WOB465" s="156"/>
      <c r="WOC465" s="156"/>
      <c r="WOD465" s="156"/>
      <c r="WOE465" s="156"/>
      <c r="WOF465" s="156"/>
      <c r="WOG465" s="156"/>
      <c r="WOH465" s="156"/>
      <c r="WOI465" s="156"/>
      <c r="WOJ465" s="156"/>
      <c r="WOK465" s="156"/>
      <c r="WOL465" s="156"/>
      <c r="WOM465" s="156"/>
      <c r="WON465" s="156"/>
      <c r="WOO465" s="156"/>
      <c r="WOP465" s="156"/>
      <c r="WOQ465" s="156"/>
      <c r="WOR465" s="156"/>
      <c r="WOS465" s="156"/>
      <c r="WOT465" s="156"/>
      <c r="WOU465" s="156"/>
      <c r="WOV465" s="156"/>
      <c r="WOW465" s="156"/>
      <c r="WOX465" s="156"/>
      <c r="WOY465" s="156"/>
      <c r="WOZ465" s="156"/>
      <c r="WPA465" s="156"/>
      <c r="WPB465" s="156"/>
      <c r="WPC465" s="156"/>
      <c r="WPD465" s="156"/>
      <c r="WPE465" s="156"/>
      <c r="WPF465" s="156"/>
      <c r="WPG465" s="156"/>
      <c r="WPH465" s="156"/>
      <c r="WPI465" s="156"/>
      <c r="WPJ465" s="156"/>
      <c r="WPK465" s="156"/>
      <c r="WPL465" s="156"/>
      <c r="WPM465" s="156"/>
      <c r="WPN465" s="156"/>
      <c r="WPO465" s="156"/>
      <c r="WPP465" s="156"/>
      <c r="WPQ465" s="156"/>
      <c r="WPR465" s="156"/>
      <c r="WPS465" s="156"/>
      <c r="WPT465" s="156"/>
      <c r="WPU465" s="156"/>
      <c r="WPV465" s="156"/>
      <c r="WPW465" s="156"/>
      <c r="WPX465" s="156"/>
      <c r="WPY465" s="156"/>
      <c r="WPZ465" s="156"/>
      <c r="WQA465" s="156"/>
      <c r="WQB465" s="156"/>
      <c r="WQC465" s="156"/>
      <c r="WQD465" s="156"/>
      <c r="WQE465" s="156"/>
      <c r="WQF465" s="156"/>
      <c r="WQG465" s="156"/>
      <c r="WQH465" s="156"/>
      <c r="WQI465" s="156"/>
      <c r="WQJ465" s="156"/>
      <c r="WQK465" s="156"/>
      <c r="WQL465" s="156"/>
      <c r="WQM465" s="156"/>
      <c r="WQN465" s="156"/>
      <c r="WQO465" s="156"/>
      <c r="WQP465" s="156"/>
      <c r="WQQ465" s="156"/>
      <c r="WQR465" s="156"/>
      <c r="WQS465" s="156"/>
      <c r="WQT465" s="156"/>
      <c r="WQU465" s="156"/>
      <c r="WQV465" s="156"/>
      <c r="WQW465" s="156"/>
      <c r="WQX465" s="156"/>
      <c r="WQY465" s="156"/>
      <c r="WQZ465" s="156"/>
      <c r="WRA465" s="156"/>
      <c r="WRB465" s="156"/>
      <c r="WRC465" s="156"/>
      <c r="WRD465" s="156"/>
      <c r="WRE465" s="156"/>
      <c r="WRF465" s="156"/>
      <c r="WRG465" s="156"/>
      <c r="WRH465" s="156"/>
      <c r="WRI465" s="156"/>
      <c r="WRJ465" s="156"/>
      <c r="WRK465" s="156"/>
      <c r="WRL465" s="156"/>
      <c r="WRM465" s="156"/>
      <c r="WRN465" s="156"/>
      <c r="WRO465" s="156"/>
      <c r="WRP465" s="156"/>
      <c r="WRQ465" s="156"/>
      <c r="WRR465" s="156"/>
      <c r="WRS465" s="156"/>
      <c r="WRT465" s="156"/>
      <c r="WRU465" s="156"/>
      <c r="WRV465" s="156"/>
      <c r="WRW465" s="156"/>
      <c r="WRX465" s="156"/>
      <c r="WRY465" s="156"/>
      <c r="WRZ465" s="156"/>
      <c r="WSA465" s="156"/>
      <c r="WSB465" s="156"/>
      <c r="WSC465" s="156"/>
      <c r="WSD465" s="156"/>
      <c r="WSE465" s="156"/>
      <c r="WSF465" s="156"/>
      <c r="WSG465" s="156"/>
      <c r="WSH465" s="156"/>
      <c r="WSI465" s="156"/>
      <c r="WSJ465" s="156"/>
      <c r="WSK465" s="156"/>
      <c r="WSL465" s="156"/>
      <c r="WSM465" s="156"/>
      <c r="WSN465" s="156"/>
      <c r="WSO465" s="156"/>
      <c r="WSP465" s="156"/>
      <c r="WSQ465" s="156"/>
      <c r="WSR465" s="156"/>
      <c r="WSS465" s="156"/>
      <c r="WST465" s="156"/>
      <c r="WSU465" s="156"/>
      <c r="WSV465" s="156"/>
      <c r="WSW465" s="156"/>
      <c r="WSX465" s="156"/>
      <c r="WSY465" s="156"/>
      <c r="WSZ465" s="156"/>
      <c r="WTA465" s="156"/>
      <c r="WTB465" s="156"/>
      <c r="WTC465" s="156"/>
      <c r="WTD465" s="156"/>
      <c r="WTE465" s="156"/>
      <c r="WTF465" s="156"/>
      <c r="WTG465" s="156"/>
      <c r="WTH465" s="156"/>
      <c r="WTI465" s="156"/>
      <c r="WTJ465" s="156"/>
      <c r="WTK465" s="156"/>
      <c r="WTL465" s="156"/>
      <c r="WTM465" s="156"/>
      <c r="WTN465" s="156"/>
      <c r="WTO465" s="156"/>
      <c r="WTP465" s="156"/>
      <c r="WTQ465" s="156"/>
      <c r="WTR465" s="156"/>
      <c r="WTS465" s="156"/>
      <c r="WTT465" s="156"/>
      <c r="WTU465" s="156"/>
      <c r="WTV465" s="156"/>
      <c r="WTW465" s="156"/>
      <c r="WTX465" s="156"/>
      <c r="WTY465" s="156"/>
      <c r="WTZ465" s="156"/>
      <c r="WUA465" s="156"/>
      <c r="WUB465" s="156"/>
      <c r="WUC465" s="156"/>
      <c r="WUD465" s="156"/>
      <c r="WUE465" s="156"/>
      <c r="WUF465" s="156"/>
      <c r="WUG465" s="156"/>
      <c r="WUH465" s="156"/>
      <c r="WUI465" s="156"/>
      <c r="WUJ465" s="156"/>
      <c r="WUK465" s="156"/>
      <c r="WUL465" s="156"/>
      <c r="WUM465" s="156"/>
      <c r="WUN465" s="156"/>
      <c r="WUO465" s="156"/>
      <c r="WUP465" s="156"/>
      <c r="WUQ465" s="156"/>
      <c r="WUR465" s="156"/>
      <c r="WUS465" s="156"/>
      <c r="WUT465" s="156"/>
      <c r="WUU465" s="156"/>
      <c r="WUV465" s="156"/>
      <c r="WUW465" s="156"/>
      <c r="WUX465" s="156"/>
      <c r="WUY465" s="156"/>
      <c r="WUZ465" s="156"/>
      <c r="WVA465" s="156"/>
      <c r="WVB465" s="156"/>
      <c r="WVC465" s="156"/>
      <c r="WVD465" s="156"/>
      <c r="WVE465" s="156"/>
      <c r="WVF465" s="156"/>
      <c r="WVG465" s="156"/>
      <c r="WVH465" s="156"/>
      <c r="WVI465" s="156"/>
      <c r="WVJ465" s="156"/>
      <c r="WVK465" s="156"/>
      <c r="WVL465" s="156"/>
      <c r="WVM465" s="156"/>
      <c r="WVN465" s="156"/>
      <c r="WVO465" s="156"/>
      <c r="WVP465" s="156"/>
      <c r="WVQ465" s="156"/>
      <c r="WVR465" s="156"/>
      <c r="WVS465" s="156"/>
      <c r="WVT465" s="156"/>
      <c r="WVU465" s="156"/>
      <c r="WVV465" s="156"/>
      <c r="WVW465" s="156"/>
      <c r="WVX465" s="156"/>
      <c r="WVY465" s="156"/>
      <c r="WVZ465" s="156"/>
      <c r="WWA465" s="156"/>
      <c r="WWB465" s="156"/>
      <c r="WWC465" s="156"/>
      <c r="WWD465" s="156"/>
      <c r="WWE465" s="156"/>
      <c r="WWF465" s="156"/>
      <c r="WWG465" s="156"/>
      <c r="WWH465" s="156"/>
      <c r="WWI465" s="156"/>
      <c r="WWJ465" s="156"/>
      <c r="WWK465" s="156"/>
      <c r="WWL465" s="156"/>
      <c r="WWM465" s="156"/>
      <c r="WWN465" s="156"/>
      <c r="WWO465" s="156"/>
      <c r="WWP465" s="156"/>
      <c r="WWQ465" s="156"/>
      <c r="WWR465" s="156"/>
      <c r="WWS465" s="156"/>
      <c r="WWT465" s="156"/>
      <c r="WWU465" s="156"/>
      <c r="WWV465" s="156"/>
      <c r="WWW465" s="156"/>
      <c r="WWX465" s="156"/>
      <c r="WWY465" s="156"/>
      <c r="WWZ465" s="156"/>
      <c r="WXA465" s="156"/>
      <c r="WXB465" s="156"/>
      <c r="WXC465" s="156"/>
      <c r="WXD465" s="156"/>
      <c r="WXE465" s="156"/>
      <c r="WXF465" s="156"/>
      <c r="WXG465" s="156"/>
      <c r="WXH465" s="156"/>
      <c r="WXI465" s="156"/>
      <c r="WXJ465" s="156"/>
      <c r="WXK465" s="156"/>
      <c r="WXL465" s="156"/>
      <c r="WXM465" s="156"/>
      <c r="WXN465" s="156"/>
      <c r="WXO465" s="156"/>
      <c r="WXP465" s="156"/>
      <c r="WXQ465" s="156"/>
      <c r="WXR465" s="156"/>
      <c r="WXS465" s="156"/>
      <c r="WXT465" s="156"/>
      <c r="WXU465" s="156"/>
      <c r="WXV465" s="156"/>
      <c r="WXW465" s="156"/>
      <c r="WXX465" s="156"/>
      <c r="WXY465" s="156"/>
      <c r="WXZ465" s="156"/>
      <c r="WYA465" s="156"/>
      <c r="WYB465" s="156"/>
      <c r="WYC465" s="156"/>
      <c r="WYD465" s="156"/>
      <c r="WYE465" s="156"/>
      <c r="WYF465" s="156"/>
      <c r="WYG465" s="156"/>
      <c r="WYH465" s="156"/>
      <c r="WYI465" s="156"/>
      <c r="WYJ465" s="156"/>
      <c r="WYK465" s="156"/>
      <c r="WYL465" s="156"/>
      <c r="WYM465" s="156"/>
      <c r="WYN465" s="156"/>
      <c r="WYO465" s="156"/>
      <c r="WYP465" s="156"/>
      <c r="WYQ465" s="156"/>
      <c r="WYR465" s="156"/>
      <c r="WYS465" s="156"/>
      <c r="WYT465" s="156"/>
      <c r="WYU465" s="156"/>
      <c r="WYV465" s="156"/>
      <c r="WYW465" s="156"/>
      <c r="WYX465" s="156"/>
      <c r="WYY465" s="156"/>
      <c r="WYZ465" s="156"/>
      <c r="WZA465" s="156"/>
      <c r="WZB465" s="156"/>
      <c r="WZC465" s="156"/>
      <c r="WZD465" s="156"/>
      <c r="WZE465" s="156"/>
      <c r="WZF465" s="156"/>
      <c r="WZG465" s="156"/>
      <c r="WZH465" s="156"/>
      <c r="WZI465" s="156"/>
      <c r="WZJ465" s="156"/>
      <c r="WZK465" s="156"/>
      <c r="WZL465" s="156"/>
      <c r="WZM465" s="156"/>
      <c r="WZN465" s="156"/>
      <c r="WZO465" s="156"/>
      <c r="WZP465" s="156"/>
      <c r="WZQ465" s="156"/>
      <c r="WZR465" s="156"/>
      <c r="WZS465" s="156"/>
      <c r="WZT465" s="156"/>
      <c r="WZU465" s="156"/>
      <c r="WZV465" s="156"/>
      <c r="WZW465" s="156"/>
      <c r="WZX465" s="156"/>
      <c r="WZY465" s="156"/>
      <c r="WZZ465" s="156"/>
      <c r="XAA465" s="156"/>
      <c r="XAB465" s="156"/>
      <c r="XAC465" s="156"/>
      <c r="XAD465" s="156"/>
      <c r="XAE465" s="156"/>
      <c r="XAF465" s="156"/>
      <c r="XAG465" s="156"/>
      <c r="XAH465" s="156"/>
      <c r="XAI465" s="156"/>
      <c r="XAJ465" s="156"/>
      <c r="XAK465" s="156"/>
      <c r="XAL465" s="156"/>
      <c r="XAM465" s="156"/>
      <c r="XAN465" s="156"/>
      <c r="XAO465" s="156"/>
      <c r="XAP465" s="156"/>
      <c r="XAQ465" s="156"/>
      <c r="XAR465" s="156"/>
      <c r="XAS465" s="156"/>
      <c r="XAT465" s="156"/>
      <c r="XAU465" s="156"/>
      <c r="XAV465" s="156"/>
      <c r="XAW465" s="156"/>
      <c r="XAX465" s="156"/>
      <c r="XAY465" s="156"/>
      <c r="XAZ465" s="156"/>
      <c r="XBA465" s="156"/>
      <c r="XBB465" s="156"/>
      <c r="XBC465" s="156"/>
      <c r="XBD465" s="156"/>
      <c r="XBE465" s="156"/>
      <c r="XBF465" s="156"/>
      <c r="XBG465" s="156"/>
      <c r="XBH465" s="156"/>
      <c r="XBI465" s="156"/>
      <c r="XBJ465" s="156"/>
      <c r="XBK465" s="156"/>
      <c r="XBL465" s="156"/>
      <c r="XBM465" s="156"/>
      <c r="XBN465" s="156"/>
      <c r="XBO465" s="156"/>
      <c r="XBP465" s="156"/>
      <c r="XBQ465" s="156"/>
      <c r="XBR465" s="156"/>
      <c r="XBS465" s="156"/>
      <c r="XBT465" s="156"/>
      <c r="XBU465" s="156"/>
      <c r="XBV465" s="156"/>
      <c r="XBW465" s="156"/>
      <c r="XBX465" s="156"/>
      <c r="XBY465" s="156"/>
      <c r="XBZ465" s="156"/>
      <c r="XCA465" s="156"/>
      <c r="XCB465" s="156"/>
      <c r="XCC465" s="156"/>
      <c r="XCD465" s="156"/>
      <c r="XCE465" s="156"/>
      <c r="XCF465" s="156"/>
      <c r="XCG465" s="156"/>
      <c r="XCH465" s="156"/>
      <c r="XCI465" s="156"/>
      <c r="XCJ465" s="156"/>
      <c r="XCK465" s="156"/>
      <c r="XCL465" s="156"/>
      <c r="XCM465" s="156"/>
      <c r="XCN465" s="156"/>
      <c r="XCO465" s="156"/>
      <c r="XCP465" s="156"/>
      <c r="XCQ465" s="156"/>
      <c r="XCR465" s="156"/>
      <c r="XCS465" s="156"/>
      <c r="XCT465" s="156"/>
      <c r="XCU465" s="156"/>
      <c r="XCV465" s="156"/>
      <c r="XCW465" s="156"/>
      <c r="XCX465" s="156"/>
      <c r="XCY465" s="156"/>
      <c r="XCZ465" s="156"/>
      <c r="XDA465" s="156"/>
      <c r="XDB465" s="156"/>
      <c r="XDC465" s="156"/>
      <c r="XDD465" s="156"/>
      <c r="XDE465" s="156"/>
      <c r="XDF465" s="156"/>
      <c r="XDG465" s="156"/>
      <c r="XDH465" s="156"/>
      <c r="XDI465" s="156"/>
      <c r="XDJ465" s="156"/>
      <c r="XDK465" s="156"/>
      <c r="XDL465" s="156"/>
      <c r="XDM465" s="156"/>
      <c r="XDN465" s="156"/>
      <c r="XDO465" s="156"/>
      <c r="XDP465" s="156"/>
      <c r="XDQ465" s="156"/>
      <c r="XDR465" s="156"/>
      <c r="XDS465" s="156"/>
      <c r="XDT465" s="156"/>
      <c r="XDU465" s="156"/>
      <c r="XDV465" s="156"/>
      <c r="XDW465" s="156"/>
      <c r="XDX465" s="156"/>
      <c r="XDY465" s="156"/>
      <c r="XDZ465" s="156"/>
      <c r="XEA465" s="156"/>
      <c r="XEB465" s="156"/>
      <c r="XEC465" s="156"/>
      <c r="XED465" s="156"/>
      <c r="XEE465" s="156"/>
      <c r="XEF465" s="156"/>
      <c r="XEG465" s="156"/>
      <c r="XEH465" s="156"/>
      <c r="XEI465" s="156"/>
      <c r="XEJ465" s="156"/>
      <c r="XEK465" s="156"/>
      <c r="XEL465" s="156"/>
      <c r="XEM465" s="156"/>
      <c r="XEN465" s="156"/>
      <c r="XEO465" s="156"/>
      <c r="XEP465" s="156"/>
      <c r="XEQ465" s="156"/>
      <c r="XER465" s="156"/>
      <c r="XES465" s="156"/>
      <c r="XET465" s="156"/>
      <c r="XEU465" s="156"/>
      <c r="XEV465" s="156"/>
      <c r="XEW465" s="156"/>
      <c r="XEX465" s="156"/>
      <c r="XEY465" s="156"/>
      <c r="XEZ465" s="156"/>
      <c r="XFA465" s="156"/>
      <c r="XFB465" s="156"/>
      <c r="XFC465" s="156"/>
    </row>
    <row r="466" spans="1:16383" s="157" customFormat="1" ht="15" outlineLevel="1" collapsed="1" x14ac:dyDescent="0.25">
      <c r="A466" s="186">
        <f>SUMIFS(МКД!$A$6:$A$389,МКД!$D$6:$D$389,Таблица1[[#This Row],[2]])</f>
        <v>85</v>
      </c>
      <c r="B466" s="194">
        <f>SUMIFS(Таблица1[6],Таблица1[2],Таблица1[[#This Row],[2]])+SUMIFS(Таблица1[7],Таблица1[2],Таблица1[[#This Row],[2]])</f>
        <v>664.3</v>
      </c>
      <c r="C466" s="185" t="s">
        <v>1329</v>
      </c>
      <c r="D466" s="196"/>
      <c r="E466" s="196"/>
      <c r="F466" s="196"/>
      <c r="G466" s="168"/>
      <c r="H466" s="197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8"/>
    </row>
    <row r="467" spans="1:16383" hidden="1" outlineLevel="2" x14ac:dyDescent="0.25">
      <c r="A467" s="186">
        <f>SUMIFS(МКД!$A$6:$A$389,МКД!$D$6:$D$389,Таблица1[[#This Row],[2]])</f>
        <v>85</v>
      </c>
      <c r="B467" s="170"/>
      <c r="C467" s="182" t="s">
        <v>1329</v>
      </c>
      <c r="D467" s="167" t="s">
        <v>1460</v>
      </c>
      <c r="E467" s="167" t="s">
        <v>67</v>
      </c>
      <c r="F467" s="167">
        <v>1</v>
      </c>
      <c r="G467" s="168">
        <f>SUMIFS(Таблица1[[#This Row],[8]:[19]],$I$5:$T$5,"Выкуп")</f>
        <v>65.900000000000006</v>
      </c>
      <c r="H467" s="168">
        <f>SUMIFS(Таблица1[[#This Row],[8]:[19]],$I$5:$T$5,"Аренда")</f>
        <v>0</v>
      </c>
      <c r="I467" s="169"/>
      <c r="J467" s="169"/>
      <c r="K467" s="169">
        <v>65.900000000000006</v>
      </c>
      <c r="L467" s="169"/>
      <c r="M467" s="169"/>
      <c r="N467" s="169"/>
      <c r="O467" s="169"/>
      <c r="P467" s="169"/>
      <c r="Q467" s="169"/>
      <c r="R467" s="169"/>
      <c r="S467" s="169"/>
      <c r="T467" s="169"/>
      <c r="U467" s="170"/>
      <c r="V467" s="171"/>
    </row>
    <row r="468" spans="1:16383" hidden="1" outlineLevel="2" x14ac:dyDescent="0.25">
      <c r="A468" s="186">
        <f>SUMIFS(МКД!$A$6:$A$389,МКД!$D$6:$D$389,Таблица1[[#This Row],[2]])</f>
        <v>85</v>
      </c>
      <c r="B468" s="168"/>
      <c r="C468" s="182" t="s">
        <v>1329</v>
      </c>
      <c r="D468" s="167"/>
      <c r="E468" s="167" t="s">
        <v>739</v>
      </c>
      <c r="F468" s="167">
        <v>1</v>
      </c>
      <c r="G468" s="168">
        <f>SUMIFS(Таблица1[[#This Row],[8]:[19]],$I$5:$T$5,"Выкуп")</f>
        <v>0</v>
      </c>
      <c r="H468" s="168">
        <f>SUMIFS(Таблица1[[#This Row],[8]:[19]],$I$5:$T$5,"Аренда")</f>
        <v>0</v>
      </c>
      <c r="I468" s="169"/>
      <c r="J468" s="169"/>
      <c r="K468" s="169"/>
      <c r="L468" s="169"/>
      <c r="M468" s="169"/>
      <c r="N468" s="169"/>
      <c r="O468" s="167"/>
      <c r="P468" s="169">
        <f>11.7*0</f>
        <v>0</v>
      </c>
      <c r="Q468" s="169"/>
      <c r="R468" s="169"/>
      <c r="S468" s="169"/>
      <c r="T468" s="169"/>
      <c r="U468" s="170"/>
      <c r="V468" s="171"/>
    </row>
    <row r="469" spans="1:16383" hidden="1" outlineLevel="2" x14ac:dyDescent="0.25">
      <c r="A469" s="186">
        <f>SUMIFS(МКД!$A$6:$A$389,МКД!$D$6:$D$389,Таблица1[[#This Row],[2]])</f>
        <v>85</v>
      </c>
      <c r="B469" s="168"/>
      <c r="C469" s="182" t="s">
        <v>1329</v>
      </c>
      <c r="D469" s="167" t="s">
        <v>855</v>
      </c>
      <c r="E469" s="167" t="s">
        <v>1297</v>
      </c>
      <c r="F469" s="167">
        <v>1</v>
      </c>
      <c r="G469" s="168">
        <f>SUMIFS(Таблица1[[#This Row],[8]:[19]],$I$5:$T$5,"Выкуп")</f>
        <v>63.9</v>
      </c>
      <c r="H469" s="168">
        <f>SUMIFS(Таблица1[[#This Row],[8]:[19]],$I$5:$T$5,"Аренда")</f>
        <v>0</v>
      </c>
      <c r="I469" s="169"/>
      <c r="J469" s="169"/>
      <c r="K469" s="169">
        <v>63.9</v>
      </c>
      <c r="L469" s="169"/>
      <c r="M469" s="169"/>
      <c r="N469" s="169"/>
      <c r="O469" s="169"/>
      <c r="P469" s="169"/>
      <c r="Q469" s="169"/>
      <c r="R469" s="169"/>
      <c r="S469" s="169"/>
      <c r="T469" s="169"/>
      <c r="U469" s="170"/>
      <c r="V469" s="171"/>
    </row>
    <row r="470" spans="1:16383" hidden="1" outlineLevel="2" x14ac:dyDescent="0.25">
      <c r="A470" s="186">
        <f>SUMIFS(МКД!$A$6:$A$389,МКД!$D$6:$D$389,Таблица1[[#This Row],[2]])</f>
        <v>85</v>
      </c>
      <c r="B470" s="168"/>
      <c r="C470" s="182" t="s">
        <v>1329</v>
      </c>
      <c r="D470" s="167" t="s">
        <v>855</v>
      </c>
      <c r="E470" s="167" t="s">
        <v>213</v>
      </c>
      <c r="F470" s="167">
        <v>1</v>
      </c>
      <c r="G470" s="168">
        <f>SUMIFS(Таблица1[[#This Row],[8]:[19]],$I$5:$T$5,"Выкуп")</f>
        <v>30.3</v>
      </c>
      <c r="H470" s="168">
        <f>SUMIFS(Таблица1[[#This Row],[8]:[19]],$I$5:$T$5,"Аренда")</f>
        <v>0</v>
      </c>
      <c r="I470" s="169"/>
      <c r="J470" s="169"/>
      <c r="K470" s="167">
        <v>30.3</v>
      </c>
      <c r="L470" s="169"/>
      <c r="M470" s="169"/>
      <c r="N470" s="169"/>
      <c r="O470" s="169"/>
      <c r="P470" s="169"/>
      <c r="Q470" s="169"/>
      <c r="R470" s="169"/>
      <c r="S470" s="169"/>
      <c r="T470" s="169"/>
      <c r="U470" s="170"/>
      <c r="V470" s="171"/>
    </row>
    <row r="471" spans="1:16383" hidden="1" outlineLevel="2" x14ac:dyDescent="0.25">
      <c r="A471" s="186">
        <f>SUMIFS(МКД!$A$6:$A$389,МКД!$D$6:$D$389,Таблица1[[#This Row],[2]])</f>
        <v>85</v>
      </c>
      <c r="B471" s="168"/>
      <c r="C471" s="182" t="s">
        <v>1329</v>
      </c>
      <c r="D471" s="167" t="s">
        <v>1714</v>
      </c>
      <c r="E471" s="167" t="s">
        <v>1637</v>
      </c>
      <c r="F471" s="167">
        <v>1</v>
      </c>
      <c r="G471" s="168">
        <f>SUMIFS(Таблица1[[#This Row],[8]:[19]],$I$5:$T$5,"Выкуп")</f>
        <v>40.300000000000004</v>
      </c>
      <c r="H471" s="168">
        <f>SUMIFS(Таблица1[[#This Row],[8]:[19]],$I$5:$T$5,"Аренда")</f>
        <v>0</v>
      </c>
      <c r="I471" s="169"/>
      <c r="J471" s="169"/>
      <c r="K471" s="169">
        <f>41.35-3.15+2.1</f>
        <v>40.300000000000004</v>
      </c>
      <c r="L471" s="169"/>
      <c r="M471" s="169"/>
      <c r="N471" s="169"/>
      <c r="O471" s="169"/>
      <c r="P471" s="169"/>
      <c r="Q471" s="169"/>
      <c r="R471" s="169"/>
      <c r="S471" s="169"/>
      <c r="T471" s="169"/>
      <c r="U471" s="170"/>
      <c r="V471" s="171"/>
    </row>
    <row r="472" spans="1:16383" hidden="1" outlineLevel="2" x14ac:dyDescent="0.25">
      <c r="A472" s="186">
        <f>SUMIFS(МКД!$A$6:$A$389,МКД!$D$6:$D$389,Таблица1[[#This Row],[2]])</f>
        <v>85</v>
      </c>
      <c r="B472" s="168"/>
      <c r="C472" s="182" t="s">
        <v>1329</v>
      </c>
      <c r="D472" s="167" t="s">
        <v>1924</v>
      </c>
      <c r="E472" s="167" t="s">
        <v>1923</v>
      </c>
      <c r="F472" s="167">
        <v>1</v>
      </c>
      <c r="G472" s="168">
        <f>SUMIFS(Таблица1[[#This Row],[8]:[19]],$I$5:$T$5,"Выкуп")</f>
        <v>22.700000000000003</v>
      </c>
      <c r="H472" s="168">
        <f>SUMIFS(Таблица1[[#This Row],[8]:[19]],$I$5:$T$5,"Аренда")</f>
        <v>0</v>
      </c>
      <c r="I472" s="169"/>
      <c r="J472" s="169"/>
      <c r="K472" s="169">
        <f>23.75-3.15+2.1</f>
        <v>22.700000000000003</v>
      </c>
      <c r="L472" s="169"/>
      <c r="M472" s="169"/>
      <c r="N472" s="169"/>
      <c r="O472" s="169"/>
      <c r="P472" s="169"/>
      <c r="Q472" s="169"/>
      <c r="R472" s="169"/>
      <c r="S472" s="169"/>
      <c r="T472" s="169"/>
      <c r="U472" s="170"/>
      <c r="V472" s="171"/>
    </row>
    <row r="473" spans="1:16383" hidden="1" outlineLevel="2" x14ac:dyDescent="0.25">
      <c r="A473" s="186">
        <f>SUMIFS(МКД!$A$6:$A$389,МКД!$D$6:$D$389,Таблица1[[#This Row],[2]])</f>
        <v>85</v>
      </c>
      <c r="B473" s="168"/>
      <c r="C473" s="182" t="s">
        <v>1329</v>
      </c>
      <c r="D473" s="167" t="s">
        <v>856</v>
      </c>
      <c r="E473" s="167" t="s">
        <v>731</v>
      </c>
      <c r="F473" s="167">
        <v>1</v>
      </c>
      <c r="G473" s="168">
        <f>SUMIFS(Таблица1[[#This Row],[8]:[19]],$I$5:$T$5,"Выкуп")</f>
        <v>102.7</v>
      </c>
      <c r="H473" s="168">
        <f>SUMIFS(Таблица1[[#This Row],[8]:[19]],$I$5:$T$5,"Аренда")</f>
        <v>0</v>
      </c>
      <c r="I473" s="169"/>
      <c r="J473" s="169"/>
      <c r="K473" s="169">
        <v>102.7</v>
      </c>
      <c r="L473" s="169"/>
      <c r="M473" s="169"/>
      <c r="N473" s="169"/>
      <c r="O473" s="169"/>
      <c r="P473" s="169"/>
      <c r="Q473" s="169"/>
      <c r="R473" s="169"/>
      <c r="S473" s="169"/>
      <c r="T473" s="169"/>
      <c r="U473" s="170"/>
      <c r="V473" s="171"/>
    </row>
    <row r="474" spans="1:16383" hidden="1" outlineLevel="2" x14ac:dyDescent="0.25">
      <c r="A474" s="186">
        <f>SUMIFS(МКД!$A$6:$A$389,МКД!$D$6:$D$389,Таблица1[[#This Row],[2]])</f>
        <v>85</v>
      </c>
      <c r="B474" s="168"/>
      <c r="C474" s="182" t="s">
        <v>1329</v>
      </c>
      <c r="D474" s="167" t="s">
        <v>857</v>
      </c>
      <c r="E474" s="167" t="s">
        <v>764</v>
      </c>
      <c r="F474" s="167">
        <v>1</v>
      </c>
      <c r="G474" s="168">
        <f>SUMIFS(Таблица1[[#This Row],[8]:[19]],$I$5:$T$5,"Выкуп")</f>
        <v>33.4</v>
      </c>
      <c r="H474" s="168">
        <f>SUMIFS(Таблица1[[#This Row],[8]:[19]],$I$5:$T$5,"Аренда")</f>
        <v>0</v>
      </c>
      <c r="I474" s="169"/>
      <c r="J474" s="169"/>
      <c r="K474" s="169">
        <v>33.4</v>
      </c>
      <c r="L474" s="169"/>
      <c r="M474" s="169"/>
      <c r="N474" s="169"/>
      <c r="O474" s="169"/>
      <c r="P474" s="169"/>
      <c r="Q474" s="169"/>
      <c r="R474" s="169"/>
      <c r="S474" s="169"/>
      <c r="T474" s="169"/>
      <c r="U474" s="170"/>
      <c r="V474" s="171"/>
    </row>
    <row r="475" spans="1:16383" s="20" customFormat="1" hidden="1" outlineLevel="2" x14ac:dyDescent="0.25">
      <c r="A475" s="186">
        <f>SUMIFS(МКД!$A$6:$A$389,МКД!$D$6:$D$389,Таблица1[[#This Row],[2]])</f>
        <v>85</v>
      </c>
      <c r="B475" s="168"/>
      <c r="C475" s="182" t="s">
        <v>1329</v>
      </c>
      <c r="D475" s="167" t="s">
        <v>858</v>
      </c>
      <c r="E475" s="167" t="s">
        <v>1298</v>
      </c>
      <c r="F475" s="167">
        <v>1</v>
      </c>
      <c r="G475" s="168">
        <f>SUMIFS(Таблица1[[#This Row],[8]:[19]],$I$5:$T$5,"Выкуп")</f>
        <v>94.5</v>
      </c>
      <c r="H475" s="168">
        <f>SUMIFS(Таблица1[[#This Row],[8]:[19]],$I$5:$T$5,"Аренда")</f>
        <v>0</v>
      </c>
      <c r="I475" s="169">
        <v>94.5</v>
      </c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70"/>
      <c r="V475" s="171"/>
    </row>
    <row r="476" spans="1:16383" s="154" customFormat="1" hidden="1" outlineLevel="2" x14ac:dyDescent="0.25">
      <c r="A476" s="186">
        <f>SUMIFS(МКД!$A$6:$A$389,МКД!$D$6:$D$389,Таблица1[[#This Row],[2]])</f>
        <v>85</v>
      </c>
      <c r="B476" s="168"/>
      <c r="C476" s="182" t="s">
        <v>1329</v>
      </c>
      <c r="D476" s="167" t="s">
        <v>1417</v>
      </c>
      <c r="E476" s="167" t="s">
        <v>1218</v>
      </c>
      <c r="F476" s="167">
        <v>1</v>
      </c>
      <c r="G476" s="168">
        <f>SUMIFS(Таблица1[[#This Row],[8]:[19]],$I$5:$T$5,"Выкуп")</f>
        <v>79.7</v>
      </c>
      <c r="H476" s="168">
        <f>SUMIFS(Таблица1[[#This Row],[8]:[19]],$I$5:$T$5,"Аренда")</f>
        <v>0</v>
      </c>
      <c r="I476" s="169">
        <v>79.7</v>
      </c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70"/>
      <c r="V476" s="171"/>
    </row>
    <row r="477" spans="1:16383" s="154" customFormat="1" hidden="1" outlineLevel="2" x14ac:dyDescent="0.25">
      <c r="A477" s="186">
        <f>SUMIFS(МКД!$A$6:$A$389,МКД!$D$6:$D$389,Таблица1[[#This Row],[2]])</f>
        <v>85</v>
      </c>
      <c r="B477" s="168"/>
      <c r="C477" s="182" t="s">
        <v>1329</v>
      </c>
      <c r="D477" s="167" t="s">
        <v>1524</v>
      </c>
      <c r="E477" s="167" t="s">
        <v>1518</v>
      </c>
      <c r="F477" s="167">
        <v>1</v>
      </c>
      <c r="G477" s="168">
        <f>SUMIFS(Таблица1[[#This Row],[8]:[19]],$I$5:$T$5,"Выкуп")</f>
        <v>36.1</v>
      </c>
      <c r="H477" s="168">
        <f>SUMIFS(Таблица1[[#This Row],[8]:[19]],$I$5:$T$5,"Аренда")</f>
        <v>0</v>
      </c>
      <c r="I477" s="169"/>
      <c r="J477" s="169"/>
      <c r="K477" s="169">
        <v>36.1</v>
      </c>
      <c r="L477" s="169"/>
      <c r="M477" s="169"/>
      <c r="N477" s="169"/>
      <c r="O477" s="169"/>
      <c r="P477" s="169"/>
      <c r="Q477" s="169"/>
      <c r="R477" s="169"/>
      <c r="S477" s="169"/>
      <c r="T477" s="169"/>
      <c r="U477" s="170"/>
      <c r="V477" s="171"/>
    </row>
    <row r="478" spans="1:16383" hidden="1" outlineLevel="2" x14ac:dyDescent="0.25">
      <c r="A478" s="186">
        <f>SUMIFS(МКД!$A$6:$A$389,МКД!$D$6:$D$389,Таблица1[[#This Row],[2]])</f>
        <v>85</v>
      </c>
      <c r="B478" s="168"/>
      <c r="C478" s="182" t="s">
        <v>1329</v>
      </c>
      <c r="D478" s="167" t="s">
        <v>1041</v>
      </c>
      <c r="E478" s="167" t="s">
        <v>1040</v>
      </c>
      <c r="F478" s="167"/>
      <c r="G478" s="168">
        <f>SUMIFS(Таблица1[[#This Row],[8]:[19]],$I$5:$T$5,"Выкуп")</f>
        <v>84.5</v>
      </c>
      <c r="H478" s="168">
        <f>SUMIFS(Таблица1[[#This Row],[8]:[19]],$I$5:$T$5,"Аренда")</f>
        <v>0</v>
      </c>
      <c r="I478" s="169">
        <v>84.5</v>
      </c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70"/>
      <c r="V478" s="171"/>
    </row>
    <row r="479" spans="1:16383" hidden="1" outlineLevel="2" x14ac:dyDescent="0.25">
      <c r="A479" s="186">
        <f>SUMIFS(МКД!$A$6:$A$389,МКД!$D$6:$D$389,Таблица1[[#This Row],[2]])</f>
        <v>85</v>
      </c>
      <c r="B479" s="168"/>
      <c r="C479" s="182" t="s">
        <v>1329</v>
      </c>
      <c r="D479" s="167" t="s">
        <v>859</v>
      </c>
      <c r="E479" s="167" t="s">
        <v>2</v>
      </c>
      <c r="F479" s="167">
        <v>1</v>
      </c>
      <c r="G479" s="168">
        <f>SUMIFS(Таблица1[[#This Row],[8]:[19]],$I$5:$T$5,"Выкуп")</f>
        <v>0</v>
      </c>
      <c r="H479" s="168">
        <f>SUMIFS(Таблица1[[#This Row],[8]:[19]],$I$5:$T$5,"Аренда")</f>
        <v>10.3</v>
      </c>
      <c r="I479" s="169"/>
      <c r="J479" s="169"/>
      <c r="K479" s="169"/>
      <c r="L479" s="169"/>
      <c r="M479" s="169"/>
      <c r="N479" s="169"/>
      <c r="O479" s="167"/>
      <c r="P479" s="169">
        <v>10.3</v>
      </c>
      <c r="Q479" s="169"/>
      <c r="R479" s="169"/>
      <c r="S479" s="169"/>
      <c r="T479" s="169"/>
      <c r="U479" s="170"/>
      <c r="V479" s="171"/>
      <c r="W479" s="12"/>
    </row>
    <row r="480" spans="1:16383" ht="15" outlineLevel="1" collapsed="1" x14ac:dyDescent="0.25">
      <c r="A480" s="186">
        <f>SUMIFS(МКД!$A$6:$A$389,МКД!$D$6:$D$389,Таблица1[[#This Row],[2]])</f>
        <v>95</v>
      </c>
      <c r="B480" s="194">
        <f>SUMIFS(Таблица1[6],Таблица1[2],Таблица1[[#This Row],[2]])+SUMIFS(Таблица1[7],Таблица1[2],Таблица1[[#This Row],[2]])</f>
        <v>120.8</v>
      </c>
      <c r="C480" s="185" t="s">
        <v>354</v>
      </c>
      <c r="D480" s="196"/>
      <c r="E480" s="196"/>
      <c r="F480" s="196"/>
      <c r="G480" s="168"/>
      <c r="H480" s="197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8"/>
      <c r="W480" s="12"/>
    </row>
    <row r="481" spans="1:23" hidden="1" outlineLevel="2" x14ac:dyDescent="0.25">
      <c r="A481" s="186">
        <f>SUMIFS(МКД!$A$6:$A$389,МКД!$D$6:$D$389,Таблица1[[#This Row],[2]])</f>
        <v>95</v>
      </c>
      <c r="B481" s="170"/>
      <c r="C481" s="182" t="s">
        <v>354</v>
      </c>
      <c r="D481" s="167" t="s">
        <v>1299</v>
      </c>
      <c r="E481" s="167" t="s">
        <v>1438</v>
      </c>
      <c r="F481" s="167">
        <v>1</v>
      </c>
      <c r="G481" s="168">
        <f>SUMIFS(Таблица1[[#This Row],[8]:[19]],$I$5:$T$5,"Выкуп")</f>
        <v>0</v>
      </c>
      <c r="H481" s="168">
        <f>SUMIFS(Таблица1[[#This Row],[8]:[19]],$I$5:$T$5,"Аренда")</f>
        <v>0</v>
      </c>
      <c r="I481" s="169"/>
      <c r="J481" s="169"/>
      <c r="K481" s="169">
        <v>0</v>
      </c>
      <c r="L481" s="169"/>
      <c r="M481" s="169"/>
      <c r="N481" s="169"/>
      <c r="O481" s="169"/>
      <c r="P481" s="169"/>
      <c r="Q481" s="169"/>
      <c r="R481" s="169"/>
      <c r="S481" s="169"/>
      <c r="T481" s="169"/>
      <c r="U481" s="170"/>
      <c r="V481" s="200"/>
      <c r="W481" s="12"/>
    </row>
    <row r="482" spans="1:23" hidden="1" outlineLevel="2" x14ac:dyDescent="0.25">
      <c r="A482" s="186">
        <f>SUMIFS(МКД!$A$6:$A$389,МКД!$D$6:$D$389,Таблица1[[#This Row],[2]])</f>
        <v>95</v>
      </c>
      <c r="B482" s="168"/>
      <c r="C482" s="182" t="s">
        <v>354</v>
      </c>
      <c r="D482" s="167" t="s">
        <v>1968</v>
      </c>
      <c r="E482" s="167" t="s">
        <v>1068</v>
      </c>
      <c r="F482" s="167">
        <v>1</v>
      </c>
      <c r="G482" s="168">
        <f>SUMIFS(Таблица1[[#This Row],[8]:[19]],$I$5:$T$5,"Выкуп")</f>
        <v>81.099999999999994</v>
      </c>
      <c r="H482" s="168">
        <f>SUMIFS(Таблица1[[#This Row],[8]:[19]],$I$5:$T$5,"Аренда")</f>
        <v>0</v>
      </c>
      <c r="I482" s="169">
        <v>81.099999999999994</v>
      </c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70"/>
      <c r="V482" s="200"/>
      <c r="W482" s="12"/>
    </row>
    <row r="483" spans="1:23" hidden="1" outlineLevel="2" x14ac:dyDescent="0.25">
      <c r="A483" s="186">
        <f>SUMIFS(МКД!$A$6:$A$389,МКД!$D$6:$D$389,Таблица1[[#This Row],[2]])</f>
        <v>95</v>
      </c>
      <c r="B483" s="168"/>
      <c r="C483" s="182" t="s">
        <v>354</v>
      </c>
      <c r="D483" s="167" t="s">
        <v>2738</v>
      </c>
      <c r="E483" s="167" t="s">
        <v>960</v>
      </c>
      <c r="F483" s="167">
        <v>1</v>
      </c>
      <c r="G483" s="168">
        <f>SUMIFS(Таблица1[[#This Row],[8]:[19]],$I$5:$T$5,"Выкуп")</f>
        <v>39.700000000000003</v>
      </c>
      <c r="H483" s="168">
        <f>SUMIFS(Таблица1[[#This Row],[8]:[19]],$I$5:$T$5,"Аренда")</f>
        <v>0</v>
      </c>
      <c r="I483" s="169"/>
      <c r="J483" s="169"/>
      <c r="K483" s="169">
        <v>39.700000000000003</v>
      </c>
      <c r="L483" s="169"/>
      <c r="M483" s="169"/>
      <c r="N483" s="169"/>
      <c r="O483" s="169"/>
      <c r="P483" s="169"/>
      <c r="Q483" s="169"/>
      <c r="R483" s="169"/>
      <c r="S483" s="169"/>
      <c r="T483" s="169"/>
      <c r="U483" s="170"/>
      <c r="V483" s="200"/>
      <c r="W483" s="12"/>
    </row>
    <row r="484" spans="1:23" s="154" customFormat="1" hidden="1" outlineLevel="2" x14ac:dyDescent="0.25">
      <c r="A484" s="186">
        <f>SUMIFS(МКД!$A$6:$A$389,МКД!$D$6:$D$389,Таблица1[[#This Row],[2]])</f>
        <v>95</v>
      </c>
      <c r="B484" s="168"/>
      <c r="C484" s="182" t="s">
        <v>354</v>
      </c>
      <c r="D484" s="167"/>
      <c r="E484" s="167" t="s">
        <v>2739</v>
      </c>
      <c r="F484" s="167">
        <v>1</v>
      </c>
      <c r="G484" s="168">
        <f>SUMIFS(Таблица1[[#This Row],[8]:[19]],$I$5:$T$5,"Выкуп")</f>
        <v>0</v>
      </c>
      <c r="H484" s="168">
        <f>SUMIFS(Таблица1[[#This Row],[8]:[19]],$I$5:$T$5,"Аренда")</f>
        <v>0</v>
      </c>
      <c r="I484" s="169"/>
      <c r="J484" s="169"/>
      <c r="K484" s="169"/>
      <c r="L484" s="169"/>
      <c r="M484" s="169"/>
      <c r="N484" s="169"/>
      <c r="O484" s="169"/>
      <c r="P484" s="169">
        <f>5.3*0</f>
        <v>0</v>
      </c>
      <c r="Q484" s="169"/>
      <c r="R484" s="169"/>
      <c r="S484" s="169"/>
      <c r="T484" s="169"/>
      <c r="U484" s="170"/>
      <c r="V484" s="200"/>
    </row>
    <row r="485" spans="1:23" s="154" customFormat="1" ht="15" outlineLevel="1" collapsed="1" x14ac:dyDescent="0.25">
      <c r="A485" s="186">
        <f>SUMIFS(МКД!$A$6:$A$389,МКД!$D$6:$D$389,Таблица1[[#This Row],[2]])</f>
        <v>96</v>
      </c>
      <c r="B485" s="194">
        <f>SUMIFS(Таблица1[6],Таблица1[2],Таблица1[[#This Row],[2]])+SUMIFS(Таблица1[7],Таблица1[2],Таблица1[[#This Row],[2]])</f>
        <v>296.3</v>
      </c>
      <c r="C485" s="185" t="s">
        <v>355</v>
      </c>
      <c r="D485" s="196"/>
      <c r="E485" s="196"/>
      <c r="F485" s="196"/>
      <c r="G485" s="168"/>
      <c r="H485" s="197"/>
      <c r="I485" s="196"/>
      <c r="J485" s="196"/>
      <c r="K485" s="196"/>
      <c r="L485" s="196"/>
      <c r="M485" s="196"/>
      <c r="N485" s="196"/>
      <c r="O485" s="196"/>
      <c r="P485" s="196"/>
      <c r="Q485" s="196"/>
      <c r="R485" s="196"/>
      <c r="S485" s="196"/>
      <c r="T485" s="196"/>
      <c r="U485" s="196"/>
      <c r="V485" s="198"/>
    </row>
    <row r="486" spans="1:23" hidden="1" outlineLevel="2" x14ac:dyDescent="0.25">
      <c r="A486" s="186">
        <f>SUMIFS(МКД!$A$6:$A$389,МКД!$D$6:$D$389,Таблица1[[#This Row],[2]])</f>
        <v>96</v>
      </c>
      <c r="B486" s="170"/>
      <c r="C486" s="182" t="s">
        <v>355</v>
      </c>
      <c r="D486" s="167" t="s">
        <v>1053</v>
      </c>
      <c r="E486" s="167" t="s">
        <v>1180</v>
      </c>
      <c r="F486" s="167">
        <v>1</v>
      </c>
      <c r="G486" s="168">
        <f>SUMIFS(Таблица1[[#This Row],[8]:[19]],$I$5:$T$5,"Выкуп")</f>
        <v>49.1</v>
      </c>
      <c r="H486" s="168">
        <f>SUMIFS(Таблица1[[#This Row],[8]:[19]],$I$5:$T$5,"Аренда")</f>
        <v>0</v>
      </c>
      <c r="I486" s="169"/>
      <c r="J486" s="169"/>
      <c r="K486" s="169">
        <v>49.1</v>
      </c>
      <c r="L486" s="169"/>
      <c r="M486" s="169"/>
      <c r="N486" s="169"/>
      <c r="O486" s="169"/>
      <c r="P486" s="169"/>
      <c r="Q486" s="169"/>
      <c r="R486" s="169"/>
      <c r="S486" s="169"/>
      <c r="T486" s="169"/>
      <c r="U486" s="170"/>
      <c r="V486" s="171"/>
    </row>
    <row r="487" spans="1:23" hidden="1" outlineLevel="2" x14ac:dyDescent="0.25">
      <c r="A487" s="186">
        <f>SUMIFS(МКД!$A$6:$A$389,МКД!$D$6:$D$389,Таблица1[[#This Row],[2]])</f>
        <v>96</v>
      </c>
      <c r="B487" s="170"/>
      <c r="C487" s="182" t="s">
        <v>355</v>
      </c>
      <c r="D487" s="167" t="s">
        <v>1593</v>
      </c>
      <c r="E487" s="273" t="s">
        <v>1739</v>
      </c>
      <c r="F487" s="167">
        <v>1</v>
      </c>
      <c r="G487" s="168">
        <f>SUMIFS(Таблица1[[#This Row],[8]:[19]],$I$5:$T$5,"Выкуп")</f>
        <v>61.8</v>
      </c>
      <c r="H487" s="168">
        <f>SUMIFS(Таблица1[[#This Row],[8]:[19]],$I$5:$T$5,"Аренда")</f>
        <v>0</v>
      </c>
      <c r="I487" s="169"/>
      <c r="J487" s="169"/>
      <c r="K487" s="169">
        <v>61.8</v>
      </c>
      <c r="L487" s="169"/>
      <c r="M487" s="169"/>
      <c r="N487" s="169"/>
      <c r="O487" s="169"/>
      <c r="P487" s="169"/>
      <c r="Q487" s="169"/>
      <c r="R487" s="169"/>
      <c r="S487" s="169"/>
      <c r="T487" s="169"/>
      <c r="U487" s="170"/>
      <c r="V487" s="171"/>
    </row>
    <row r="488" spans="1:23" hidden="1" outlineLevel="2" x14ac:dyDescent="0.25">
      <c r="A488" s="186">
        <f>SUMIFS(МКД!$A$6:$A$389,МКД!$D$6:$D$389,Таблица1[[#This Row],[2]])</f>
        <v>96</v>
      </c>
      <c r="B488" s="170"/>
      <c r="C488" s="182" t="s">
        <v>355</v>
      </c>
      <c r="D488" s="167" t="s">
        <v>1053</v>
      </c>
      <c r="E488" s="167" t="s">
        <v>2793</v>
      </c>
      <c r="F488" s="167">
        <v>1</v>
      </c>
      <c r="G488" s="320">
        <f>SUMIFS(Таблица1[[#This Row],[8]:[19]],$I$5:$T$5,"Выкуп")</f>
        <v>185.4</v>
      </c>
      <c r="H488" s="168">
        <f>SUMIFS(Таблица1[[#This Row],[8]:[19]],$I$5:$T$5,"Аренда")</f>
        <v>0</v>
      </c>
      <c r="I488" s="169"/>
      <c r="J488" s="169"/>
      <c r="K488" s="169"/>
      <c r="L488" s="169"/>
      <c r="M488" s="278">
        <v>185.4</v>
      </c>
      <c r="N488" s="169"/>
      <c r="O488" s="169"/>
      <c r="P488" s="169"/>
      <c r="Q488" s="169"/>
      <c r="R488" s="169"/>
      <c r="S488" s="169"/>
      <c r="T488" s="169"/>
      <c r="U488" s="170"/>
      <c r="V488" s="171"/>
    </row>
    <row r="489" spans="1:23" ht="15" outlineLevel="1" collapsed="1" x14ac:dyDescent="0.25">
      <c r="A489" s="186">
        <f>SUMIFS(МКД!$A$6:$A$389,МКД!$D$6:$D$389,Таблица1[[#This Row],[2]])</f>
        <v>98</v>
      </c>
      <c r="B489" s="194">
        <f>SUMIFS(Таблица1[6],Таблица1[2],Таблица1[[#This Row],[2]])+SUMIFS(Таблица1[7],Таблица1[2],Таблица1[[#This Row],[2]])</f>
        <v>72.2</v>
      </c>
      <c r="C489" s="185" t="s">
        <v>1328</v>
      </c>
      <c r="D489" s="196"/>
      <c r="E489" s="196"/>
      <c r="F489" s="196"/>
      <c r="G489" s="168"/>
      <c r="H489" s="197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8"/>
    </row>
    <row r="490" spans="1:23" hidden="1" outlineLevel="2" x14ac:dyDescent="0.25">
      <c r="A490" s="186">
        <f>SUMIFS(МКД!$A$6:$A$389,МКД!$D$6:$D$389,Таблица1[[#This Row],[2]])</f>
        <v>98</v>
      </c>
      <c r="B490" s="170"/>
      <c r="C490" s="182" t="s">
        <v>1328</v>
      </c>
      <c r="D490" s="167" t="s">
        <v>1301</v>
      </c>
      <c r="E490" s="167" t="s">
        <v>1300</v>
      </c>
      <c r="F490" s="167">
        <v>1</v>
      </c>
      <c r="G490" s="168">
        <f>SUMIFS(Таблица1[[#This Row],[8]:[19]],$I$5:$T$5,"Выкуп")</f>
        <v>72.2</v>
      </c>
      <c r="H490" s="168">
        <f>SUMIFS(Таблица1[[#This Row],[8]:[19]],$I$5:$T$5,"Аренда")</f>
        <v>0</v>
      </c>
      <c r="I490" s="169">
        <v>72.2</v>
      </c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70"/>
      <c r="V490" s="171"/>
    </row>
    <row r="491" spans="1:23" ht="15" outlineLevel="1" collapsed="1" x14ac:dyDescent="0.25">
      <c r="A491" s="186">
        <f>SUMIFS(МКД!$A$6:$A$389,МКД!$D$6:$D$389,Таблица1[[#This Row],[2]])</f>
        <v>99</v>
      </c>
      <c r="B491" s="194">
        <f>SUMIFS(Таблица1[6],Таблица1[2],Таблица1[[#This Row],[2]])+SUMIFS(Таблица1[7],Таблица1[2],Таблица1[[#This Row],[2]])</f>
        <v>345.2</v>
      </c>
      <c r="C491" s="185" t="s">
        <v>356</v>
      </c>
      <c r="D491" s="196"/>
      <c r="E491" s="196"/>
      <c r="F491" s="196"/>
      <c r="G491" s="168"/>
      <c r="H491" s="197"/>
      <c r="I491" s="196"/>
      <c r="J491" s="196"/>
      <c r="K491" s="196"/>
      <c r="L491" s="196"/>
      <c r="M491" s="196"/>
      <c r="N491" s="196"/>
      <c r="O491" s="196"/>
      <c r="P491" s="196"/>
      <c r="Q491" s="196"/>
      <c r="R491" s="196"/>
      <c r="S491" s="196"/>
      <c r="T491" s="196"/>
      <c r="U491" s="196"/>
      <c r="V491" s="198"/>
    </row>
    <row r="492" spans="1:23" hidden="1" outlineLevel="2" x14ac:dyDescent="0.25">
      <c r="A492" s="186">
        <f>SUMIFS(МКД!$A$6:$A$389,МКД!$D$6:$D$389,Таблица1[[#This Row],[2]])</f>
        <v>99</v>
      </c>
      <c r="B492" s="170"/>
      <c r="C492" s="182" t="s">
        <v>356</v>
      </c>
      <c r="D492" s="167" t="s">
        <v>861</v>
      </c>
      <c r="E492" s="167" t="s">
        <v>1302</v>
      </c>
      <c r="F492" s="167">
        <v>1</v>
      </c>
      <c r="G492" s="168">
        <f>SUMIFS(Таблица1[[#This Row],[8]:[19]],$I$5:$T$5,"Выкуп")</f>
        <v>85.4</v>
      </c>
      <c r="H492" s="168">
        <f>SUMIFS(Таблица1[[#This Row],[8]:[19]],$I$5:$T$5,"Аренда")</f>
        <v>0</v>
      </c>
      <c r="I492" s="169">
        <v>85.4</v>
      </c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70"/>
      <c r="V492" s="171"/>
    </row>
    <row r="493" spans="1:23" hidden="1" outlineLevel="2" x14ac:dyDescent="0.25">
      <c r="A493" s="186">
        <f>SUMIFS(МКД!$A$6:$A$389,МКД!$D$6:$D$389,Таблица1[[#This Row],[2]])</f>
        <v>99</v>
      </c>
      <c r="B493" s="168"/>
      <c r="C493" s="182" t="s">
        <v>356</v>
      </c>
      <c r="D493" s="167" t="s">
        <v>861</v>
      </c>
      <c r="E493" s="167" t="s">
        <v>2108</v>
      </c>
      <c r="F493" s="167">
        <v>1</v>
      </c>
      <c r="G493" s="168">
        <f>SUMIFS(Таблица1[[#This Row],[8]:[19]],$I$5:$T$5,"Выкуп")</f>
        <v>0</v>
      </c>
      <c r="H493" s="168">
        <f>SUMIFS(Таблица1[[#This Row],[8]:[19]],$I$5:$T$5,"Аренда")</f>
        <v>8.6</v>
      </c>
      <c r="I493" s="169"/>
      <c r="J493" s="169"/>
      <c r="K493" s="169"/>
      <c r="L493" s="169"/>
      <c r="M493" s="169"/>
      <c r="N493" s="169"/>
      <c r="O493" s="167"/>
      <c r="P493" s="169">
        <v>8.6</v>
      </c>
      <c r="Q493" s="169"/>
      <c r="R493" s="169"/>
      <c r="S493" s="169"/>
      <c r="T493" s="169"/>
      <c r="U493" s="170"/>
      <c r="V493" s="171"/>
    </row>
    <row r="494" spans="1:23" hidden="1" outlineLevel="2" x14ac:dyDescent="0.25">
      <c r="A494" s="186">
        <f>SUMIFS(МКД!$A$6:$A$389,МКД!$D$6:$D$389,Таблица1[[#This Row],[2]])</f>
        <v>99</v>
      </c>
      <c r="B494" s="168"/>
      <c r="C494" s="182" t="s">
        <v>356</v>
      </c>
      <c r="D494" s="167" t="s">
        <v>2640</v>
      </c>
      <c r="E494" s="167" t="s">
        <v>764</v>
      </c>
      <c r="F494" s="167">
        <v>1</v>
      </c>
      <c r="G494" s="168">
        <f>SUMIFS(Таблица1[[#This Row],[8]:[19]],$I$5:$T$5,"Выкуп")</f>
        <v>79.3</v>
      </c>
      <c r="H494" s="168">
        <f>SUMIFS(Таблица1[[#This Row],[8]:[19]],$I$5:$T$5,"Аренда")</f>
        <v>0</v>
      </c>
      <c r="I494" s="169"/>
      <c r="J494" s="169"/>
      <c r="K494" s="169">
        <v>79.3</v>
      </c>
      <c r="L494" s="169"/>
      <c r="M494" s="169"/>
      <c r="N494" s="169"/>
      <c r="O494" s="169"/>
      <c r="P494" s="169"/>
      <c r="Q494" s="169"/>
      <c r="R494" s="169"/>
      <c r="S494" s="169"/>
      <c r="T494" s="169"/>
      <c r="U494" s="170"/>
      <c r="V494" s="171"/>
    </row>
    <row r="495" spans="1:23" hidden="1" outlineLevel="2" x14ac:dyDescent="0.25">
      <c r="A495" s="186">
        <f>SUMIFS(МКД!$A$6:$A$389,МКД!$D$6:$D$389,Таблица1[[#This Row],[2]])</f>
        <v>99</v>
      </c>
      <c r="B495" s="168"/>
      <c r="C495" s="182" t="s">
        <v>356</v>
      </c>
      <c r="D495" s="167" t="s">
        <v>862</v>
      </c>
      <c r="E495" s="167" t="s">
        <v>1068</v>
      </c>
      <c r="F495" s="167">
        <v>1</v>
      </c>
      <c r="G495" s="168">
        <f>SUMIFS(Таблица1[[#This Row],[8]:[19]],$I$5:$T$5,"Выкуп")</f>
        <v>86.1</v>
      </c>
      <c r="H495" s="168">
        <f>SUMIFS(Таблица1[[#This Row],[8]:[19]],$I$5:$T$5,"Аренда")</f>
        <v>0</v>
      </c>
      <c r="I495" s="169">
        <v>86.1</v>
      </c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70"/>
      <c r="V495" s="171"/>
    </row>
    <row r="496" spans="1:23" hidden="1" outlineLevel="2" x14ac:dyDescent="0.25">
      <c r="A496" s="186">
        <f>SUMIFS(МКД!$A$6:$A$389,МКД!$D$6:$D$389,Таблица1[[#This Row],[2]])</f>
        <v>99</v>
      </c>
      <c r="B496" s="168"/>
      <c r="C496" s="182" t="s">
        <v>356</v>
      </c>
      <c r="D496" s="167" t="s">
        <v>863</v>
      </c>
      <c r="E496" s="167" t="s">
        <v>1303</v>
      </c>
      <c r="F496" s="167">
        <v>1</v>
      </c>
      <c r="G496" s="168">
        <f>SUMIFS(Таблица1[[#This Row],[8]:[19]],$I$5:$T$5,"Выкуп")</f>
        <v>85.8</v>
      </c>
      <c r="H496" s="168">
        <f>SUMIFS(Таблица1[[#This Row],[8]:[19]],$I$5:$T$5,"Аренда")</f>
        <v>0</v>
      </c>
      <c r="I496" s="169">
        <v>85.8</v>
      </c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70"/>
      <c r="V496" s="171"/>
    </row>
    <row r="497" spans="1:22" ht="15" outlineLevel="1" collapsed="1" x14ac:dyDescent="0.25">
      <c r="A497" s="186">
        <f>SUMIFS(МКД!$A$6:$A$389,МКД!$D$6:$D$389,Таблица1[[#This Row],[2]])</f>
        <v>100</v>
      </c>
      <c r="B497" s="194">
        <f>SUMIFS(Таблица1[6],Таблица1[2],Таблица1[[#This Row],[2]])+SUMIFS(Таблица1[7],Таблица1[2],Таблица1[[#This Row],[2]])</f>
        <v>0</v>
      </c>
      <c r="C497" s="185" t="s">
        <v>357</v>
      </c>
      <c r="D497" s="196"/>
      <c r="E497" s="196"/>
      <c r="F497" s="196"/>
      <c r="G497" s="168"/>
      <c r="H497" s="197"/>
      <c r="I497" s="196"/>
      <c r="J497" s="196"/>
      <c r="K497" s="196"/>
      <c r="L497" s="196"/>
      <c r="M497" s="196"/>
      <c r="N497" s="196"/>
      <c r="O497" s="196"/>
      <c r="P497" s="196"/>
      <c r="Q497" s="196"/>
      <c r="R497" s="196"/>
      <c r="S497" s="196"/>
      <c r="T497" s="196"/>
      <c r="U497" s="196"/>
      <c r="V497" s="198"/>
    </row>
    <row r="498" spans="1:22" ht="15" hidden="1" outlineLevel="2" x14ac:dyDescent="0.25">
      <c r="A498" s="186">
        <f>SUMIFS(МКД!$A$6:$A$389,МКД!$D$6:$D$389,Таблица1[[#This Row],[2]])</f>
        <v>100</v>
      </c>
      <c r="B498" s="196"/>
      <c r="C498" s="182" t="s">
        <v>357</v>
      </c>
      <c r="D498" s="196"/>
      <c r="E498" s="196"/>
      <c r="F498" s="196"/>
      <c r="G498" s="168">
        <f>SUMIFS(Таблица1[[#This Row],[8]:[19]],$I$5:$T$5,"Выкуп")</f>
        <v>0</v>
      </c>
      <c r="H498" s="168">
        <f>SUMIFS(Таблица1[[#This Row],[8]:[19]],$I$5:$T$5,"Аренда")</f>
        <v>0</v>
      </c>
      <c r="I498" s="196"/>
      <c r="J498" s="196"/>
      <c r="K498" s="196"/>
      <c r="L498" s="196"/>
      <c r="M498" s="196"/>
      <c r="N498" s="196"/>
      <c r="O498" s="196"/>
      <c r="P498" s="196"/>
      <c r="Q498" s="196"/>
      <c r="R498" s="196"/>
      <c r="S498" s="196"/>
      <c r="T498" s="196"/>
      <c r="U498" s="196"/>
      <c r="V498" s="198"/>
    </row>
    <row r="499" spans="1:22" ht="15" outlineLevel="1" collapsed="1" x14ac:dyDescent="0.25">
      <c r="A499" s="186">
        <f>SUMIFS(МКД!$A$6:$A$389,МКД!$D$6:$D$389,Таблица1[[#This Row],[2]])</f>
        <v>86</v>
      </c>
      <c r="B499" s="194">
        <f>SUMIFS(Таблица1[6],Таблица1[2],Таблица1[[#This Row],[2]])+SUMIFS(Таблица1[7],Таблица1[2],Таблица1[[#This Row],[2]])</f>
        <v>242.4</v>
      </c>
      <c r="C499" s="185" t="s">
        <v>358</v>
      </c>
      <c r="D499" s="196"/>
      <c r="E499" s="196"/>
      <c r="F499" s="196"/>
      <c r="G499" s="168"/>
      <c r="H499" s="197"/>
      <c r="I499" s="196"/>
      <c r="J499" s="196"/>
      <c r="K499" s="196"/>
      <c r="L499" s="196"/>
      <c r="M499" s="196"/>
      <c r="N499" s="196"/>
      <c r="O499" s="196"/>
      <c r="P499" s="196"/>
      <c r="Q499" s="196"/>
      <c r="R499" s="196"/>
      <c r="S499" s="196"/>
      <c r="T499" s="196"/>
      <c r="U499" s="196"/>
      <c r="V499" s="198"/>
    </row>
    <row r="500" spans="1:22" hidden="1" outlineLevel="2" x14ac:dyDescent="0.25">
      <c r="A500" s="186">
        <f>SUMIFS(МКД!$A$6:$A$389,МКД!$D$6:$D$389,Таблица1[[#This Row],[2]])</f>
        <v>86</v>
      </c>
      <c r="B500" s="170"/>
      <c r="C500" s="182" t="s">
        <v>358</v>
      </c>
      <c r="D500" s="167" t="s">
        <v>1985</v>
      </c>
      <c r="E500" s="167" t="s">
        <v>1251</v>
      </c>
      <c r="F500" s="167">
        <v>1</v>
      </c>
      <c r="G500" s="168">
        <f>SUMIFS(Таблица1[[#This Row],[8]:[19]],$I$5:$T$5,"Выкуп")</f>
        <v>52.6</v>
      </c>
      <c r="H500" s="168">
        <f>SUMIFS(Таблица1[[#This Row],[8]:[19]],$I$5:$T$5,"Аренда")</f>
        <v>0</v>
      </c>
      <c r="I500" s="169">
        <v>52.6</v>
      </c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70"/>
      <c r="V500" s="171"/>
    </row>
    <row r="501" spans="1:22" hidden="1" outlineLevel="2" x14ac:dyDescent="0.25">
      <c r="A501" s="186">
        <f>SUMIFS(МКД!$A$6:$A$389,МКД!$D$6:$D$389,Таблица1[[#This Row],[2]])</f>
        <v>86</v>
      </c>
      <c r="B501" s="168"/>
      <c r="C501" s="182" t="s">
        <v>358</v>
      </c>
      <c r="D501" s="167" t="s">
        <v>2815</v>
      </c>
      <c r="E501" s="167" t="s">
        <v>764</v>
      </c>
      <c r="F501" s="167">
        <v>1</v>
      </c>
      <c r="G501" s="168">
        <f>SUMIFS(Таблица1[[#This Row],[8]:[19]],$I$5:$T$5,"Выкуп")</f>
        <v>189.8</v>
      </c>
      <c r="H501" s="168">
        <f>SUMIFS(Таблица1[[#This Row],[8]:[19]],$I$5:$T$5,"Аренда")</f>
        <v>0</v>
      </c>
      <c r="I501" s="169"/>
      <c r="J501" s="169"/>
      <c r="K501" s="169">
        <v>189.8</v>
      </c>
      <c r="L501" s="169"/>
      <c r="M501" s="169"/>
      <c r="N501" s="169"/>
      <c r="O501" s="169"/>
      <c r="P501" s="169"/>
      <c r="Q501" s="169"/>
      <c r="R501" s="169"/>
      <c r="S501" s="169"/>
      <c r="T501" s="169"/>
      <c r="U501" s="170"/>
      <c r="V501" s="171"/>
    </row>
    <row r="502" spans="1:22" ht="15" outlineLevel="1" collapsed="1" x14ac:dyDescent="0.25">
      <c r="A502" s="186">
        <f>SUMIFS(МКД!$A$6:$A$389,МКД!$D$6:$D$389,Таблица1[[#This Row],[2]])</f>
        <v>87</v>
      </c>
      <c r="B502" s="194">
        <f>SUMIFS(Таблица1[6],Таблица1[2],Таблица1[[#This Row],[2]])+SUMIFS(Таблица1[7],Таблица1[2],Таблица1[[#This Row],[2]])</f>
        <v>0</v>
      </c>
      <c r="C502" s="185" t="s">
        <v>359</v>
      </c>
      <c r="D502" s="196"/>
      <c r="E502" s="196"/>
      <c r="F502" s="196"/>
      <c r="G502" s="168"/>
      <c r="H502" s="197"/>
      <c r="I502" s="196"/>
      <c r="J502" s="196"/>
      <c r="K502" s="196"/>
      <c r="L502" s="196"/>
      <c r="M502" s="196"/>
      <c r="N502" s="196"/>
      <c r="O502" s="196"/>
      <c r="P502" s="196"/>
      <c r="Q502" s="196"/>
      <c r="R502" s="196"/>
      <c r="S502" s="196"/>
      <c r="T502" s="196"/>
      <c r="U502" s="196"/>
      <c r="V502" s="198"/>
    </row>
    <row r="503" spans="1:22" ht="15" hidden="1" outlineLevel="2" x14ac:dyDescent="0.25">
      <c r="A503" s="186">
        <f>SUMIFS(МКД!$A$6:$A$389,МКД!$D$6:$D$389,Таблица1[[#This Row],[2]])</f>
        <v>87</v>
      </c>
      <c r="B503" s="196"/>
      <c r="C503" s="182" t="s">
        <v>359</v>
      </c>
      <c r="D503" s="196"/>
      <c r="E503" s="196"/>
      <c r="F503" s="196"/>
      <c r="G503" s="168">
        <f>SUMIFS(Таблица1[[#This Row],[8]:[19]],$I$5:$T$5,"Выкуп")</f>
        <v>0</v>
      </c>
      <c r="H503" s="168">
        <f>SUMIFS(Таблица1[[#This Row],[8]:[19]],$I$5:$T$5,"Аренда")</f>
        <v>0</v>
      </c>
      <c r="I503" s="196"/>
      <c r="J503" s="196"/>
      <c r="K503" s="196"/>
      <c r="L503" s="196"/>
      <c r="M503" s="196"/>
      <c r="N503" s="196"/>
      <c r="O503" s="196"/>
      <c r="P503" s="196"/>
      <c r="Q503" s="196"/>
      <c r="R503" s="196"/>
      <c r="S503" s="196"/>
      <c r="T503" s="196"/>
      <c r="U503" s="196"/>
      <c r="V503" s="198"/>
    </row>
    <row r="504" spans="1:22" ht="15" outlineLevel="1" collapsed="1" x14ac:dyDescent="0.25">
      <c r="A504" s="186">
        <f>SUMIFS(МКД!$A$6:$A$389,МКД!$D$6:$D$389,Таблица1[[#This Row],[2]])</f>
        <v>88</v>
      </c>
      <c r="B504" s="194">
        <f>SUMIFS(Таблица1[6],Таблица1[2],Таблица1[[#This Row],[2]])+SUMIFS(Таблица1[7],Таблица1[2],Таблица1[[#This Row],[2]])</f>
        <v>0</v>
      </c>
      <c r="C504" s="185" t="s">
        <v>360</v>
      </c>
      <c r="D504" s="196"/>
      <c r="E504" s="196"/>
      <c r="F504" s="196"/>
      <c r="G504" s="168"/>
      <c r="H504" s="197"/>
      <c r="I504" s="196"/>
      <c r="J504" s="196"/>
      <c r="K504" s="196"/>
      <c r="L504" s="196"/>
      <c r="M504" s="196"/>
      <c r="N504" s="196"/>
      <c r="O504" s="196"/>
      <c r="P504" s="196"/>
      <c r="Q504" s="196"/>
      <c r="R504" s="196"/>
      <c r="S504" s="196"/>
      <c r="T504" s="196"/>
      <c r="U504" s="196"/>
      <c r="V504" s="198"/>
    </row>
    <row r="505" spans="1:22" ht="15" hidden="1" outlineLevel="2" x14ac:dyDescent="0.25">
      <c r="A505" s="186">
        <f>SUMIFS(МКД!$A$6:$A$389,МКД!$D$6:$D$389,Таблица1[[#This Row],[2]])</f>
        <v>88</v>
      </c>
      <c r="B505" s="196"/>
      <c r="C505" s="182" t="s">
        <v>360</v>
      </c>
      <c r="D505" s="196"/>
      <c r="E505" s="196"/>
      <c r="F505" s="196"/>
      <c r="G505" s="168">
        <f>SUMIFS(Таблица1[[#This Row],[8]:[19]],$I$5:$T$5,"Выкуп")</f>
        <v>0</v>
      </c>
      <c r="H505" s="168">
        <f>SUMIFS(Таблица1[[#This Row],[8]:[19]],$I$5:$T$5,"Аренда")</f>
        <v>0</v>
      </c>
      <c r="I505" s="196"/>
      <c r="J505" s="196"/>
      <c r="K505" s="196"/>
      <c r="L505" s="196"/>
      <c r="M505" s="196"/>
      <c r="N505" s="196"/>
      <c r="O505" s="196"/>
      <c r="P505" s="196"/>
      <c r="Q505" s="196"/>
      <c r="R505" s="196"/>
      <c r="S505" s="196"/>
      <c r="T505" s="196"/>
      <c r="U505" s="196"/>
      <c r="V505" s="198"/>
    </row>
    <row r="506" spans="1:22" ht="15" outlineLevel="1" collapsed="1" x14ac:dyDescent="0.25">
      <c r="A506" s="186">
        <f>SUMIFS(МКД!$A$6:$A$389,МКД!$D$6:$D$389,Таблица1[[#This Row],[2]])</f>
        <v>89</v>
      </c>
      <c r="B506" s="194">
        <f>SUMIFS(Таблица1[6],Таблица1[2],Таблица1[[#This Row],[2]])+SUMIFS(Таблица1[7],Таблица1[2],Таблица1[[#This Row],[2]])</f>
        <v>258.7</v>
      </c>
      <c r="C506" s="185" t="s">
        <v>361</v>
      </c>
      <c r="D506" s="196"/>
      <c r="E506" s="196"/>
      <c r="F506" s="196"/>
      <c r="G506" s="168"/>
      <c r="H506" s="197"/>
      <c r="I506" s="196"/>
      <c r="J506" s="196"/>
      <c r="K506" s="196"/>
      <c r="L506" s="196"/>
      <c r="M506" s="196"/>
      <c r="N506" s="196"/>
      <c r="O506" s="196"/>
      <c r="P506" s="196"/>
      <c r="Q506" s="196"/>
      <c r="R506" s="196"/>
      <c r="S506" s="196"/>
      <c r="T506" s="196"/>
      <c r="U506" s="196"/>
      <c r="V506" s="198"/>
    </row>
    <row r="507" spans="1:22" hidden="1" outlineLevel="2" x14ac:dyDescent="0.25">
      <c r="A507" s="186">
        <f>SUMIFS(МКД!$A$6:$A$389,МКД!$D$6:$D$389,Таблица1[[#This Row],[2]])</f>
        <v>89</v>
      </c>
      <c r="B507" s="170"/>
      <c r="C507" s="182" t="s">
        <v>361</v>
      </c>
      <c r="D507" s="167" t="s">
        <v>864</v>
      </c>
      <c r="E507" s="167" t="s">
        <v>1259</v>
      </c>
      <c r="F507" s="167">
        <v>1</v>
      </c>
      <c r="G507" s="168">
        <f>SUMIFS(Таблица1[[#This Row],[8]:[19]],$I$5:$T$5,"Выкуп")</f>
        <v>86.6</v>
      </c>
      <c r="H507" s="168">
        <f>SUMIFS(Таблица1[[#This Row],[8]:[19]],$I$5:$T$5,"Аренда")</f>
        <v>0</v>
      </c>
      <c r="I507" s="169">
        <v>86.6</v>
      </c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70"/>
      <c r="V507" s="171"/>
    </row>
    <row r="508" spans="1:22" hidden="1" outlineLevel="2" x14ac:dyDescent="0.25">
      <c r="A508" s="186">
        <f>SUMIFS(МКД!$A$6:$A$389,МКД!$D$6:$D$389,Таблица1[[#This Row],[2]])</f>
        <v>89</v>
      </c>
      <c r="B508" s="168"/>
      <c r="C508" s="182" t="s">
        <v>361</v>
      </c>
      <c r="D508" s="167" t="s">
        <v>865</v>
      </c>
      <c r="E508" s="167" t="s">
        <v>1304</v>
      </c>
      <c r="F508" s="167">
        <v>1</v>
      </c>
      <c r="G508" s="168">
        <f>SUMIFS(Таблица1[[#This Row],[8]:[19]],$I$5:$T$5,"Выкуп")</f>
        <v>163.9</v>
      </c>
      <c r="H508" s="168">
        <f>SUMIFS(Таблица1[[#This Row],[8]:[19]],$I$5:$T$5,"Аренда")</f>
        <v>0</v>
      </c>
      <c r="I508" s="169">
        <v>163.9</v>
      </c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70"/>
      <c r="V508" s="171"/>
    </row>
    <row r="509" spans="1:22" hidden="1" outlineLevel="2" x14ac:dyDescent="0.25">
      <c r="A509" s="186">
        <f>SUMIFS(МКД!$A$6:$A$389,МКД!$D$6:$D$389,Таблица1[[#This Row],[2]])</f>
        <v>89</v>
      </c>
      <c r="B509" s="168"/>
      <c r="C509" s="182" t="s">
        <v>361</v>
      </c>
      <c r="D509" s="167" t="s">
        <v>865</v>
      </c>
      <c r="E509" s="167" t="s">
        <v>2</v>
      </c>
      <c r="F509" s="167">
        <v>1</v>
      </c>
      <c r="G509" s="168">
        <f>SUMIFS(Таблица1[[#This Row],[8]:[19]],$I$5:$T$5,"Выкуп")</f>
        <v>0</v>
      </c>
      <c r="H509" s="168">
        <f>SUMIFS(Таблица1[[#This Row],[8]:[19]],$I$5:$T$5,"Аренда")</f>
        <v>8.1999999999999993</v>
      </c>
      <c r="I509" s="169"/>
      <c r="J509" s="169"/>
      <c r="K509" s="169"/>
      <c r="L509" s="169"/>
      <c r="M509" s="169"/>
      <c r="N509" s="169"/>
      <c r="O509" s="167"/>
      <c r="P509" s="169">
        <v>8.1999999999999993</v>
      </c>
      <c r="Q509" s="169"/>
      <c r="R509" s="169"/>
      <c r="S509" s="169"/>
      <c r="T509" s="169"/>
      <c r="U509" s="170"/>
      <c r="V509" s="171"/>
    </row>
    <row r="510" spans="1:22" ht="15" outlineLevel="1" collapsed="1" x14ac:dyDescent="0.25">
      <c r="A510" s="186">
        <f>SUMIFS(МКД!$A$6:$A$389,МКД!$D$6:$D$389,Таблица1[[#This Row],[2]])</f>
        <v>90</v>
      </c>
      <c r="B510" s="194">
        <f>SUMIFS(Таблица1[6],Таблица1[2],Таблица1[[#This Row],[2]])+SUMIFS(Таблица1[7],Таблица1[2],Таблица1[[#This Row],[2]])</f>
        <v>1163.7</v>
      </c>
      <c r="C510" s="185" t="s">
        <v>362</v>
      </c>
      <c r="D510" s="196"/>
      <c r="E510" s="196"/>
      <c r="F510" s="196"/>
      <c r="G510" s="168"/>
      <c r="H510" s="197"/>
      <c r="I510" s="196"/>
      <c r="J510" s="196"/>
      <c r="K510" s="196"/>
      <c r="L510" s="196"/>
      <c r="M510" s="196"/>
      <c r="N510" s="196"/>
      <c r="O510" s="196"/>
      <c r="P510" s="196"/>
      <c r="Q510" s="196"/>
      <c r="R510" s="196"/>
      <c r="S510" s="196"/>
      <c r="T510" s="196"/>
      <c r="U510" s="196"/>
      <c r="V510" s="198"/>
    </row>
    <row r="511" spans="1:22" hidden="1" outlineLevel="2" x14ac:dyDescent="0.25">
      <c r="A511" s="186">
        <f>SUMIFS(МКД!$A$6:$A$389,МКД!$D$6:$D$389,Таблица1[[#This Row],[2]])</f>
        <v>90</v>
      </c>
      <c r="B511" s="170"/>
      <c r="C511" s="182" t="s">
        <v>362</v>
      </c>
      <c r="D511" s="167" t="s">
        <v>866</v>
      </c>
      <c r="E511" s="167" t="s">
        <v>1800</v>
      </c>
      <c r="F511" s="167">
        <v>1</v>
      </c>
      <c r="G511" s="168">
        <f>SUMIFS(Таблица1[[#This Row],[8]:[19]],$I$5:$T$5,"Выкуп")</f>
        <v>889.6</v>
      </c>
      <c r="H511" s="168">
        <f>SUMIFS(Таблица1[[#This Row],[8]:[19]],$I$5:$T$5,"Аренда")</f>
        <v>0</v>
      </c>
      <c r="I511" s="169">
        <v>556.1</v>
      </c>
      <c r="J511" s="169"/>
      <c r="K511" s="169">
        <v>333.5</v>
      </c>
      <c r="L511" s="169"/>
      <c r="M511" s="169"/>
      <c r="N511" s="169"/>
      <c r="O511" s="169"/>
      <c r="P511" s="169"/>
      <c r="Q511" s="169"/>
      <c r="R511" s="169"/>
      <c r="S511" s="169"/>
      <c r="T511" s="169"/>
      <c r="U511" s="170"/>
      <c r="V511" s="171"/>
    </row>
    <row r="512" spans="1:22" hidden="1" outlineLevel="2" x14ac:dyDescent="0.25">
      <c r="A512" s="186">
        <f>SUMIFS(МКД!$A$6:$A$389,МКД!$D$6:$D$389,Таблица1[[#This Row],[2]])</f>
        <v>90</v>
      </c>
      <c r="B512" s="168"/>
      <c r="C512" s="182" t="s">
        <v>362</v>
      </c>
      <c r="D512" s="167" t="s">
        <v>867</v>
      </c>
      <c r="E512" s="167" t="s">
        <v>1208</v>
      </c>
      <c r="F512" s="167">
        <v>1</v>
      </c>
      <c r="G512" s="168">
        <f>SUMIFS(Таблица1[[#This Row],[8]:[19]],$I$5:$T$5,"Выкуп")</f>
        <v>99.7</v>
      </c>
      <c r="H512" s="168">
        <f>SUMIFS(Таблица1[[#This Row],[8]:[19]],$I$5:$T$5,"Аренда")</f>
        <v>0</v>
      </c>
      <c r="I512" s="169">
        <v>99.7</v>
      </c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70"/>
      <c r="V512" s="171"/>
    </row>
    <row r="513" spans="1:22" hidden="1" outlineLevel="2" x14ac:dyDescent="0.25">
      <c r="A513" s="186">
        <f>SUMIFS(МКД!$A$6:$A$389,МКД!$D$6:$D$389,Таблица1[[#This Row],[2]])</f>
        <v>90</v>
      </c>
      <c r="B513" s="168"/>
      <c r="C513" s="182" t="s">
        <v>362</v>
      </c>
      <c r="D513" s="167" t="s">
        <v>868</v>
      </c>
      <c r="E513" s="167" t="s">
        <v>67</v>
      </c>
      <c r="F513" s="167">
        <v>1</v>
      </c>
      <c r="G513" s="168">
        <f>SUMIFS(Таблица1[[#This Row],[8]:[19]],$I$5:$T$5,"Выкуп")</f>
        <v>128.4</v>
      </c>
      <c r="H513" s="168">
        <f>SUMIFS(Таблица1[[#This Row],[8]:[19]],$I$5:$T$5,"Аренда")</f>
        <v>0</v>
      </c>
      <c r="I513" s="169">
        <v>73.3</v>
      </c>
      <c r="J513" s="169"/>
      <c r="K513" s="169">
        <v>55.1</v>
      </c>
      <c r="L513" s="169"/>
      <c r="M513" s="169"/>
      <c r="N513" s="169"/>
      <c r="O513" s="169"/>
      <c r="P513" s="169"/>
      <c r="Q513" s="169"/>
      <c r="R513" s="169"/>
      <c r="S513" s="169"/>
      <c r="T513" s="169"/>
      <c r="U513" s="170"/>
      <c r="V513" s="171"/>
    </row>
    <row r="514" spans="1:22" hidden="1" outlineLevel="2" x14ac:dyDescent="0.25">
      <c r="A514" s="186">
        <f>SUMIFS(МКД!$A$6:$A$389,МКД!$D$6:$D$389,Таблица1[[#This Row],[2]])</f>
        <v>90</v>
      </c>
      <c r="B514" s="168"/>
      <c r="C514" s="182" t="s">
        <v>362</v>
      </c>
      <c r="D514" s="167" t="s">
        <v>189</v>
      </c>
      <c r="E514" s="167" t="s">
        <v>1378</v>
      </c>
      <c r="F514" s="167">
        <v>1</v>
      </c>
      <c r="G514" s="168">
        <f>SUMIFS(Таблица1[[#This Row],[8]:[19]],$I$5:$T$5,"Выкуп")</f>
        <v>0</v>
      </c>
      <c r="H514" s="168">
        <f>SUMIFS(Таблица1[[#This Row],[8]:[19]],$I$5:$T$5,"Аренда")</f>
        <v>46</v>
      </c>
      <c r="I514" s="169"/>
      <c r="J514" s="169"/>
      <c r="K514" s="169"/>
      <c r="L514" s="169">
        <v>46</v>
      </c>
      <c r="M514" s="169"/>
      <c r="N514" s="169"/>
      <c r="O514" s="169"/>
      <c r="P514" s="169"/>
      <c r="Q514" s="169"/>
      <c r="R514" s="169"/>
      <c r="S514" s="169"/>
      <c r="T514" s="169"/>
      <c r="U514" s="170"/>
      <c r="V514" s="171"/>
    </row>
    <row r="515" spans="1:22" ht="15" outlineLevel="1" collapsed="1" x14ac:dyDescent="0.25">
      <c r="A515" s="186">
        <f>SUMIFS(МКД!$A$6:$A$389,МКД!$D$6:$D$389,Таблица1[[#This Row],[2]])</f>
        <v>91</v>
      </c>
      <c r="B515" s="194">
        <f>SUMIFS(Таблица1[6],Таблица1[2],Таблица1[[#This Row],[2]])+SUMIFS(Таблица1[7],Таблица1[2],Таблица1[[#This Row],[2]])</f>
        <v>1254.9599999999998</v>
      </c>
      <c r="C515" s="185" t="s">
        <v>444</v>
      </c>
      <c r="D515" s="196"/>
      <c r="E515" s="196"/>
      <c r="F515" s="196"/>
      <c r="G515" s="168"/>
      <c r="H515" s="197"/>
      <c r="I515" s="196"/>
      <c r="J515" s="196"/>
      <c r="K515" s="196"/>
      <c r="L515" s="196"/>
      <c r="M515" s="196"/>
      <c r="N515" s="196"/>
      <c r="O515" s="196"/>
      <c r="P515" s="196"/>
      <c r="Q515" s="196"/>
      <c r="R515" s="196"/>
      <c r="S515" s="196"/>
      <c r="T515" s="196"/>
      <c r="U515" s="196"/>
      <c r="V515" s="198"/>
    </row>
    <row r="516" spans="1:22" hidden="1" outlineLevel="2" x14ac:dyDescent="0.25">
      <c r="A516" s="186">
        <f>SUMIFS(МКД!$A$6:$A$389,МКД!$D$6:$D$389,Таблица1[[#This Row],[2]])</f>
        <v>91</v>
      </c>
      <c r="B516" s="170"/>
      <c r="C516" s="182" t="s">
        <v>444</v>
      </c>
      <c r="D516" s="167" t="s">
        <v>2614</v>
      </c>
      <c r="E516" s="167" t="s">
        <v>828</v>
      </c>
      <c r="F516" s="167">
        <v>1</v>
      </c>
      <c r="G516" s="168">
        <f>SUMIFS(Таблица1[[#This Row],[8]:[19]],$I$5:$T$5,"Выкуп")</f>
        <v>510.4</v>
      </c>
      <c r="H516" s="168">
        <f>SUMIFS(Таблица1[[#This Row],[8]:[19]],$I$5:$T$5,"Аренда")</f>
        <v>0</v>
      </c>
      <c r="I516" s="169">
        <v>327</v>
      </c>
      <c r="J516" s="169"/>
      <c r="K516" s="169">
        <v>183.4</v>
      </c>
      <c r="L516" s="169"/>
      <c r="M516" s="169"/>
      <c r="N516" s="169"/>
      <c r="O516" s="169"/>
      <c r="P516" s="169"/>
      <c r="Q516" s="169"/>
      <c r="R516" s="169"/>
      <c r="S516" s="169"/>
      <c r="T516" s="169"/>
      <c r="U516" s="170"/>
      <c r="V516" s="171"/>
    </row>
    <row r="517" spans="1:22" hidden="1" outlineLevel="2" x14ac:dyDescent="0.25">
      <c r="A517" s="186">
        <f>SUMIFS(МКД!$A$6:$A$389,МКД!$D$6:$D$389,Таблица1[[#This Row],[2]])</f>
        <v>91</v>
      </c>
      <c r="B517" s="170"/>
      <c r="C517" s="182" t="s">
        <v>444</v>
      </c>
      <c r="D517" s="167" t="s">
        <v>2614</v>
      </c>
      <c r="E517" s="167" t="s">
        <v>2106</v>
      </c>
      <c r="F517" s="167">
        <v>1</v>
      </c>
      <c r="G517" s="168">
        <f>SUMIFS(Таблица1[[#This Row],[8]:[19]],$I$5:$T$5,"Выкуп")</f>
        <v>100.7</v>
      </c>
      <c r="H517" s="168">
        <f>SUMIFS(Таблица1[[#This Row],[8]:[19]],$I$5:$T$5,"Аренда")</f>
        <v>0</v>
      </c>
      <c r="I517" s="169">
        <v>100.7</v>
      </c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70"/>
      <c r="V517" s="171"/>
    </row>
    <row r="518" spans="1:22" hidden="1" outlineLevel="2" x14ac:dyDescent="0.25">
      <c r="A518" s="186">
        <f>SUMIFS(МКД!$A$6:$A$389,МКД!$D$6:$D$389,Таблица1[[#This Row],[2]])</f>
        <v>91</v>
      </c>
      <c r="B518" s="168"/>
      <c r="C518" s="182" t="s">
        <v>444</v>
      </c>
      <c r="D518" s="167" t="s">
        <v>869</v>
      </c>
      <c r="E518" s="167" t="s">
        <v>764</v>
      </c>
      <c r="F518" s="167">
        <v>1</v>
      </c>
      <c r="G518" s="168">
        <f>SUMIFS(Таблица1[[#This Row],[8]:[19]],$I$5:$T$5,"Выкуп")</f>
        <v>421.4</v>
      </c>
      <c r="H518" s="168">
        <f>SUMIFS(Таблица1[[#This Row],[8]:[19]],$I$5:$T$5,"Аренда")</f>
        <v>0</v>
      </c>
      <c r="I518" s="169">
        <v>304</v>
      </c>
      <c r="J518" s="169"/>
      <c r="K518" s="169">
        <v>117.4</v>
      </c>
      <c r="L518" s="169"/>
      <c r="M518" s="169"/>
      <c r="N518" s="169"/>
      <c r="O518" s="169"/>
      <c r="P518" s="169"/>
      <c r="Q518" s="169"/>
      <c r="R518" s="169"/>
      <c r="S518" s="169"/>
      <c r="T518" s="169"/>
      <c r="U518" s="170"/>
      <c r="V518" s="171"/>
    </row>
    <row r="519" spans="1:22" hidden="1" outlineLevel="2" x14ac:dyDescent="0.25">
      <c r="A519" s="186">
        <f>SUMIFS(МКД!$A$6:$A$389,МКД!$D$6:$D$389,Таблица1[[#This Row],[2]])</f>
        <v>91</v>
      </c>
      <c r="B519" s="168"/>
      <c r="C519" s="182" t="s">
        <v>444</v>
      </c>
      <c r="D519" s="167" t="s">
        <v>1995</v>
      </c>
      <c r="E519" s="167" t="s">
        <v>1273</v>
      </c>
      <c r="F519" s="167">
        <v>1</v>
      </c>
      <c r="G519" s="168">
        <f>SUMIFS(Таблица1[[#This Row],[8]:[19]],$I$5:$T$5,"Выкуп")</f>
        <v>71.8</v>
      </c>
      <c r="H519" s="168">
        <f>SUMIFS(Таблица1[[#This Row],[8]:[19]],$I$5:$T$5,"Аренда")</f>
        <v>0</v>
      </c>
      <c r="I519" s="169">
        <v>71.8</v>
      </c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70"/>
      <c r="V519" s="171"/>
    </row>
    <row r="520" spans="1:22" hidden="1" outlineLevel="2" x14ac:dyDescent="0.25">
      <c r="A520" s="186">
        <f>SUMIFS(МКД!$A$6:$A$389,МКД!$D$6:$D$389,Таблица1[[#This Row],[2]])</f>
        <v>91</v>
      </c>
      <c r="B520" s="168"/>
      <c r="C520" s="182" t="s">
        <v>444</v>
      </c>
      <c r="D520" s="167" t="s">
        <v>870</v>
      </c>
      <c r="E520" s="167" t="s">
        <v>1184</v>
      </c>
      <c r="F520" s="167">
        <v>1</v>
      </c>
      <c r="G520" s="168">
        <f>SUMIFS(Таблица1[[#This Row],[8]:[19]],$I$5:$T$5,"Выкуп")</f>
        <v>67.8</v>
      </c>
      <c r="H520" s="168">
        <f>SUMIFS(Таблица1[[#This Row],[8]:[19]],$I$5:$T$5,"Аренда")</f>
        <v>0</v>
      </c>
      <c r="I520" s="169">
        <v>67.8</v>
      </c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70"/>
      <c r="V520" s="171"/>
    </row>
    <row r="521" spans="1:22" hidden="1" outlineLevel="2" x14ac:dyDescent="0.25">
      <c r="A521" s="186">
        <f>SUMIFS(МКД!$A$6:$A$389,МКД!$D$6:$D$389,Таблица1[[#This Row],[2]])</f>
        <v>91</v>
      </c>
      <c r="B521" s="168"/>
      <c r="C521" s="182" t="s">
        <v>444</v>
      </c>
      <c r="D521" s="167" t="s">
        <v>1593</v>
      </c>
      <c r="E521" s="273" t="s">
        <v>1740</v>
      </c>
      <c r="F521" s="167">
        <v>1</v>
      </c>
      <c r="G521" s="168">
        <f>SUMIFS(Таблица1[[#This Row],[8]:[19]],$I$5:$T$5,"Выкуп")</f>
        <v>38.26</v>
      </c>
      <c r="H521" s="168">
        <f>SUMIFS(Таблица1[[#This Row],[8]:[19]],$I$5:$T$5,"Аренда")</f>
        <v>0</v>
      </c>
      <c r="I521" s="169"/>
      <c r="J521" s="169"/>
      <c r="K521" s="169">
        <v>38.26</v>
      </c>
      <c r="L521" s="169"/>
      <c r="M521" s="169"/>
      <c r="N521" s="169"/>
      <c r="O521" s="169"/>
      <c r="P521" s="169"/>
      <c r="Q521" s="169"/>
      <c r="R521" s="169"/>
      <c r="S521" s="169"/>
      <c r="T521" s="169"/>
      <c r="U521" s="170"/>
      <c r="V521" s="171"/>
    </row>
    <row r="522" spans="1:22" hidden="1" outlineLevel="2" x14ac:dyDescent="0.25">
      <c r="A522" s="186">
        <f>SUMIFS(МКД!$A$6:$A$389,МКД!$D$6:$D$389,Таблица1[[#This Row],[2]])</f>
        <v>91</v>
      </c>
      <c r="B522" s="168"/>
      <c r="C522" s="182" t="s">
        <v>444</v>
      </c>
      <c r="D522" s="167" t="s">
        <v>1053</v>
      </c>
      <c r="E522" s="167" t="s">
        <v>4</v>
      </c>
      <c r="F522" s="167">
        <v>1</v>
      </c>
      <c r="G522" s="168">
        <f>SUMIFS(Таблица1[[#This Row],[8]:[19]],$I$5:$T$5,"Выкуп")</f>
        <v>44.6</v>
      </c>
      <c r="H522" s="168">
        <f>SUMIFS(Таблица1[[#This Row],[8]:[19]],$I$5:$T$5,"Аренда")</f>
        <v>0</v>
      </c>
      <c r="I522" s="169"/>
      <c r="J522" s="169"/>
      <c r="K522" s="169">
        <v>44.6</v>
      </c>
      <c r="L522" s="169"/>
      <c r="M522" s="169"/>
      <c r="N522" s="169"/>
      <c r="O522" s="169"/>
      <c r="P522" s="169"/>
      <c r="Q522" s="169"/>
      <c r="R522" s="169"/>
      <c r="S522" s="169"/>
      <c r="T522" s="169"/>
      <c r="U522" s="170"/>
      <c r="V522" s="171"/>
    </row>
    <row r="523" spans="1:22" ht="15" outlineLevel="1" collapsed="1" x14ac:dyDescent="0.25">
      <c r="A523" s="186">
        <f>SUMIFS(МКД!$A$6:$A$389,МКД!$D$6:$D$389,Таблица1[[#This Row],[2]])</f>
        <v>92</v>
      </c>
      <c r="B523" s="194">
        <f>SUMIFS(Таблица1[6],Таблица1[2],Таблица1[[#This Row],[2]])+SUMIFS(Таблица1[7],Таблица1[2],Таблица1[[#This Row],[2]])</f>
        <v>587.29999999999995</v>
      </c>
      <c r="C523" s="185" t="s">
        <v>445</v>
      </c>
      <c r="D523" s="196"/>
      <c r="E523" s="196"/>
      <c r="F523" s="196"/>
      <c r="G523" s="168"/>
      <c r="H523" s="197"/>
      <c r="I523" s="196"/>
      <c r="J523" s="196"/>
      <c r="K523" s="196"/>
      <c r="L523" s="196"/>
      <c r="M523" s="196"/>
      <c r="N523" s="196"/>
      <c r="O523" s="196"/>
      <c r="P523" s="196"/>
      <c r="Q523" s="196"/>
      <c r="R523" s="196"/>
      <c r="S523" s="196"/>
      <c r="T523" s="196"/>
      <c r="U523" s="196"/>
      <c r="V523" s="198"/>
    </row>
    <row r="524" spans="1:22" hidden="1" outlineLevel="2" x14ac:dyDescent="0.25">
      <c r="A524" s="186">
        <f>SUMIFS(МКД!$A$6:$A$389,МКД!$D$6:$D$389,Таблица1[[#This Row],[2]])</f>
        <v>92</v>
      </c>
      <c r="B524" s="170"/>
      <c r="C524" s="182" t="s">
        <v>445</v>
      </c>
      <c r="D524" s="167" t="s">
        <v>2053</v>
      </c>
      <c r="E524" s="167" t="s">
        <v>1305</v>
      </c>
      <c r="F524" s="167">
        <v>1</v>
      </c>
      <c r="G524" s="168">
        <f>SUMIFS(Таблица1[[#This Row],[8]:[19]],$I$5:$T$5,"Выкуп")</f>
        <v>87</v>
      </c>
      <c r="H524" s="168">
        <f>SUMIFS(Таблица1[[#This Row],[8]:[19]],$I$5:$T$5,"Аренда")</f>
        <v>0</v>
      </c>
      <c r="I524" s="169">
        <v>87</v>
      </c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70"/>
      <c r="V524" s="171"/>
    </row>
    <row r="525" spans="1:22" hidden="1" outlineLevel="2" x14ac:dyDescent="0.25">
      <c r="A525" s="186">
        <f>SUMIFS(МКД!$A$6:$A$389,МКД!$D$6:$D$389,Таблица1[[#This Row],[2]])</f>
        <v>92</v>
      </c>
      <c r="B525" s="168"/>
      <c r="C525" s="182" t="s">
        <v>445</v>
      </c>
      <c r="D525" s="167" t="s">
        <v>871</v>
      </c>
      <c r="E525" s="167" t="s">
        <v>1306</v>
      </c>
      <c r="F525" s="167">
        <v>1</v>
      </c>
      <c r="G525" s="168">
        <f>SUMIFS(Таблица1[[#This Row],[8]:[19]],$I$5:$T$5,"Выкуп")</f>
        <v>82.1</v>
      </c>
      <c r="H525" s="168">
        <f>SUMIFS(Таблица1[[#This Row],[8]:[19]],$I$5:$T$5,"Аренда")</f>
        <v>0</v>
      </c>
      <c r="I525" s="169">
        <v>82.1</v>
      </c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70"/>
      <c r="V525" s="171"/>
    </row>
    <row r="526" spans="1:22" hidden="1" outlineLevel="2" x14ac:dyDescent="0.25">
      <c r="A526" s="186">
        <f>SUMIFS(МКД!$A$6:$A$389,МКД!$D$6:$D$389,Таблица1[[#This Row],[2]])</f>
        <v>92</v>
      </c>
      <c r="B526" s="168"/>
      <c r="C526" s="182" t="s">
        <v>445</v>
      </c>
      <c r="D526" s="167" t="s">
        <v>872</v>
      </c>
      <c r="E526" s="167" t="s">
        <v>1307</v>
      </c>
      <c r="F526" s="167">
        <v>1</v>
      </c>
      <c r="G526" s="168">
        <f>SUMIFS(Таблица1[[#This Row],[8]:[19]],$I$5:$T$5,"Выкуп")</f>
        <v>45.4</v>
      </c>
      <c r="H526" s="168">
        <f>SUMIFS(Таблица1[[#This Row],[8]:[19]],$I$5:$T$5,"Аренда")</f>
        <v>0</v>
      </c>
      <c r="I526" s="169">
        <v>45.4</v>
      </c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70"/>
      <c r="V526" s="171"/>
    </row>
    <row r="527" spans="1:22" hidden="1" outlineLevel="2" x14ac:dyDescent="0.25">
      <c r="A527" s="186">
        <f>SUMIFS(МКД!$A$6:$A$389,МКД!$D$6:$D$389,Таблица1[[#This Row],[2]])</f>
        <v>92</v>
      </c>
      <c r="B527" s="168"/>
      <c r="C527" s="182" t="s">
        <v>445</v>
      </c>
      <c r="D527" s="167" t="s">
        <v>2693</v>
      </c>
      <c r="E527" s="167" t="s">
        <v>2696</v>
      </c>
      <c r="F527" s="167">
        <v>1</v>
      </c>
      <c r="G527" s="168">
        <f>SUMIFS(Таблица1[[#This Row],[8]:[19]],$I$5:$T$5,"Выкуп")</f>
        <v>0</v>
      </c>
      <c r="H527" s="168">
        <f>SUMIFS(Таблица1[[#This Row],[8]:[19]],$I$5:$T$5,"Аренда")</f>
        <v>12.5</v>
      </c>
      <c r="I527" s="169"/>
      <c r="J527" s="169"/>
      <c r="K527" s="169"/>
      <c r="L527" s="169"/>
      <c r="M527" s="169"/>
      <c r="N527" s="169"/>
      <c r="O527" s="169"/>
      <c r="P527" s="169">
        <v>12.5</v>
      </c>
      <c r="Q527" s="169"/>
      <c r="R527" s="169"/>
      <c r="S527" s="169"/>
      <c r="T527" s="169"/>
      <c r="U527" s="170"/>
      <c r="V527" s="171"/>
    </row>
    <row r="528" spans="1:22" hidden="1" outlineLevel="2" x14ac:dyDescent="0.25">
      <c r="A528" s="186">
        <f>SUMIFS(МКД!$A$6:$A$389,МКД!$D$6:$D$389,Таблица1[[#This Row],[2]])</f>
        <v>92</v>
      </c>
      <c r="B528" s="168"/>
      <c r="C528" s="182" t="s">
        <v>445</v>
      </c>
      <c r="D528" s="167" t="s">
        <v>2692</v>
      </c>
      <c r="E528" s="167" t="s">
        <v>2697</v>
      </c>
      <c r="F528" s="167">
        <v>1</v>
      </c>
      <c r="G528" s="168">
        <f>SUMIFS(Таблица1[[#This Row],[8]:[19]],$I$5:$T$5,"Выкуп")</f>
        <v>0</v>
      </c>
      <c r="H528" s="168">
        <f>SUMIFS(Таблица1[[#This Row],[8]:[19]],$I$5:$T$5,"Аренда")</f>
        <v>9.3000000000000007</v>
      </c>
      <c r="I528" s="169"/>
      <c r="J528" s="169"/>
      <c r="K528" s="169"/>
      <c r="L528" s="169"/>
      <c r="M528" s="169"/>
      <c r="N528" s="169"/>
      <c r="O528" s="169"/>
      <c r="P528" s="169">
        <v>9.3000000000000007</v>
      </c>
      <c r="Q528" s="169"/>
      <c r="R528" s="169"/>
      <c r="S528" s="169"/>
      <c r="T528" s="169"/>
      <c r="U528" s="170"/>
      <c r="V528" s="171"/>
    </row>
    <row r="529" spans="1:22" hidden="1" outlineLevel="2" x14ac:dyDescent="0.25">
      <c r="A529" s="186">
        <f>SUMIFS(МКД!$A$6:$A$389,МКД!$D$6:$D$389,Таблица1[[#This Row],[2]])</f>
        <v>92</v>
      </c>
      <c r="B529" s="168"/>
      <c r="C529" s="182" t="s">
        <v>445</v>
      </c>
      <c r="D529" s="167" t="s">
        <v>2694</v>
      </c>
      <c r="E529" s="167" t="s">
        <v>2698</v>
      </c>
      <c r="F529" s="167">
        <v>1</v>
      </c>
      <c r="G529" s="168">
        <f>SUMIFS(Таблица1[[#This Row],[8]:[19]],$I$5:$T$5,"Выкуп")</f>
        <v>0</v>
      </c>
      <c r="H529" s="168">
        <f>SUMIFS(Таблица1[[#This Row],[8]:[19]],$I$5:$T$5,"Аренда")</f>
        <v>23.2</v>
      </c>
      <c r="I529" s="169"/>
      <c r="J529" s="169"/>
      <c r="K529" s="169"/>
      <c r="L529" s="169"/>
      <c r="M529" s="169"/>
      <c r="N529" s="169"/>
      <c r="O529" s="169"/>
      <c r="P529" s="169">
        <v>23.2</v>
      </c>
      <c r="Q529" s="169"/>
      <c r="R529" s="169"/>
      <c r="S529" s="169"/>
      <c r="T529" s="169"/>
      <c r="U529" s="170"/>
      <c r="V529" s="171"/>
    </row>
    <row r="530" spans="1:22" hidden="1" outlineLevel="2" x14ac:dyDescent="0.25">
      <c r="A530" s="186">
        <f>SUMIFS(МКД!$A$6:$A$389,МКД!$D$6:$D$389,Таблица1[[#This Row],[2]])</f>
        <v>92</v>
      </c>
      <c r="B530" s="168"/>
      <c r="C530" s="182" t="s">
        <v>445</v>
      </c>
      <c r="D530" s="167" t="s">
        <v>2361</v>
      </c>
      <c r="E530" s="167" t="s">
        <v>1308</v>
      </c>
      <c r="F530" s="167">
        <v>1</v>
      </c>
      <c r="G530" s="168">
        <f>SUMIFS(Таблица1[[#This Row],[8]:[19]],$I$5:$T$5,"Выкуп")</f>
        <v>82.4</v>
      </c>
      <c r="H530" s="168">
        <f>SUMIFS(Таблица1[[#This Row],[8]:[19]],$I$5:$T$5,"Аренда")</f>
        <v>0</v>
      </c>
      <c r="I530" s="169">
        <v>82.4</v>
      </c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70"/>
      <c r="V530" s="171"/>
    </row>
    <row r="531" spans="1:22" hidden="1" outlineLevel="2" x14ac:dyDescent="0.25">
      <c r="A531" s="186">
        <f>SUMIFS(МКД!$A$6:$A$389,МКД!$D$6:$D$389,Таблица1[[#This Row],[2]])</f>
        <v>92</v>
      </c>
      <c r="B531" s="168"/>
      <c r="C531" s="182" t="s">
        <v>445</v>
      </c>
      <c r="D531" s="167" t="s">
        <v>2695</v>
      </c>
      <c r="E531" s="167" t="s">
        <v>1309</v>
      </c>
      <c r="F531" s="167">
        <v>1</v>
      </c>
      <c r="G531" s="168">
        <f>SUMIFS(Таблица1[[#This Row],[8]:[19]],$I$5:$T$5,"Выкуп")</f>
        <v>43.9</v>
      </c>
      <c r="H531" s="168">
        <f>SUMIFS(Таблица1[[#This Row],[8]:[19]],$I$5:$T$5,"Аренда")</f>
        <v>0</v>
      </c>
      <c r="I531" s="169">
        <v>43.9</v>
      </c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70"/>
      <c r="V531" s="171"/>
    </row>
    <row r="532" spans="1:22" hidden="1" outlineLevel="2" x14ac:dyDescent="0.25">
      <c r="A532" s="186">
        <f>SUMIFS(МКД!$A$6:$A$389,МКД!$D$6:$D$389,Таблица1[[#This Row],[2]])</f>
        <v>92</v>
      </c>
      <c r="B532" s="168"/>
      <c r="C532" s="182" t="s">
        <v>445</v>
      </c>
      <c r="D532" s="167" t="s">
        <v>873</v>
      </c>
      <c r="E532" s="167" t="s">
        <v>988</v>
      </c>
      <c r="F532" s="167">
        <v>1</v>
      </c>
      <c r="G532" s="168">
        <f>SUMIFS(Таблица1[[#This Row],[8]:[19]],$I$5:$T$5,"Выкуп")</f>
        <v>78.7</v>
      </c>
      <c r="H532" s="168">
        <f>SUMIFS(Таблица1[[#This Row],[8]:[19]],$I$5:$T$5,"Аренда")</f>
        <v>0</v>
      </c>
      <c r="I532" s="169">
        <v>78.7</v>
      </c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70"/>
      <c r="V532" s="171"/>
    </row>
    <row r="533" spans="1:22" hidden="1" outlineLevel="2" x14ac:dyDescent="0.25">
      <c r="A533" s="186">
        <f>SUMIFS(МКД!$A$6:$A$389,МКД!$D$6:$D$389,Таблица1[[#This Row],[2]])</f>
        <v>92</v>
      </c>
      <c r="B533" s="168"/>
      <c r="C533" s="182" t="s">
        <v>445</v>
      </c>
      <c r="D533" s="167" t="s">
        <v>2020</v>
      </c>
      <c r="E533" s="167" t="s">
        <v>1310</v>
      </c>
      <c r="F533" s="167">
        <v>1</v>
      </c>
      <c r="G533" s="168">
        <f>SUMIFS(Таблица1[[#This Row],[8]:[19]],$I$5:$T$5,"Выкуп")</f>
        <v>43.7</v>
      </c>
      <c r="H533" s="168">
        <f>SUMIFS(Таблица1[[#This Row],[8]:[19]],$I$5:$T$5,"Аренда")</f>
        <v>0</v>
      </c>
      <c r="I533" s="169">
        <v>43.7</v>
      </c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70"/>
      <c r="V533" s="171"/>
    </row>
    <row r="534" spans="1:22" hidden="1" outlineLevel="2" x14ac:dyDescent="0.25">
      <c r="A534" s="186">
        <f>SUMIFS(МКД!$A$6:$A$389,МКД!$D$6:$D$389,Таблица1[[#This Row],[2]])</f>
        <v>92</v>
      </c>
      <c r="B534" s="168"/>
      <c r="C534" s="182" t="s">
        <v>445</v>
      </c>
      <c r="D534" s="167" t="s">
        <v>189</v>
      </c>
      <c r="E534" s="167" t="s">
        <v>113</v>
      </c>
      <c r="F534" s="167"/>
      <c r="G534" s="168">
        <f>SUMIFS(Таблица1[[#This Row],[8]:[19]],$I$5:$T$5,"Выкуп")</f>
        <v>0</v>
      </c>
      <c r="H534" s="168">
        <f>SUMIFS(Таблица1[[#This Row],[8]:[19]],$I$5:$T$5,"Аренда")</f>
        <v>79.099999999999994</v>
      </c>
      <c r="I534" s="169"/>
      <c r="J534" s="169"/>
      <c r="K534" s="167"/>
      <c r="L534" s="169">
        <v>79.099999999999994</v>
      </c>
      <c r="M534" s="169"/>
      <c r="N534" s="169"/>
      <c r="O534" s="169"/>
      <c r="P534" s="169"/>
      <c r="Q534" s="169"/>
      <c r="R534" s="169"/>
      <c r="S534" s="169"/>
      <c r="T534" s="169"/>
      <c r="U534" s="170"/>
      <c r="V534" s="171"/>
    </row>
    <row r="535" spans="1:22" ht="15" outlineLevel="1" collapsed="1" x14ac:dyDescent="0.25">
      <c r="A535" s="186">
        <f>SUMIFS(МКД!$A$6:$A$389,МКД!$D$6:$D$389,Таблица1[[#This Row],[2]])</f>
        <v>93</v>
      </c>
      <c r="B535" s="194">
        <f>SUMIFS(Таблица1[6],Таблица1[2],Таблица1[[#This Row],[2]])+SUMIFS(Таблица1[7],Таблица1[2],Таблица1[[#This Row],[2]])</f>
        <v>585.79999999999995</v>
      </c>
      <c r="C535" s="185" t="s">
        <v>446</v>
      </c>
      <c r="D535" s="196"/>
      <c r="E535" s="196"/>
      <c r="F535" s="196"/>
      <c r="G535" s="168"/>
      <c r="H535" s="197"/>
      <c r="I535" s="196"/>
      <c r="J535" s="196"/>
      <c r="K535" s="196"/>
      <c r="L535" s="196"/>
      <c r="M535" s="196"/>
      <c r="N535" s="196"/>
      <c r="O535" s="196"/>
      <c r="P535" s="196"/>
      <c r="Q535" s="196"/>
      <c r="R535" s="196"/>
      <c r="S535" s="196"/>
      <c r="T535" s="196"/>
      <c r="U535" s="196"/>
      <c r="V535" s="198"/>
    </row>
    <row r="536" spans="1:22" hidden="1" outlineLevel="2" x14ac:dyDescent="0.25">
      <c r="A536" s="186">
        <f>SUMIFS(МКД!$A$6:$A$389,МКД!$D$6:$D$389,Таблица1[[#This Row],[2]])</f>
        <v>93</v>
      </c>
      <c r="B536" s="170"/>
      <c r="C536" s="182" t="s">
        <v>446</v>
      </c>
      <c r="D536" s="167" t="s">
        <v>2042</v>
      </c>
      <c r="E536" s="167" t="s">
        <v>1311</v>
      </c>
      <c r="F536" s="167">
        <v>1</v>
      </c>
      <c r="G536" s="168">
        <f>SUMIFS(Таблица1[[#This Row],[8]:[19]],$I$5:$T$5,"Выкуп")</f>
        <v>120.2</v>
      </c>
      <c r="H536" s="168">
        <f>SUMIFS(Таблица1[[#This Row],[8]:[19]],$I$5:$T$5,"Аренда")</f>
        <v>0</v>
      </c>
      <c r="I536" s="169">
        <v>120.2</v>
      </c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70"/>
      <c r="V536" s="171"/>
    </row>
    <row r="537" spans="1:22" hidden="1" outlineLevel="2" x14ac:dyDescent="0.25">
      <c r="A537" s="186">
        <f>SUMIFS(МКД!$A$6:$A$389,МКД!$D$6:$D$389,Таблица1[[#This Row],[2]])</f>
        <v>93</v>
      </c>
      <c r="B537" s="168"/>
      <c r="C537" s="182" t="s">
        <v>446</v>
      </c>
      <c r="D537" s="167" t="s">
        <v>1587</v>
      </c>
      <c r="E537" s="167" t="s">
        <v>1199</v>
      </c>
      <c r="F537" s="167">
        <v>1</v>
      </c>
      <c r="G537" s="168">
        <f>SUMIFS(Таблица1[[#This Row],[8]:[19]],$I$5:$T$5,"Выкуп")</f>
        <v>83.7</v>
      </c>
      <c r="H537" s="168">
        <f>SUMIFS(Таблица1[[#This Row],[8]:[19]],$I$5:$T$5,"Аренда")</f>
        <v>0</v>
      </c>
      <c r="I537" s="169">
        <v>83.7</v>
      </c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70"/>
      <c r="V537" s="171"/>
    </row>
    <row r="538" spans="1:22" hidden="1" outlineLevel="2" x14ac:dyDescent="0.25">
      <c r="A538" s="186">
        <f>SUMIFS(МКД!$A$6:$A$389,МКД!$D$6:$D$389,Таблица1[[#This Row],[2]])</f>
        <v>93</v>
      </c>
      <c r="B538" s="168"/>
      <c r="C538" s="182" t="s">
        <v>446</v>
      </c>
      <c r="D538" s="167" t="s">
        <v>874</v>
      </c>
      <c r="E538" s="167" t="s">
        <v>1312</v>
      </c>
      <c r="F538" s="167">
        <v>1</v>
      </c>
      <c r="G538" s="168">
        <f>SUMIFS(Таблица1[[#This Row],[8]:[19]],$I$5:$T$5,"Выкуп")</f>
        <v>70.5</v>
      </c>
      <c r="H538" s="168">
        <f>SUMIFS(Таблица1[[#This Row],[8]:[19]],$I$5:$T$5,"Аренда")</f>
        <v>0</v>
      </c>
      <c r="I538" s="169">
        <v>70.5</v>
      </c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70"/>
      <c r="V538" s="171"/>
    </row>
    <row r="539" spans="1:22" hidden="1" outlineLevel="2" x14ac:dyDescent="0.25">
      <c r="A539" s="186">
        <f>SUMIFS(МКД!$A$6:$A$389,МКД!$D$6:$D$389,Таблица1[[#This Row],[2]])</f>
        <v>93</v>
      </c>
      <c r="B539" s="168"/>
      <c r="C539" s="182" t="s">
        <v>446</v>
      </c>
      <c r="D539" s="167" t="s">
        <v>846</v>
      </c>
      <c r="E539" s="167" t="s">
        <v>1313</v>
      </c>
      <c r="F539" s="167">
        <v>1</v>
      </c>
      <c r="G539" s="168">
        <f>SUMIFS(Таблица1[[#This Row],[8]:[19]],$I$5:$T$5,"Выкуп")</f>
        <v>45</v>
      </c>
      <c r="H539" s="168">
        <f>SUMIFS(Таблица1[[#This Row],[8]:[19]],$I$5:$T$5,"Аренда")</f>
        <v>0</v>
      </c>
      <c r="I539" s="169">
        <v>45</v>
      </c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70"/>
      <c r="V539" s="171"/>
    </row>
    <row r="540" spans="1:22" hidden="1" outlineLevel="2" x14ac:dyDescent="0.25">
      <c r="A540" s="186">
        <f>SUMIFS(МКД!$A$6:$A$389,МКД!$D$6:$D$389,Таблица1[[#This Row],[2]])</f>
        <v>93</v>
      </c>
      <c r="B540" s="168"/>
      <c r="C540" s="182" t="s">
        <v>446</v>
      </c>
      <c r="D540" s="167" t="s">
        <v>2555</v>
      </c>
      <c r="E540" s="167" t="s">
        <v>1439</v>
      </c>
      <c r="F540" s="167">
        <v>1</v>
      </c>
      <c r="G540" s="168">
        <f>SUMIFS(Таблица1[[#This Row],[8]:[19]],$I$5:$T$5,"Выкуп")</f>
        <v>86.3</v>
      </c>
      <c r="H540" s="168">
        <f>SUMIFS(Таблица1[[#This Row],[8]:[19]],$I$5:$T$5,"Аренда")</f>
        <v>0</v>
      </c>
      <c r="I540" s="169">
        <v>86.3</v>
      </c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70"/>
      <c r="V540" s="171"/>
    </row>
    <row r="541" spans="1:22" hidden="1" outlineLevel="2" x14ac:dyDescent="0.25">
      <c r="A541" s="186">
        <f>SUMIFS(МКД!$A$6:$A$389,МКД!$D$6:$D$389,Таблица1[[#This Row],[2]])</f>
        <v>93</v>
      </c>
      <c r="B541" s="168"/>
      <c r="C541" s="182" t="s">
        <v>446</v>
      </c>
      <c r="D541" s="167" t="s">
        <v>1440</v>
      </c>
      <c r="E541" s="167" t="s">
        <v>218</v>
      </c>
      <c r="F541" s="167">
        <v>1</v>
      </c>
      <c r="G541" s="168">
        <f>SUMIFS(Таблица1[[#This Row],[8]:[19]],$I$5:$T$5,"Выкуп")</f>
        <v>44.5</v>
      </c>
      <c r="H541" s="168">
        <f>SUMIFS(Таблица1[[#This Row],[8]:[19]],$I$5:$T$5,"Аренда")</f>
        <v>0</v>
      </c>
      <c r="I541" s="169">
        <v>44.5</v>
      </c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70"/>
      <c r="V541" s="171"/>
    </row>
    <row r="542" spans="1:22" hidden="1" outlineLevel="2" x14ac:dyDescent="0.25">
      <c r="A542" s="186">
        <f>SUMIFS(МКД!$A$6:$A$389,МКД!$D$6:$D$389,Таблица1[[#This Row],[2]])</f>
        <v>93</v>
      </c>
      <c r="B542" s="168"/>
      <c r="C542" s="182" t="s">
        <v>446</v>
      </c>
      <c r="D542" s="167"/>
      <c r="E542" s="167" t="s">
        <v>1699</v>
      </c>
      <c r="F542" s="167">
        <v>1</v>
      </c>
      <c r="G542" s="168">
        <f>SUMIFS(Таблица1[[#This Row],[8]:[19]],$I$5:$T$5,"Выкуп")</f>
        <v>0</v>
      </c>
      <c r="H542" s="168">
        <f>SUMIFS(Таблица1[[#This Row],[8]:[19]],$I$5:$T$5,"Аренда")</f>
        <v>0</v>
      </c>
      <c r="I542" s="169"/>
      <c r="J542" s="169"/>
      <c r="K542" s="169"/>
      <c r="L542" s="169"/>
      <c r="M542" s="169"/>
      <c r="N542" s="169"/>
      <c r="O542" s="167"/>
      <c r="P542" s="169">
        <f>8.7*0</f>
        <v>0</v>
      </c>
      <c r="Q542" s="169"/>
      <c r="R542" s="169"/>
      <c r="S542" s="169"/>
      <c r="T542" s="169"/>
      <c r="U542" s="170"/>
      <c r="V542" s="171"/>
    </row>
    <row r="543" spans="1:22" hidden="1" outlineLevel="2" x14ac:dyDescent="0.25">
      <c r="A543" s="186">
        <f>SUMIFS(МКД!$A$6:$A$389,МКД!$D$6:$D$389,Таблица1[[#This Row],[2]])</f>
        <v>93</v>
      </c>
      <c r="B543" s="168"/>
      <c r="C543" s="182" t="s">
        <v>446</v>
      </c>
      <c r="D543" s="167" t="s">
        <v>2041</v>
      </c>
      <c r="E543" s="167" t="s">
        <v>1314</v>
      </c>
      <c r="F543" s="167">
        <v>1</v>
      </c>
      <c r="G543" s="168">
        <f>SUMIFS(Таблица1[[#This Row],[8]:[19]],$I$5:$T$5,"Выкуп")</f>
        <v>68.900000000000006</v>
      </c>
      <c r="H543" s="168">
        <f>SUMIFS(Таблица1[[#This Row],[8]:[19]],$I$5:$T$5,"Аренда")</f>
        <v>0</v>
      </c>
      <c r="I543" s="169">
        <v>68.900000000000006</v>
      </c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70"/>
      <c r="V543" s="171"/>
    </row>
    <row r="544" spans="1:22" hidden="1" outlineLevel="2" x14ac:dyDescent="0.25">
      <c r="A544" s="186">
        <f>SUMIFS(МКД!$A$6:$A$389,МКД!$D$6:$D$389,Таблица1[[#This Row],[2]])</f>
        <v>93</v>
      </c>
      <c r="B544" s="168"/>
      <c r="C544" s="182" t="s">
        <v>446</v>
      </c>
      <c r="D544" s="167" t="s">
        <v>1654</v>
      </c>
      <c r="E544" s="167" t="s">
        <v>1315</v>
      </c>
      <c r="F544" s="167">
        <v>1</v>
      </c>
      <c r="G544" s="168">
        <f>SUMIFS(Таблица1[[#This Row],[8]:[19]],$I$5:$T$5,"Выкуп")</f>
        <v>43.3</v>
      </c>
      <c r="H544" s="168">
        <f>SUMIFS(Таблица1[[#This Row],[8]:[19]],$I$5:$T$5,"Аренда")</f>
        <v>0</v>
      </c>
      <c r="I544" s="169">
        <v>43.3</v>
      </c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70"/>
      <c r="V544" s="171"/>
    </row>
    <row r="545" spans="1:22" hidden="1" outlineLevel="2" x14ac:dyDescent="0.25">
      <c r="A545" s="186">
        <f>SUMIFS(МКД!$A$6:$A$389,МКД!$D$6:$D$389,Таблица1[[#This Row],[2]])</f>
        <v>93</v>
      </c>
      <c r="B545" s="168"/>
      <c r="C545" s="182" t="s">
        <v>446</v>
      </c>
      <c r="D545" s="167" t="s">
        <v>2040</v>
      </c>
      <c r="E545" s="167" t="s">
        <v>2039</v>
      </c>
      <c r="F545" s="167">
        <v>1</v>
      </c>
      <c r="G545" s="168">
        <f>SUMIFS(Таблица1[[#This Row],[8]:[19]],$I$5:$T$5,"Выкуп")</f>
        <v>0</v>
      </c>
      <c r="H545" s="168">
        <f>SUMIFS(Таблица1[[#This Row],[8]:[19]],$I$5:$T$5,"Аренда")</f>
        <v>12.1</v>
      </c>
      <c r="I545" s="169"/>
      <c r="J545" s="169"/>
      <c r="K545" s="169"/>
      <c r="L545" s="169"/>
      <c r="M545" s="169"/>
      <c r="N545" s="169"/>
      <c r="O545" s="167"/>
      <c r="P545" s="169">
        <v>12.1</v>
      </c>
      <c r="Q545" s="169"/>
      <c r="R545" s="169"/>
      <c r="S545" s="169"/>
      <c r="T545" s="169"/>
      <c r="U545" s="170"/>
      <c r="V545" s="171"/>
    </row>
    <row r="546" spans="1:22" hidden="1" outlineLevel="2" x14ac:dyDescent="0.25">
      <c r="A546" s="186">
        <f>SUMIFS(МКД!$A$6:$A$389,МКД!$D$6:$D$389,Таблица1[[#This Row],[2]])</f>
        <v>93</v>
      </c>
      <c r="B546" s="168"/>
      <c r="C546" s="182" t="s">
        <v>446</v>
      </c>
      <c r="D546" s="167" t="s">
        <v>2607</v>
      </c>
      <c r="E546" s="167" t="s">
        <v>832</v>
      </c>
      <c r="F546" s="167">
        <v>1</v>
      </c>
      <c r="G546" s="168">
        <f>SUMIFS(Таблица1[[#This Row],[8]:[19]],$I$5:$T$5,"Выкуп")</f>
        <v>0</v>
      </c>
      <c r="H546" s="168">
        <f>SUMIFS(Таблица1[[#This Row],[8]:[19]],$I$5:$T$5,"Аренда")</f>
        <v>11.3</v>
      </c>
      <c r="I546" s="169"/>
      <c r="J546" s="169"/>
      <c r="K546" s="169"/>
      <c r="L546" s="169"/>
      <c r="M546" s="169"/>
      <c r="N546" s="169"/>
      <c r="O546" s="167"/>
      <c r="P546" s="169">
        <v>11.3</v>
      </c>
      <c r="Q546" s="169"/>
      <c r="R546" s="169"/>
      <c r="S546" s="169"/>
      <c r="T546" s="169"/>
      <c r="U546" s="170"/>
      <c r="V546" s="171"/>
    </row>
    <row r="547" spans="1:22" ht="15" outlineLevel="1" collapsed="1" x14ac:dyDescent="0.25">
      <c r="A547" s="186">
        <f>SUMIFS(МКД!$A$6:$A$389,МКД!$D$6:$D$389,Таблица1[[#This Row],[2]])</f>
        <v>94</v>
      </c>
      <c r="B547" s="194">
        <f>SUMIFS(Таблица1[6],Таблица1[2],Таблица1[[#This Row],[2]])+SUMIFS(Таблица1[7],Таблица1[2],Таблица1[[#This Row],[2]])</f>
        <v>395.8</v>
      </c>
      <c r="C547" s="185" t="s">
        <v>447</v>
      </c>
      <c r="D547" s="196"/>
      <c r="E547" s="196"/>
      <c r="F547" s="196"/>
      <c r="G547" s="168"/>
      <c r="H547" s="197"/>
      <c r="I547" s="196"/>
      <c r="J547" s="196"/>
      <c r="K547" s="196"/>
      <c r="L547" s="196"/>
      <c r="M547" s="196"/>
      <c r="N547" s="196"/>
      <c r="O547" s="196"/>
      <c r="P547" s="196"/>
      <c r="Q547" s="196"/>
      <c r="R547" s="196"/>
      <c r="S547" s="196"/>
      <c r="T547" s="196"/>
      <c r="U547" s="196"/>
      <c r="V547" s="198"/>
    </row>
    <row r="548" spans="1:22" hidden="1" outlineLevel="2" x14ac:dyDescent="0.25">
      <c r="A548" s="186">
        <f>SUMIFS(МКД!$A$6:$A$389,МКД!$D$6:$D$389,Таблица1[[#This Row],[2]])</f>
        <v>94</v>
      </c>
      <c r="B548" s="170"/>
      <c r="C548" s="182" t="s">
        <v>447</v>
      </c>
      <c r="D548" s="167" t="s">
        <v>875</v>
      </c>
      <c r="E548" s="167" t="s">
        <v>1068</v>
      </c>
      <c r="F548" s="167">
        <v>1</v>
      </c>
      <c r="G548" s="168">
        <f>SUMIFS(Таблица1[[#This Row],[8]:[19]],$I$5:$T$5,"Выкуп")</f>
        <v>54.4</v>
      </c>
      <c r="H548" s="168">
        <f>SUMIFS(Таблица1[[#This Row],[8]:[19]],$I$5:$T$5,"Аренда")</f>
        <v>0</v>
      </c>
      <c r="I548" s="169">
        <v>54.4</v>
      </c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70"/>
      <c r="V548" s="171"/>
    </row>
    <row r="549" spans="1:22" hidden="1" outlineLevel="2" x14ac:dyDescent="0.25">
      <c r="A549" s="186">
        <f>SUMIFS(МКД!$A$6:$A$389,МКД!$D$6:$D$389,Таблица1[[#This Row],[2]])</f>
        <v>94</v>
      </c>
      <c r="B549" s="168"/>
      <c r="C549" s="182" t="s">
        <v>447</v>
      </c>
      <c r="D549" s="167" t="s">
        <v>876</v>
      </c>
      <c r="E549" s="167" t="s">
        <v>1498</v>
      </c>
      <c r="F549" s="167">
        <v>1</v>
      </c>
      <c r="G549" s="168">
        <f>SUMIFS(Таблица1[[#This Row],[8]:[19]],$I$5:$T$5,"Выкуп")</f>
        <v>68.5</v>
      </c>
      <c r="H549" s="168">
        <f>SUMIFS(Таблица1[[#This Row],[8]:[19]],$I$5:$T$5,"Аренда")</f>
        <v>0</v>
      </c>
      <c r="I549" s="169">
        <v>68.5</v>
      </c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70"/>
      <c r="V549" s="171"/>
    </row>
    <row r="550" spans="1:22" hidden="1" outlineLevel="2" x14ac:dyDescent="0.25">
      <c r="A550" s="186">
        <f>SUMIFS(МКД!$A$6:$A$389,МКД!$D$6:$D$389,Таблица1[[#This Row],[2]])</f>
        <v>94</v>
      </c>
      <c r="B550" s="168"/>
      <c r="C550" s="182" t="s">
        <v>447</v>
      </c>
      <c r="D550" s="167" t="s">
        <v>877</v>
      </c>
      <c r="E550" s="167" t="s">
        <v>2107</v>
      </c>
      <c r="F550" s="167">
        <v>1</v>
      </c>
      <c r="G550" s="168">
        <f>SUMIFS(Таблица1[[#This Row],[8]:[19]],$I$5:$T$5,"Выкуп")</f>
        <v>66.5</v>
      </c>
      <c r="H550" s="168">
        <f>SUMIFS(Таблица1[[#This Row],[8]:[19]],$I$5:$T$5,"Аренда")</f>
        <v>0</v>
      </c>
      <c r="I550" s="169">
        <v>66.5</v>
      </c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70"/>
      <c r="V550" s="171"/>
    </row>
    <row r="551" spans="1:22" hidden="1" outlineLevel="2" x14ac:dyDescent="0.25">
      <c r="A551" s="186">
        <f>SUMIFS(МКД!$A$6:$A$389,МКД!$D$6:$D$389,Таблица1[[#This Row],[2]])</f>
        <v>94</v>
      </c>
      <c r="B551" s="168"/>
      <c r="C551" s="182" t="s">
        <v>447</v>
      </c>
      <c r="D551" s="167" t="s">
        <v>1956</v>
      </c>
      <c r="E551" s="167" t="s">
        <v>1955</v>
      </c>
      <c r="F551" s="167">
        <v>1</v>
      </c>
      <c r="G551" s="168">
        <f>SUMIFS(Таблица1[[#This Row],[8]:[19]],$I$5:$T$5,"Выкуп")</f>
        <v>72.2</v>
      </c>
      <c r="H551" s="168">
        <f>SUMIFS(Таблица1[[#This Row],[8]:[19]],$I$5:$T$5,"Аренда")</f>
        <v>0</v>
      </c>
      <c r="I551" s="169">
        <v>72.2</v>
      </c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70"/>
      <c r="V551" s="171"/>
    </row>
    <row r="552" spans="1:22" hidden="1" outlineLevel="2" x14ac:dyDescent="0.25">
      <c r="A552" s="186">
        <f>SUMIFS(МКД!$A$6:$A$389,МКД!$D$6:$D$389,Таблица1[[#This Row],[2]])</f>
        <v>94</v>
      </c>
      <c r="B552" s="168"/>
      <c r="C552" s="182" t="s">
        <v>447</v>
      </c>
      <c r="D552" s="167" t="s">
        <v>1871</v>
      </c>
      <c r="E552" s="167" t="s">
        <v>1428</v>
      </c>
      <c r="F552" s="167">
        <v>1</v>
      </c>
      <c r="G552" s="168">
        <f>SUMIFS(Таблица1[[#This Row],[8]:[19]],$I$5:$T$5,"Выкуп")</f>
        <v>70.7</v>
      </c>
      <c r="H552" s="168">
        <f>SUMIFS(Таблица1[[#This Row],[8]:[19]],$I$5:$T$5,"Аренда")</f>
        <v>0</v>
      </c>
      <c r="I552" s="169">
        <v>70.7</v>
      </c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70"/>
      <c r="V552" s="171"/>
    </row>
    <row r="553" spans="1:22" hidden="1" outlineLevel="2" x14ac:dyDescent="0.25">
      <c r="A553" s="186">
        <f>SUMIFS(МКД!$A$6:$A$389,МКД!$D$6:$D$389,Таблица1[[#This Row],[2]])</f>
        <v>94</v>
      </c>
      <c r="B553" s="168"/>
      <c r="C553" s="182" t="s">
        <v>447</v>
      </c>
      <c r="D553" s="167" t="s">
        <v>2627</v>
      </c>
      <c r="E553" s="167" t="s">
        <v>1666</v>
      </c>
      <c r="F553" s="167">
        <v>1</v>
      </c>
      <c r="G553" s="168">
        <f>SUMIFS(Таблица1[[#This Row],[8]:[19]],$I$5:$T$5,"Выкуп")</f>
        <v>33.799999999999997</v>
      </c>
      <c r="H553" s="168">
        <f>SUMIFS(Таблица1[[#This Row],[8]:[19]],$I$5:$T$5,"Аренда")</f>
        <v>0</v>
      </c>
      <c r="I553" s="169">
        <v>33.799999999999997</v>
      </c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70"/>
      <c r="V553" s="171"/>
    </row>
    <row r="554" spans="1:22" hidden="1" outlineLevel="2" x14ac:dyDescent="0.25">
      <c r="A554" s="186">
        <f>SUMIFS(МКД!$A$6:$A$389,МКД!$D$6:$D$389,Таблица1[[#This Row],[2]])</f>
        <v>94</v>
      </c>
      <c r="B554" s="168"/>
      <c r="C554" s="182" t="s">
        <v>447</v>
      </c>
      <c r="D554" s="167" t="s">
        <v>324</v>
      </c>
      <c r="E554" s="167" t="s">
        <v>2109</v>
      </c>
      <c r="F554" s="167">
        <v>1</v>
      </c>
      <c r="G554" s="168">
        <f>SUMIFS(Таблица1[[#This Row],[8]:[19]],$I$5:$T$5,"Выкуп")</f>
        <v>0</v>
      </c>
      <c r="H554" s="168">
        <f>SUMIFS(Таблица1[[#This Row],[8]:[19]],$I$5:$T$5,"Аренда")</f>
        <v>7.7</v>
      </c>
      <c r="I554" s="169"/>
      <c r="J554" s="169"/>
      <c r="K554" s="169"/>
      <c r="L554" s="169"/>
      <c r="M554" s="169"/>
      <c r="N554" s="169"/>
      <c r="O554" s="169"/>
      <c r="P554" s="169">
        <v>7.7</v>
      </c>
      <c r="Q554" s="169"/>
      <c r="R554" s="169"/>
      <c r="S554" s="169"/>
      <c r="T554" s="169"/>
      <c r="U554" s="170"/>
      <c r="V554" s="171"/>
    </row>
    <row r="555" spans="1:22" hidden="1" outlineLevel="2" x14ac:dyDescent="0.25">
      <c r="A555" s="186">
        <f>SUMIFS(МКД!$A$6:$A$389,МКД!$D$6:$D$389,Таблица1[[#This Row],[2]])</f>
        <v>94</v>
      </c>
      <c r="B555" s="168"/>
      <c r="C555" s="182" t="s">
        <v>447</v>
      </c>
      <c r="D555" s="167" t="s">
        <v>879</v>
      </c>
      <c r="E555" s="167" t="s">
        <v>2110</v>
      </c>
      <c r="F555" s="167">
        <v>1</v>
      </c>
      <c r="G555" s="168">
        <f>SUMIFS(Таблица1[[#This Row],[8]:[19]],$I$5:$T$5,"Выкуп")</f>
        <v>0</v>
      </c>
      <c r="H555" s="168">
        <f>SUMIFS(Таблица1[[#This Row],[8]:[19]],$I$5:$T$5,"Аренда")</f>
        <v>22</v>
      </c>
      <c r="I555" s="169"/>
      <c r="J555" s="169"/>
      <c r="K555" s="169"/>
      <c r="L555" s="169">
        <v>11.1</v>
      </c>
      <c r="M555" s="169"/>
      <c r="N555" s="169"/>
      <c r="O555" s="169"/>
      <c r="P555" s="169">
        <v>10.9</v>
      </c>
      <c r="Q555" s="169"/>
      <c r="R555" s="169"/>
      <c r="S555" s="169"/>
      <c r="T555" s="169"/>
      <c r="U555" s="170"/>
      <c r="V555" s="171"/>
    </row>
    <row r="556" spans="1:22" ht="15" outlineLevel="1" collapsed="1" x14ac:dyDescent="0.25">
      <c r="A556" s="186">
        <f>SUMIFS(МКД!$A$6:$A$389,МКД!$D$6:$D$389,Таблица1[[#This Row],[2]])</f>
        <v>97</v>
      </c>
      <c r="B556" s="194">
        <f>SUMIFS(Таблица1[6],Таблица1[2],Таблица1[[#This Row],[2]])+SUMIFS(Таблица1[7],Таблица1[2],Таблица1[[#This Row],[2]])</f>
        <v>1147.4000000000001</v>
      </c>
      <c r="C556" s="185" t="s">
        <v>448</v>
      </c>
      <c r="D556" s="196"/>
      <c r="E556" s="196"/>
      <c r="F556" s="196"/>
      <c r="G556" s="168"/>
      <c r="H556" s="197"/>
      <c r="I556" s="196"/>
      <c r="J556" s="196"/>
      <c r="K556" s="196"/>
      <c r="L556" s="196"/>
      <c r="M556" s="196"/>
      <c r="N556" s="196"/>
      <c r="O556" s="196"/>
      <c r="P556" s="196"/>
      <c r="Q556" s="196"/>
      <c r="R556" s="196"/>
      <c r="S556" s="196"/>
      <c r="T556" s="196"/>
      <c r="U556" s="196"/>
      <c r="V556" s="198"/>
    </row>
    <row r="557" spans="1:22" hidden="1" outlineLevel="2" x14ac:dyDescent="0.25">
      <c r="A557" s="186">
        <f>SUMIFS(МКД!$A$6:$A$389,МКД!$D$6:$D$389,Таблица1[[#This Row],[2]])</f>
        <v>97</v>
      </c>
      <c r="B557" s="170"/>
      <c r="C557" s="182" t="s">
        <v>448</v>
      </c>
      <c r="D557" s="167" t="s">
        <v>2544</v>
      </c>
      <c r="E557" s="167" t="s">
        <v>1316</v>
      </c>
      <c r="F557" s="167">
        <v>1</v>
      </c>
      <c r="G557" s="168">
        <f>SUMIFS(Таблица1[[#This Row],[8]:[19]],$I$5:$T$5,"Выкуп")</f>
        <v>89.6</v>
      </c>
      <c r="H557" s="168">
        <f>SUMIFS(Таблица1[[#This Row],[8]:[19]],$I$5:$T$5,"Аренда")</f>
        <v>0</v>
      </c>
      <c r="I557" s="169">
        <v>89.6</v>
      </c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70"/>
      <c r="V557" s="171"/>
    </row>
    <row r="558" spans="1:22" hidden="1" outlineLevel="2" x14ac:dyDescent="0.25">
      <c r="A558" s="186">
        <f>SUMIFS(МКД!$A$6:$A$389,МКД!$D$6:$D$389,Таблица1[[#This Row],[2]])</f>
        <v>97</v>
      </c>
      <c r="B558" s="168"/>
      <c r="C558" s="182" t="s">
        <v>448</v>
      </c>
      <c r="D558" s="167" t="s">
        <v>880</v>
      </c>
      <c r="E558" s="167" t="s">
        <v>1317</v>
      </c>
      <c r="F558" s="167">
        <v>1</v>
      </c>
      <c r="G558" s="168">
        <f>SUMIFS(Таблица1[[#This Row],[8]:[19]],$I$5:$T$5,"Выкуп")</f>
        <v>73.2</v>
      </c>
      <c r="H558" s="168">
        <f>SUMIFS(Таблица1[[#This Row],[8]:[19]],$I$5:$T$5,"Аренда")</f>
        <v>0</v>
      </c>
      <c r="I558" s="169">
        <v>73.2</v>
      </c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70"/>
      <c r="V558" s="171"/>
    </row>
    <row r="559" spans="1:22" hidden="1" outlineLevel="2" x14ac:dyDescent="0.25">
      <c r="A559" s="186">
        <f>SUMIFS(МКД!$A$6:$A$389,МКД!$D$6:$D$389,Таблица1[[#This Row],[2]])</f>
        <v>97</v>
      </c>
      <c r="B559" s="168"/>
      <c r="C559" s="182" t="s">
        <v>448</v>
      </c>
      <c r="D559" s="167" t="s">
        <v>2699</v>
      </c>
      <c r="E559" s="167" t="s">
        <v>1374</v>
      </c>
      <c r="F559" s="167">
        <v>1</v>
      </c>
      <c r="G559" s="168">
        <f>SUMIFS(Таблица1[[#This Row],[8]:[19]],$I$5:$T$5,"Выкуп")</f>
        <v>109.2</v>
      </c>
      <c r="H559" s="168">
        <f>SUMIFS(Таблица1[[#This Row],[8]:[19]],$I$5:$T$5,"Аренда")</f>
        <v>0</v>
      </c>
      <c r="I559" s="169">
        <v>109.2</v>
      </c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70"/>
      <c r="V559" s="171"/>
    </row>
    <row r="560" spans="1:22" hidden="1" outlineLevel="2" x14ac:dyDescent="0.25">
      <c r="A560" s="186">
        <f>SUMIFS(МКД!$A$6:$A$389,МКД!$D$6:$D$389,Таблица1[[#This Row],[2]])</f>
        <v>97</v>
      </c>
      <c r="B560" s="168"/>
      <c r="C560" s="182" t="s">
        <v>448</v>
      </c>
      <c r="D560" s="167" t="s">
        <v>1986</v>
      </c>
      <c r="E560" s="167" t="s">
        <v>1318</v>
      </c>
      <c r="F560" s="167">
        <v>1</v>
      </c>
      <c r="G560" s="168">
        <f>SUMIFS(Таблица1[[#This Row],[8]:[19]],$I$5:$T$5,"Выкуп")</f>
        <v>102.7</v>
      </c>
      <c r="H560" s="168">
        <f>SUMIFS(Таблица1[[#This Row],[8]:[19]],$I$5:$T$5,"Аренда")</f>
        <v>0</v>
      </c>
      <c r="I560" s="169">
        <v>102.7</v>
      </c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70"/>
      <c r="V560" s="171"/>
    </row>
    <row r="561" spans="1:22" hidden="1" outlineLevel="2" x14ac:dyDescent="0.25">
      <c r="A561" s="186">
        <f>SUMIFS(МКД!$A$6:$A$389,МКД!$D$6:$D$389,Таблица1[[#This Row],[2]])</f>
        <v>97</v>
      </c>
      <c r="B561" s="168"/>
      <c r="C561" s="182" t="s">
        <v>448</v>
      </c>
      <c r="D561" s="167" t="s">
        <v>881</v>
      </c>
      <c r="E561" s="167" t="s">
        <v>1319</v>
      </c>
      <c r="F561" s="167">
        <v>1</v>
      </c>
      <c r="G561" s="168">
        <f>SUMIFS(Таблица1[[#This Row],[8]:[19]],$I$5:$T$5,"Выкуп")</f>
        <v>75.900000000000006</v>
      </c>
      <c r="H561" s="168">
        <f>SUMIFS(Таблица1[[#This Row],[8]:[19]],$I$5:$T$5,"Аренда")</f>
        <v>0</v>
      </c>
      <c r="I561" s="169">
        <v>75.900000000000006</v>
      </c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70"/>
      <c r="V561" s="171"/>
    </row>
    <row r="562" spans="1:22" hidden="1" outlineLevel="2" x14ac:dyDescent="0.25">
      <c r="A562" s="186">
        <f>SUMIFS(МКД!$A$6:$A$389,МКД!$D$6:$D$389,Таблица1[[#This Row],[2]])</f>
        <v>97</v>
      </c>
      <c r="B562" s="168"/>
      <c r="C562" s="182" t="s">
        <v>448</v>
      </c>
      <c r="D562" s="167" t="s">
        <v>2006</v>
      </c>
      <c r="E562" s="167" t="s">
        <v>764</v>
      </c>
      <c r="F562" s="167">
        <v>1</v>
      </c>
      <c r="G562" s="168">
        <f>SUMIFS(Таблица1[[#This Row],[8]:[19]],$I$5:$T$5,"Выкуп")</f>
        <v>27.6</v>
      </c>
      <c r="H562" s="168">
        <f>SUMIFS(Таблица1[[#This Row],[8]:[19]],$I$5:$T$5,"Аренда")</f>
        <v>0</v>
      </c>
      <c r="I562" s="169">
        <v>27.6</v>
      </c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70"/>
      <c r="V562" s="171"/>
    </row>
    <row r="563" spans="1:22" hidden="1" outlineLevel="2" x14ac:dyDescent="0.25">
      <c r="A563" s="186">
        <f>SUMIFS(МКД!$A$6:$A$389,МКД!$D$6:$D$389,Таблица1[[#This Row],[2]])</f>
        <v>97</v>
      </c>
      <c r="B563" s="168"/>
      <c r="C563" s="182" t="s">
        <v>448</v>
      </c>
      <c r="D563" s="167" t="s">
        <v>1021</v>
      </c>
      <c r="E563" s="167" t="s">
        <v>1320</v>
      </c>
      <c r="F563" s="167">
        <v>1</v>
      </c>
      <c r="G563" s="168">
        <f>SUMIFS(Таблица1[[#This Row],[8]:[19]],$I$5:$T$5,"Выкуп")</f>
        <v>49.9</v>
      </c>
      <c r="H563" s="168">
        <f>SUMIFS(Таблица1[[#This Row],[8]:[19]],$I$5:$T$5,"Аренда")</f>
        <v>0</v>
      </c>
      <c r="I563" s="169">
        <v>49.9</v>
      </c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70"/>
      <c r="V563" s="171"/>
    </row>
    <row r="564" spans="1:22" hidden="1" outlineLevel="2" x14ac:dyDescent="0.25">
      <c r="A564" s="186">
        <f>SUMIFS(МКД!$A$6:$A$389,МКД!$D$6:$D$389,Таблица1[[#This Row],[2]])</f>
        <v>97</v>
      </c>
      <c r="B564" s="168"/>
      <c r="C564" s="182" t="s">
        <v>448</v>
      </c>
      <c r="D564" s="167" t="s">
        <v>140</v>
      </c>
      <c r="E564" s="167" t="s">
        <v>919</v>
      </c>
      <c r="F564" s="167">
        <v>1</v>
      </c>
      <c r="G564" s="168">
        <f>SUMIFS(Таблица1[[#This Row],[8]:[19]],$I$5:$T$5,"Выкуп")</f>
        <v>71.5</v>
      </c>
      <c r="H564" s="168">
        <f>SUMIFS(Таблица1[[#This Row],[8]:[19]],$I$5:$T$5,"Аренда")</f>
        <v>0</v>
      </c>
      <c r="I564" s="169">
        <v>71.5</v>
      </c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70"/>
      <c r="V564" s="171"/>
    </row>
    <row r="565" spans="1:22" hidden="1" outlineLevel="2" x14ac:dyDescent="0.25">
      <c r="A565" s="186">
        <f>SUMIFS(МКД!$A$6:$A$389,МКД!$D$6:$D$389,Таблица1[[#This Row],[2]])</f>
        <v>97</v>
      </c>
      <c r="B565" s="168"/>
      <c r="C565" s="182" t="s">
        <v>448</v>
      </c>
      <c r="D565" s="167" t="s">
        <v>1053</v>
      </c>
      <c r="E565" s="167" t="s">
        <v>2830</v>
      </c>
      <c r="F565" s="167">
        <v>1</v>
      </c>
      <c r="G565" s="168">
        <f>SUMIFS(Таблица1[[#This Row],[8]:[19]],$I$5:$T$5,"Выкуп")</f>
        <v>67.2</v>
      </c>
      <c r="H565" s="168">
        <f>SUMIFS(Таблица1[[#This Row],[8]:[19]],$I$5:$T$5,"Аренда")</f>
        <v>0</v>
      </c>
      <c r="I565" s="169"/>
      <c r="J565" s="169"/>
      <c r="K565" s="169"/>
      <c r="L565" s="169"/>
      <c r="M565" s="278">
        <v>67.2</v>
      </c>
      <c r="N565" s="169"/>
      <c r="O565" s="169"/>
      <c r="P565" s="169"/>
      <c r="Q565" s="169"/>
      <c r="R565" s="169"/>
      <c r="S565" s="169"/>
      <c r="T565" s="169"/>
      <c r="U565" s="170"/>
      <c r="V565" s="171"/>
    </row>
    <row r="566" spans="1:22" hidden="1" outlineLevel="2" x14ac:dyDescent="0.25">
      <c r="A566" s="186">
        <f>SUMIFS(МКД!$A$6:$A$389,МКД!$D$6:$D$389,Таблица1[[#This Row],[2]])</f>
        <v>97</v>
      </c>
      <c r="B566" s="168"/>
      <c r="C566" s="182" t="s">
        <v>448</v>
      </c>
      <c r="D566" s="167" t="s">
        <v>1053</v>
      </c>
      <c r="E566" s="167" t="s">
        <v>2754</v>
      </c>
      <c r="F566" s="167">
        <v>1</v>
      </c>
      <c r="G566" s="168">
        <f>SUMIFS(Таблица1[[#This Row],[8]:[19]],$I$5:$T$5,"Выкуп")</f>
        <v>86.9</v>
      </c>
      <c r="H566" s="168">
        <f>SUMIFS(Таблица1[[#This Row],[8]:[19]],$I$5:$T$5,"Аренда")</f>
        <v>0</v>
      </c>
      <c r="I566" s="169"/>
      <c r="J566" s="169"/>
      <c r="K566" s="169"/>
      <c r="L566" s="169"/>
      <c r="M566" s="169">
        <v>86.9</v>
      </c>
      <c r="N566" s="169"/>
      <c r="O566" s="169"/>
      <c r="P566" s="169"/>
      <c r="Q566" s="169"/>
      <c r="R566" s="169"/>
      <c r="S566" s="169"/>
      <c r="T566" s="169"/>
      <c r="U566" s="170"/>
      <c r="V566" s="171"/>
    </row>
    <row r="567" spans="1:22" hidden="1" outlineLevel="2" x14ac:dyDescent="0.25">
      <c r="A567" s="186">
        <f>SUMIFS(МКД!$A$6:$A$389,МКД!$D$6:$D$389,Таблица1[[#This Row],[2]])</f>
        <v>97</v>
      </c>
      <c r="B567" s="168"/>
      <c r="C567" s="182" t="s">
        <v>448</v>
      </c>
      <c r="D567" s="167" t="s">
        <v>1053</v>
      </c>
      <c r="E567" s="167" t="s">
        <v>2755</v>
      </c>
      <c r="F567" s="167">
        <v>1</v>
      </c>
      <c r="G567" s="168">
        <f>SUMIFS(Таблица1[[#This Row],[8]:[19]],$I$5:$T$5,"Выкуп")</f>
        <v>90.4</v>
      </c>
      <c r="H567" s="168">
        <f>SUMIFS(Таблица1[[#This Row],[8]:[19]],$I$5:$T$5,"Аренда")</f>
        <v>0</v>
      </c>
      <c r="I567" s="169"/>
      <c r="J567" s="169"/>
      <c r="K567" s="169"/>
      <c r="L567" s="169"/>
      <c r="M567" s="169">
        <v>90.4</v>
      </c>
      <c r="N567" s="169"/>
      <c r="O567" s="169"/>
      <c r="P567" s="169"/>
      <c r="Q567" s="169"/>
      <c r="R567" s="169"/>
      <c r="S567" s="169"/>
      <c r="T567" s="169"/>
      <c r="U567" s="170"/>
      <c r="V567" s="171"/>
    </row>
    <row r="568" spans="1:22" hidden="1" outlineLevel="2" x14ac:dyDescent="0.25">
      <c r="A568" s="186">
        <f>SUMIFS(МКД!$A$6:$A$389,МКД!$D$6:$D$389,Таблица1[[#This Row],[2]])</f>
        <v>97</v>
      </c>
      <c r="B568" s="168"/>
      <c r="C568" s="182" t="s">
        <v>448</v>
      </c>
      <c r="D568" s="167" t="s">
        <v>141</v>
      </c>
      <c r="E568" s="167"/>
      <c r="F568" s="167">
        <v>1</v>
      </c>
      <c r="G568" s="168">
        <f>SUMIFS(Таблица1[[#This Row],[8]:[19]],$I$5:$T$5,"Выкуп")</f>
        <v>303.29999999999995</v>
      </c>
      <c r="H568" s="168">
        <f>SUMIFS(Таблица1[[#This Row],[8]:[19]],$I$5:$T$5,"Аренда")</f>
        <v>0</v>
      </c>
      <c r="I568" s="169">
        <v>145.19999999999999</v>
      </c>
      <c r="J568" s="169"/>
      <c r="K568" s="169">
        <v>158.1</v>
      </c>
      <c r="L568" s="169"/>
      <c r="M568" s="169"/>
      <c r="N568" s="169"/>
      <c r="O568" s="169"/>
      <c r="P568" s="169"/>
      <c r="Q568" s="169"/>
      <c r="R568" s="169"/>
      <c r="S568" s="169"/>
      <c r="T568" s="169"/>
      <c r="U568" s="170"/>
      <c r="V568" s="171"/>
    </row>
    <row r="569" spans="1:22" ht="15" outlineLevel="1" collapsed="1" x14ac:dyDescent="0.25">
      <c r="A569" s="186">
        <f>SUMIFS(МКД!$A$6:$A$389,МКД!$D$6:$D$389,Таблица1[[#This Row],[2]])</f>
        <v>115</v>
      </c>
      <c r="B569" s="194">
        <f>SUMIFS(Таблица1[6],Таблица1[2],Таблица1[[#This Row],[2]])+SUMIFS(Таблица1[7],Таблица1[2],Таблица1[[#This Row],[2]])</f>
        <v>256</v>
      </c>
      <c r="C569" s="185" t="s">
        <v>363</v>
      </c>
      <c r="D569" s="196"/>
      <c r="E569" s="196"/>
      <c r="F569" s="196"/>
      <c r="G569" s="168"/>
      <c r="H569" s="197"/>
      <c r="I569" s="196"/>
      <c r="J569" s="196"/>
      <c r="K569" s="196"/>
      <c r="L569" s="196"/>
      <c r="M569" s="196"/>
      <c r="N569" s="196"/>
      <c r="O569" s="196"/>
      <c r="P569" s="196"/>
      <c r="Q569" s="196"/>
      <c r="R569" s="196"/>
      <c r="S569" s="196"/>
      <c r="T569" s="196"/>
      <c r="U569" s="196"/>
      <c r="V569" s="198"/>
    </row>
    <row r="570" spans="1:22" hidden="1" outlineLevel="2" x14ac:dyDescent="0.25">
      <c r="A570" s="186">
        <f>SUMIFS(МКД!$A$6:$A$389,МКД!$D$6:$D$389,Таблица1[[#This Row],[2]])</f>
        <v>115</v>
      </c>
      <c r="B570" s="170"/>
      <c r="C570" s="182" t="s">
        <v>363</v>
      </c>
      <c r="D570" s="167" t="s">
        <v>1067</v>
      </c>
      <c r="E570" s="167" t="s">
        <v>1068</v>
      </c>
      <c r="F570" s="167"/>
      <c r="G570" s="168">
        <f>SUMIFS(Таблица1[[#This Row],[8]:[19]],$I$5:$T$5,"Выкуп")</f>
        <v>47</v>
      </c>
      <c r="H570" s="168">
        <f>SUMIFS(Таблица1[[#This Row],[8]:[19]],$I$5:$T$5,"Аренда")</f>
        <v>0</v>
      </c>
      <c r="I570" s="169">
        <v>47</v>
      </c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70"/>
      <c r="V570" s="171"/>
    </row>
    <row r="571" spans="1:22" hidden="1" outlineLevel="2" x14ac:dyDescent="0.25">
      <c r="A571" s="186">
        <f>SUMIFS(МКД!$A$6:$A$389,МКД!$D$6:$D$389,Таблица1[[#This Row],[2]])</f>
        <v>115</v>
      </c>
      <c r="B571" s="170"/>
      <c r="C571" s="182" t="s">
        <v>363</v>
      </c>
      <c r="D571" s="167" t="s">
        <v>1053</v>
      </c>
      <c r="E571" s="167" t="s">
        <v>2752</v>
      </c>
      <c r="F571" s="167"/>
      <c r="G571" s="168">
        <f>SUMIFS(Таблица1[[#This Row],[8]:[19]],$I$5:$T$5,"Выкуп")</f>
        <v>209</v>
      </c>
      <c r="H571" s="168">
        <f>SUMIFS(Таблица1[[#This Row],[8]:[19]],$I$5:$T$5,"Аренда")</f>
        <v>0</v>
      </c>
      <c r="I571" s="169"/>
      <c r="J571" s="169"/>
      <c r="K571" s="169"/>
      <c r="L571" s="169"/>
      <c r="M571" s="169">
        <v>209</v>
      </c>
      <c r="N571" s="169"/>
      <c r="O571" s="169"/>
      <c r="P571" s="169"/>
      <c r="Q571" s="169"/>
      <c r="R571" s="169"/>
      <c r="S571" s="169"/>
      <c r="T571" s="169"/>
      <c r="U571" s="170"/>
      <c r="V571" s="171"/>
    </row>
    <row r="572" spans="1:22" ht="15" outlineLevel="1" collapsed="1" x14ac:dyDescent="0.25">
      <c r="A572" s="186">
        <f>SUMIFS(МКД!$A$6:$A$389,МКД!$D$6:$D$389,Таблица1[[#This Row],[2]])</f>
        <v>101</v>
      </c>
      <c r="B572" s="194">
        <f>SUMIFS(Таблица1[6],Таблица1[2],Таблица1[[#This Row],[2]])+SUMIFS(Таблица1[7],Таблица1[2],Таблица1[[#This Row],[2]])</f>
        <v>160.4</v>
      </c>
      <c r="C572" s="185" t="s">
        <v>364</v>
      </c>
      <c r="D572" s="196"/>
      <c r="E572" s="196"/>
      <c r="F572" s="196"/>
      <c r="G572" s="168"/>
      <c r="H572" s="197"/>
      <c r="I572" s="196"/>
      <c r="J572" s="196"/>
      <c r="K572" s="196"/>
      <c r="L572" s="196"/>
      <c r="M572" s="196"/>
      <c r="N572" s="196"/>
      <c r="O572" s="196"/>
      <c r="P572" s="196"/>
      <c r="Q572" s="196"/>
      <c r="R572" s="196"/>
      <c r="S572" s="196"/>
      <c r="T572" s="196"/>
      <c r="U572" s="196"/>
      <c r="V572" s="198"/>
    </row>
    <row r="573" spans="1:22" hidden="1" outlineLevel="2" x14ac:dyDescent="0.25">
      <c r="A573" s="186">
        <f>SUMIFS(МКД!$A$6:$A$389,МКД!$D$6:$D$389,Таблица1[[#This Row],[2]])</f>
        <v>101</v>
      </c>
      <c r="B573" s="170"/>
      <c r="C573" s="182" t="s">
        <v>364</v>
      </c>
      <c r="D573" s="167" t="s">
        <v>772</v>
      </c>
      <c r="E573" s="167" t="s">
        <v>828</v>
      </c>
      <c r="F573" s="167">
        <v>1</v>
      </c>
      <c r="G573" s="168">
        <f>SUMIFS(Таблица1[[#This Row],[8]:[19]],$I$5:$T$5,"Выкуп")</f>
        <v>160.4</v>
      </c>
      <c r="H573" s="168">
        <f>SUMIFS(Таблица1[[#This Row],[8]:[19]],$I$5:$T$5,"Аренда")</f>
        <v>0</v>
      </c>
      <c r="I573" s="169"/>
      <c r="J573" s="169"/>
      <c r="K573" s="169">
        <v>160.4</v>
      </c>
      <c r="L573" s="169"/>
      <c r="M573" s="169"/>
      <c r="N573" s="169"/>
      <c r="O573" s="169"/>
      <c r="P573" s="169"/>
      <c r="Q573" s="169"/>
      <c r="R573" s="169"/>
      <c r="S573" s="169"/>
      <c r="T573" s="169"/>
      <c r="U573" s="170"/>
      <c r="V573" s="171"/>
    </row>
    <row r="574" spans="1:22" ht="15" outlineLevel="1" collapsed="1" x14ac:dyDescent="0.25">
      <c r="A574" s="186">
        <f>SUMIFS(МКД!$A$6:$A$389,МКД!$D$6:$D$389,Таблица1[[#This Row],[2]])</f>
        <v>102</v>
      </c>
      <c r="B574" s="194">
        <f>SUMIFS(Таблица1[6],Таблица1[2],Таблица1[[#This Row],[2]])+SUMIFS(Таблица1[7],Таблица1[2],Таблица1[[#This Row],[2]])</f>
        <v>285.5</v>
      </c>
      <c r="C574" s="185" t="s">
        <v>365</v>
      </c>
      <c r="D574" s="196"/>
      <c r="E574" s="196"/>
      <c r="F574" s="196"/>
      <c r="G574" s="168"/>
      <c r="H574" s="197"/>
      <c r="I574" s="196"/>
      <c r="J574" s="196"/>
      <c r="K574" s="196"/>
      <c r="L574" s="196"/>
      <c r="M574" s="196"/>
      <c r="N574" s="196"/>
      <c r="O574" s="196"/>
      <c r="P574" s="196"/>
      <c r="Q574" s="196"/>
      <c r="R574" s="196"/>
      <c r="S574" s="196"/>
      <c r="T574" s="196"/>
      <c r="U574" s="196"/>
      <c r="V574" s="198"/>
    </row>
    <row r="575" spans="1:22" hidden="1" outlineLevel="2" x14ac:dyDescent="0.25">
      <c r="A575" s="186">
        <f>SUMIFS(МКД!$A$6:$A$389,МКД!$D$6:$D$389,Таблица1[[#This Row],[2]])</f>
        <v>102</v>
      </c>
      <c r="B575" s="170"/>
      <c r="C575" s="182" t="s">
        <v>365</v>
      </c>
      <c r="D575" s="167" t="s">
        <v>142</v>
      </c>
      <c r="E575" s="167" t="s">
        <v>1461</v>
      </c>
      <c r="F575" s="167">
        <v>1</v>
      </c>
      <c r="G575" s="168">
        <f>SUMIFS(Таблица1[[#This Row],[8]:[19]],$I$5:$T$5,"Выкуп")</f>
        <v>36.67</v>
      </c>
      <c r="H575" s="168">
        <f>SUMIFS(Таблица1[[#This Row],[8]:[19]],$I$5:$T$5,"Аренда")</f>
        <v>0</v>
      </c>
      <c r="I575" s="169"/>
      <c r="J575" s="169"/>
      <c r="K575" s="169">
        <v>36.67</v>
      </c>
      <c r="L575" s="169"/>
      <c r="M575" s="169"/>
      <c r="N575" s="169"/>
      <c r="O575" s="169"/>
      <c r="P575" s="169"/>
      <c r="Q575" s="169"/>
      <c r="R575" s="169"/>
      <c r="S575" s="169"/>
      <c r="T575" s="169"/>
      <c r="U575" s="170"/>
      <c r="V575" s="171"/>
    </row>
    <row r="576" spans="1:22" hidden="1" outlineLevel="2" x14ac:dyDescent="0.25">
      <c r="A576" s="186">
        <f>SUMIFS(МКД!$A$6:$A$389,МКД!$D$6:$D$389,Таблица1[[#This Row],[2]])</f>
        <v>102</v>
      </c>
      <c r="B576" s="170"/>
      <c r="C576" s="182" t="s">
        <v>365</v>
      </c>
      <c r="D576" s="167" t="s">
        <v>1463</v>
      </c>
      <c r="E576" s="167" t="s">
        <v>1462</v>
      </c>
      <c r="F576" s="167">
        <v>1</v>
      </c>
      <c r="G576" s="168">
        <f>SUMIFS(Таблица1[[#This Row],[8]:[19]],$I$5:$T$5,"Выкуп")</f>
        <v>21.03</v>
      </c>
      <c r="H576" s="168">
        <f>SUMIFS(Таблица1[[#This Row],[8]:[19]],$I$5:$T$5,"Аренда")</f>
        <v>0</v>
      </c>
      <c r="I576" s="169"/>
      <c r="J576" s="169"/>
      <c r="K576" s="169">
        <v>21.03</v>
      </c>
      <c r="L576" s="169"/>
      <c r="M576" s="169"/>
      <c r="N576" s="169"/>
      <c r="O576" s="169"/>
      <c r="P576" s="169"/>
      <c r="Q576" s="169"/>
      <c r="R576" s="169"/>
      <c r="S576" s="169"/>
      <c r="T576" s="169"/>
      <c r="U576" s="170"/>
      <c r="V576" s="171"/>
    </row>
    <row r="577" spans="1:22" hidden="1" outlineLevel="2" x14ac:dyDescent="0.25">
      <c r="A577" s="186">
        <f>SUMIFS(МКД!$A$6:$A$389,МКД!$D$6:$D$389,Таблица1[[#This Row],[2]])</f>
        <v>102</v>
      </c>
      <c r="B577" s="168"/>
      <c r="C577" s="182" t="s">
        <v>365</v>
      </c>
      <c r="D577" s="167" t="s">
        <v>1813</v>
      </c>
      <c r="E577" s="167" t="s">
        <v>959</v>
      </c>
      <c r="F577" s="167">
        <v>1</v>
      </c>
      <c r="G577" s="168">
        <f>SUMIFS(Таблица1[[#This Row],[8]:[19]],$I$5:$T$5,"Выкуп")</f>
        <v>172.9</v>
      </c>
      <c r="H577" s="168">
        <f>SUMIFS(Таблица1[[#This Row],[8]:[19]],$I$5:$T$5,"Аренда")</f>
        <v>0</v>
      </c>
      <c r="I577" s="169">
        <f>155.8+17.1</f>
        <v>172.9</v>
      </c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70"/>
      <c r="V577" s="171"/>
    </row>
    <row r="578" spans="1:22" hidden="1" outlineLevel="2" x14ac:dyDescent="0.25">
      <c r="A578" s="186">
        <f>SUMIFS(МКД!$A$6:$A$389,МКД!$D$6:$D$389,Таблица1[[#This Row],[2]])</f>
        <v>102</v>
      </c>
      <c r="B578" s="168"/>
      <c r="C578" s="182" t="s">
        <v>365</v>
      </c>
      <c r="D578" s="167" t="s">
        <v>143</v>
      </c>
      <c r="E578" s="167" t="s">
        <v>739</v>
      </c>
      <c r="F578" s="167">
        <v>1</v>
      </c>
      <c r="G578" s="168">
        <f>SUMIFS(Таблица1[[#This Row],[8]:[19]],$I$5:$T$5,"Выкуп")</f>
        <v>0</v>
      </c>
      <c r="H578" s="168">
        <f>SUMIFS(Таблица1[[#This Row],[8]:[19]],$I$5:$T$5,"Аренда")</f>
        <v>0</v>
      </c>
      <c r="I578" s="169"/>
      <c r="J578" s="169"/>
      <c r="K578" s="169"/>
      <c r="L578" s="169"/>
      <c r="M578" s="169"/>
      <c r="N578" s="169"/>
      <c r="O578" s="167"/>
      <c r="P578" s="169"/>
      <c r="Q578" s="169"/>
      <c r="R578" s="169"/>
      <c r="S578" s="169"/>
      <c r="T578" s="169"/>
      <c r="U578" s="170"/>
      <c r="V578" s="171"/>
    </row>
    <row r="579" spans="1:22" hidden="1" outlineLevel="2" x14ac:dyDescent="0.25">
      <c r="A579" s="186">
        <f>SUMIFS(МКД!$A$6:$A$389,МКД!$D$6:$D$389,Таблица1[[#This Row],[2]])</f>
        <v>102</v>
      </c>
      <c r="B579" s="168"/>
      <c r="C579" s="182" t="s">
        <v>365</v>
      </c>
      <c r="D579" s="167" t="s">
        <v>189</v>
      </c>
      <c r="E579" s="167" t="s">
        <v>76</v>
      </c>
      <c r="F579" s="167">
        <v>1</v>
      </c>
      <c r="G579" s="168">
        <f>SUMIFS(Таблица1[[#This Row],[8]:[19]],$I$5:$T$5,"Выкуп")</f>
        <v>0</v>
      </c>
      <c r="H579" s="168">
        <f>SUMIFS(Таблица1[[#This Row],[8]:[19]],$I$5:$T$5,"Аренда")</f>
        <v>54.9</v>
      </c>
      <c r="I579" s="169"/>
      <c r="J579" s="169"/>
      <c r="K579" s="169"/>
      <c r="L579" s="169">
        <v>54.9</v>
      </c>
      <c r="M579" s="169"/>
      <c r="N579" s="169"/>
      <c r="O579" s="167"/>
      <c r="P579" s="169"/>
      <c r="Q579" s="169"/>
      <c r="R579" s="169"/>
      <c r="S579" s="169"/>
      <c r="T579" s="169"/>
      <c r="U579" s="170"/>
      <c r="V579" s="171"/>
    </row>
    <row r="580" spans="1:22" hidden="1" outlineLevel="2" x14ac:dyDescent="0.25">
      <c r="A580" s="186">
        <f>SUMIFS(МКД!$A$6:$A$389,МКД!$D$6:$D$389,Таблица1[[#This Row],[2]])</f>
        <v>102</v>
      </c>
      <c r="B580" s="168"/>
      <c r="C580" s="182" t="s">
        <v>365</v>
      </c>
      <c r="D580" s="167" t="s">
        <v>1053</v>
      </c>
      <c r="E580" s="167" t="s">
        <v>4</v>
      </c>
      <c r="F580" s="167">
        <v>1</v>
      </c>
      <c r="G580" s="168">
        <f>SUMIFS(Таблица1[[#This Row],[8]:[19]],$I$5:$T$5,"Выкуп")</f>
        <v>0</v>
      </c>
      <c r="H580" s="168">
        <f>SUMIFS(Таблица1[[#This Row],[8]:[19]],$I$5:$T$5,"Аренда")</f>
        <v>0</v>
      </c>
      <c r="I580" s="169"/>
      <c r="J580" s="169"/>
      <c r="K580" s="169">
        <v>0</v>
      </c>
      <c r="L580" s="169"/>
      <c r="M580" s="169"/>
      <c r="N580" s="169"/>
      <c r="O580" s="169"/>
      <c r="P580" s="169"/>
      <c r="Q580" s="169"/>
      <c r="R580" s="169"/>
      <c r="S580" s="169"/>
      <c r="T580" s="169"/>
      <c r="U580" s="170"/>
      <c r="V580" s="171"/>
    </row>
    <row r="581" spans="1:22" ht="15" outlineLevel="1" collapsed="1" x14ac:dyDescent="0.25">
      <c r="A581" s="186">
        <f>SUMIFS(МКД!$A$6:$A$389,МКД!$D$6:$D$389,Таблица1[[#This Row],[2]])</f>
        <v>103</v>
      </c>
      <c r="B581" s="194">
        <f>SUMIFS(Таблица1[6],Таблица1[2],Таблица1[[#This Row],[2]])+SUMIFS(Таблица1[7],Таблица1[2],Таблица1[[#This Row],[2]])</f>
        <v>182.3</v>
      </c>
      <c r="C581" s="185" t="s">
        <v>366</v>
      </c>
      <c r="D581" s="196"/>
      <c r="E581" s="196"/>
      <c r="F581" s="196"/>
      <c r="G581" s="168"/>
      <c r="H581" s="197"/>
      <c r="I581" s="196"/>
      <c r="J581" s="196"/>
      <c r="K581" s="196"/>
      <c r="L581" s="196"/>
      <c r="M581" s="196"/>
      <c r="N581" s="196"/>
      <c r="O581" s="196"/>
      <c r="P581" s="196"/>
      <c r="Q581" s="196"/>
      <c r="R581" s="196"/>
      <c r="S581" s="196"/>
      <c r="T581" s="196"/>
      <c r="U581" s="196"/>
      <c r="V581" s="198"/>
    </row>
    <row r="582" spans="1:22" ht="15" hidden="1" outlineLevel="2" x14ac:dyDescent="0.25">
      <c r="A582" s="186">
        <f>SUMIFS(МКД!$A$6:$A$389,МКД!$D$6:$D$389,Таблица1[[#This Row],[2]])</f>
        <v>103</v>
      </c>
      <c r="B582" s="196"/>
      <c r="C582" s="182" t="s">
        <v>366</v>
      </c>
      <c r="D582" s="373" t="s">
        <v>1053</v>
      </c>
      <c r="E582" s="167" t="s">
        <v>2827</v>
      </c>
      <c r="F582" s="196"/>
      <c r="G582" s="168">
        <f>SUMIFS(Таблица1[[#This Row],[8]:[19]],$I$5:$T$5,"Выкуп")</f>
        <v>182.3</v>
      </c>
      <c r="H582" s="168">
        <f>SUMIFS(Таблица1[[#This Row],[8]:[19]],$I$5:$T$5,"Аренда")</f>
        <v>0</v>
      </c>
      <c r="I582" s="196"/>
      <c r="J582" s="196"/>
      <c r="K582" s="196"/>
      <c r="L582" s="196"/>
      <c r="M582" s="276">
        <v>182.3</v>
      </c>
      <c r="N582" s="196"/>
      <c r="O582" s="196"/>
      <c r="P582" s="196"/>
      <c r="Q582" s="196"/>
      <c r="R582" s="196"/>
      <c r="S582" s="196"/>
      <c r="T582" s="196"/>
      <c r="U582" s="196"/>
      <c r="V582" s="198"/>
    </row>
    <row r="583" spans="1:22" ht="15" outlineLevel="1" collapsed="1" x14ac:dyDescent="0.25">
      <c r="A583" s="186">
        <f>SUMIFS(МКД!$A$6:$A$389,МКД!$D$6:$D$389,Таблица1[[#This Row],[2]])</f>
        <v>104</v>
      </c>
      <c r="B583" s="194">
        <f>SUMIFS(Таблица1[6],Таблица1[2],Таблица1[[#This Row],[2]])+SUMIFS(Таблица1[7],Таблица1[2],Таблица1[[#This Row],[2]])</f>
        <v>114</v>
      </c>
      <c r="C583" s="185" t="s">
        <v>367</v>
      </c>
      <c r="D583" s="196"/>
      <c r="E583" s="196"/>
      <c r="F583" s="196"/>
      <c r="G583" s="168"/>
      <c r="H583" s="197"/>
      <c r="I583" s="196"/>
      <c r="J583" s="196"/>
      <c r="K583" s="196"/>
      <c r="L583" s="196"/>
      <c r="M583" s="196"/>
      <c r="N583" s="196"/>
      <c r="O583" s="196"/>
      <c r="P583" s="196"/>
      <c r="Q583" s="196"/>
      <c r="R583" s="196"/>
      <c r="S583" s="196"/>
      <c r="T583" s="196"/>
      <c r="U583" s="196"/>
      <c r="V583" s="198"/>
    </row>
    <row r="584" spans="1:22" hidden="1" outlineLevel="2" x14ac:dyDescent="0.25">
      <c r="A584" s="186">
        <f>SUMIFS(МКД!$A$6:$A$389,МКД!$D$6:$D$389,Таблица1[[#This Row],[2]])</f>
        <v>104</v>
      </c>
      <c r="B584" s="170"/>
      <c r="C584" s="182" t="s">
        <v>367</v>
      </c>
      <c r="D584" s="167" t="s">
        <v>1593</v>
      </c>
      <c r="E584" s="273" t="s">
        <v>1741</v>
      </c>
      <c r="F584" s="167">
        <v>1</v>
      </c>
      <c r="G584" s="168">
        <f>SUMIFS(Таблица1[[#This Row],[8]:[19]],$I$5:$T$5,"Выкуп")</f>
        <v>65.8</v>
      </c>
      <c r="H584" s="168">
        <f>SUMIFS(Таблица1[[#This Row],[8]:[19]],$I$5:$T$5,"Аренда")</f>
        <v>0</v>
      </c>
      <c r="I584" s="169"/>
      <c r="J584" s="169"/>
      <c r="K584" s="169">
        <v>65.8</v>
      </c>
      <c r="L584" s="169"/>
      <c r="M584" s="169"/>
      <c r="N584" s="169"/>
      <c r="O584" s="169"/>
      <c r="P584" s="169"/>
      <c r="Q584" s="169"/>
      <c r="R584" s="169"/>
      <c r="S584" s="169"/>
      <c r="T584" s="169"/>
      <c r="U584" s="170"/>
      <c r="V584" s="171"/>
    </row>
    <row r="585" spans="1:22" hidden="1" outlineLevel="2" x14ac:dyDescent="0.25">
      <c r="A585" s="186">
        <f>SUMIFS(МКД!$A$6:$A$389,МКД!$D$6:$D$389,Таблица1[[#This Row],[2]])</f>
        <v>104</v>
      </c>
      <c r="B585" s="170"/>
      <c r="C585" s="182" t="s">
        <v>367</v>
      </c>
      <c r="D585" s="167" t="s">
        <v>144</v>
      </c>
      <c r="E585" s="167"/>
      <c r="F585" s="167">
        <v>1</v>
      </c>
      <c r="G585" s="168">
        <f>SUMIFS(Таблица1[[#This Row],[8]:[19]],$I$5:$T$5,"Выкуп")</f>
        <v>48.2</v>
      </c>
      <c r="H585" s="168">
        <f>SUMIFS(Таблица1[[#This Row],[8]:[19]],$I$5:$T$5,"Аренда")</f>
        <v>0</v>
      </c>
      <c r="I585" s="169"/>
      <c r="J585" s="169"/>
      <c r="K585" s="169">
        <v>48.2</v>
      </c>
      <c r="L585" s="169"/>
      <c r="M585" s="169"/>
      <c r="N585" s="169"/>
      <c r="O585" s="169"/>
      <c r="P585" s="169"/>
      <c r="Q585" s="169"/>
      <c r="R585" s="169"/>
      <c r="S585" s="169"/>
      <c r="T585" s="169"/>
      <c r="U585" s="170"/>
      <c r="V585" s="171"/>
    </row>
    <row r="586" spans="1:22" ht="15" outlineLevel="1" collapsed="1" x14ac:dyDescent="0.25">
      <c r="A586" s="186">
        <f>SUMIFS(МКД!$A$6:$A$389,МКД!$D$6:$D$389,Таблица1[[#This Row],[2]])</f>
        <v>105</v>
      </c>
      <c r="B586" s="194">
        <f>SUMIFS(Таблица1[6],Таблица1[2],Таблица1[[#This Row],[2]])+SUMIFS(Таблица1[7],Таблица1[2],Таблица1[[#This Row],[2]])</f>
        <v>340.7</v>
      </c>
      <c r="C586" s="185" t="s">
        <v>514</v>
      </c>
      <c r="D586" s="196"/>
      <c r="E586" s="196"/>
      <c r="F586" s="196"/>
      <c r="G586" s="168"/>
      <c r="H586" s="197"/>
      <c r="I586" s="196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  <c r="V586" s="198"/>
    </row>
    <row r="587" spans="1:22" hidden="1" outlineLevel="2" x14ac:dyDescent="0.25">
      <c r="A587" s="186">
        <f>SUMIFS(МКД!$A$6:$A$389,МКД!$D$6:$D$389,Таблица1[[#This Row],[2]])</f>
        <v>105</v>
      </c>
      <c r="B587" s="170"/>
      <c r="C587" s="182" t="s">
        <v>514</v>
      </c>
      <c r="D587" s="167" t="s">
        <v>145</v>
      </c>
      <c r="E587" s="167" t="s">
        <v>1712</v>
      </c>
      <c r="F587" s="167">
        <v>1</v>
      </c>
      <c r="G587" s="168">
        <f>SUMIFS(Таблица1[[#This Row],[8]:[19]],$I$5:$T$5,"Выкуп")</f>
        <v>76.099999999999994</v>
      </c>
      <c r="H587" s="168">
        <f>SUMIFS(Таблица1[[#This Row],[8]:[19]],$I$5:$T$5,"Аренда")</f>
        <v>0</v>
      </c>
      <c r="I587" s="169">
        <v>76.099999999999994</v>
      </c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70"/>
      <c r="V587" s="171"/>
    </row>
    <row r="588" spans="1:22" hidden="1" outlineLevel="2" x14ac:dyDescent="0.25">
      <c r="A588" s="186">
        <f>SUMIFS(МКД!$A$6:$A$389,МКД!$D$6:$D$389,Таблица1[[#This Row],[2]])</f>
        <v>105</v>
      </c>
      <c r="B588" s="168"/>
      <c r="C588" s="182" t="s">
        <v>514</v>
      </c>
      <c r="D588" s="167" t="s">
        <v>146</v>
      </c>
      <c r="E588" s="167"/>
      <c r="F588" s="167">
        <v>1</v>
      </c>
      <c r="G588" s="168">
        <f>SUMIFS(Таблица1[[#This Row],[8]:[19]],$I$5:$T$5,"Выкуп")</f>
        <v>68.8</v>
      </c>
      <c r="H588" s="168">
        <f>SUMIFS(Таблица1[[#This Row],[8]:[19]],$I$5:$T$5,"Аренда")</f>
        <v>0</v>
      </c>
      <c r="I588" s="169">
        <v>68.8</v>
      </c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70"/>
      <c r="V588" s="171"/>
    </row>
    <row r="589" spans="1:22" hidden="1" outlineLevel="2" x14ac:dyDescent="0.25">
      <c r="A589" s="186">
        <f>SUMIFS(МКД!$A$6:$A$389,МКД!$D$6:$D$389,Таблица1[[#This Row],[2]])</f>
        <v>105</v>
      </c>
      <c r="B589" s="168"/>
      <c r="C589" s="182" t="s">
        <v>514</v>
      </c>
      <c r="D589" s="167" t="s">
        <v>1053</v>
      </c>
      <c r="E589" s="167" t="s">
        <v>2793</v>
      </c>
      <c r="F589" s="167"/>
      <c r="G589" s="168">
        <f>SUMIFS(Таблица1[[#This Row],[8]:[19]],$I$5:$T$5,"Выкуп")</f>
        <v>103</v>
      </c>
      <c r="H589" s="168">
        <f>SUMIFS(Таблица1[[#This Row],[8]:[19]],$I$5:$T$5,"Аренда")</f>
        <v>0</v>
      </c>
      <c r="I589" s="169"/>
      <c r="J589" s="169"/>
      <c r="K589" s="169"/>
      <c r="L589" s="169"/>
      <c r="M589" s="374">
        <v>103</v>
      </c>
      <c r="N589" s="169"/>
      <c r="O589" s="169"/>
      <c r="P589" s="169"/>
      <c r="Q589" s="169"/>
      <c r="R589" s="169"/>
      <c r="S589" s="169"/>
      <c r="T589" s="169"/>
      <c r="U589" s="170"/>
      <c r="V589" s="171"/>
    </row>
    <row r="590" spans="1:22" hidden="1" outlineLevel="2" x14ac:dyDescent="0.25">
      <c r="A590" s="186">
        <f>SUMIFS(МКД!$A$6:$A$389,МКД!$D$6:$D$389,Таблица1[[#This Row],[2]])</f>
        <v>105</v>
      </c>
      <c r="B590" s="168"/>
      <c r="C590" s="182" t="s">
        <v>514</v>
      </c>
      <c r="D590" s="167" t="s">
        <v>1053</v>
      </c>
      <c r="E590" s="167" t="s">
        <v>2828</v>
      </c>
      <c r="F590" s="167"/>
      <c r="G590" s="168">
        <f>SUMIFS(Таблица1[[#This Row],[8]:[19]],$I$5:$T$5,"Выкуп")</f>
        <v>92.8</v>
      </c>
      <c r="H590" s="168">
        <f>SUMIFS(Таблица1[[#This Row],[8]:[19]],$I$5:$T$5,"Аренда")</f>
        <v>0</v>
      </c>
      <c r="I590" s="169"/>
      <c r="J590" s="169"/>
      <c r="K590" s="169"/>
      <c r="L590" s="169"/>
      <c r="M590" s="374">
        <v>92.8</v>
      </c>
      <c r="N590" s="169"/>
      <c r="O590" s="169"/>
      <c r="P590" s="169"/>
      <c r="Q590" s="169"/>
      <c r="R590" s="169"/>
      <c r="S590" s="169"/>
      <c r="T590" s="169"/>
      <c r="U590" s="170"/>
      <c r="V590" s="171"/>
    </row>
    <row r="591" spans="1:22" ht="15" outlineLevel="1" collapsed="1" x14ac:dyDescent="0.25">
      <c r="A591" s="186">
        <f>SUMIFS(МКД!$A$6:$A$389,МКД!$D$6:$D$389,Таблица1[[#This Row],[2]])</f>
        <v>106</v>
      </c>
      <c r="B591" s="194">
        <f>SUMIFS(Таблица1[6],Таблица1[2],Таблица1[[#This Row],[2]])+SUMIFS(Таблица1[7],Таблица1[2],Таблица1[[#This Row],[2]])</f>
        <v>259.60000000000002</v>
      </c>
      <c r="C591" s="185" t="s">
        <v>515</v>
      </c>
      <c r="D591" s="196"/>
      <c r="E591" s="196"/>
      <c r="F591" s="196"/>
      <c r="G591" s="168"/>
      <c r="H591" s="197"/>
      <c r="I591" s="196"/>
      <c r="J591" s="196"/>
      <c r="K591" s="196"/>
      <c r="L591" s="196"/>
      <c r="M591" s="196"/>
      <c r="N591" s="196"/>
      <c r="O591" s="196"/>
      <c r="P591" s="196"/>
      <c r="Q591" s="196"/>
      <c r="R591" s="196"/>
      <c r="S591" s="196"/>
      <c r="T591" s="196"/>
      <c r="U591" s="196"/>
      <c r="V591" s="198"/>
    </row>
    <row r="592" spans="1:22" hidden="1" outlineLevel="2" x14ac:dyDescent="0.25">
      <c r="A592" s="186">
        <f>SUMIFS(МКД!$A$6:$A$389,МКД!$D$6:$D$389,Таблица1[[#This Row],[2]])</f>
        <v>106</v>
      </c>
      <c r="B592" s="170"/>
      <c r="C592" s="182" t="s">
        <v>515</v>
      </c>
      <c r="D592" s="167" t="s">
        <v>2816</v>
      </c>
      <c r="E592" s="167" t="s">
        <v>2111</v>
      </c>
      <c r="F592" s="167">
        <v>1</v>
      </c>
      <c r="G592" s="168">
        <f>SUMIFS(Таблица1[[#This Row],[8]:[19]],$I$5:$T$5,"Выкуп")</f>
        <v>144.9</v>
      </c>
      <c r="H592" s="168">
        <f>SUMIFS(Таблица1[[#This Row],[8]:[19]],$I$5:$T$5,"Аренда")</f>
        <v>0</v>
      </c>
      <c r="I592" s="169">
        <v>144.9</v>
      </c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70"/>
      <c r="V592" s="171"/>
    </row>
    <row r="593" spans="1:22" hidden="1" outlineLevel="2" x14ac:dyDescent="0.25">
      <c r="A593" s="186">
        <f>SUMIFS(МКД!$A$6:$A$389,МКД!$D$6:$D$389,Таблица1[[#This Row],[2]])</f>
        <v>106</v>
      </c>
      <c r="B593" s="168"/>
      <c r="C593" s="182" t="s">
        <v>515</v>
      </c>
      <c r="D593" s="167" t="s">
        <v>1594</v>
      </c>
      <c r="E593" s="167" t="s">
        <v>893</v>
      </c>
      <c r="F593" s="167">
        <v>1</v>
      </c>
      <c r="G593" s="168">
        <f>SUMIFS(Таблица1[[#This Row],[8]:[19]],$I$5:$T$5,"Выкуп")</f>
        <v>114.7</v>
      </c>
      <c r="H593" s="168">
        <f>SUMIFS(Таблица1[[#This Row],[8]:[19]],$I$5:$T$5,"Аренда")</f>
        <v>0</v>
      </c>
      <c r="I593" s="169"/>
      <c r="J593" s="169"/>
      <c r="K593" s="169">
        <v>114.7</v>
      </c>
      <c r="L593" s="169"/>
      <c r="M593" s="169"/>
      <c r="N593" s="169"/>
      <c r="O593" s="169"/>
      <c r="P593" s="169"/>
      <c r="Q593" s="169"/>
      <c r="R593" s="169"/>
      <c r="S593" s="169"/>
      <c r="T593" s="169"/>
      <c r="U593" s="170"/>
      <c r="V593" s="171"/>
    </row>
    <row r="594" spans="1:22" ht="15" outlineLevel="1" collapsed="1" x14ac:dyDescent="0.25">
      <c r="A594" s="186">
        <f>SUMIFS(МКД!$A$6:$A$389,МКД!$D$6:$D$389,Таблица1[[#This Row],[2]])</f>
        <v>107</v>
      </c>
      <c r="B594" s="194">
        <f>SUMIFS(Таблица1[6],Таблица1[2],Таблица1[[#This Row],[2]])+SUMIFS(Таблица1[7],Таблица1[2],Таблица1[[#This Row],[2]])</f>
        <v>793.80000000000007</v>
      </c>
      <c r="C594" s="185" t="s">
        <v>516</v>
      </c>
      <c r="D594" s="196"/>
      <c r="E594" s="196"/>
      <c r="F594" s="196"/>
      <c r="G594" s="168"/>
      <c r="H594" s="197"/>
      <c r="I594" s="196"/>
      <c r="J594" s="196"/>
      <c r="K594" s="196"/>
      <c r="L594" s="196"/>
      <c r="M594" s="196"/>
      <c r="N594" s="196"/>
      <c r="O594" s="196"/>
      <c r="P594" s="196"/>
      <c r="Q594" s="196"/>
      <c r="R594" s="196"/>
      <c r="S594" s="196"/>
      <c r="T594" s="196"/>
      <c r="U594" s="196"/>
      <c r="V594" s="198"/>
    </row>
    <row r="595" spans="1:22" hidden="1" outlineLevel="2" x14ac:dyDescent="0.25">
      <c r="A595" s="186">
        <f>SUMIFS(МКД!$A$6:$A$389,МКД!$D$6:$D$389,Таблица1[[#This Row],[2]])</f>
        <v>107</v>
      </c>
      <c r="B595" s="170"/>
      <c r="C595" s="182" t="s">
        <v>516</v>
      </c>
      <c r="D595" s="167" t="s">
        <v>2628</v>
      </c>
      <c r="E595" s="167" t="s">
        <v>1360</v>
      </c>
      <c r="F595" s="167">
        <v>1</v>
      </c>
      <c r="G595" s="168">
        <f>SUMIFS(Таблица1[[#This Row],[8]:[19]],$I$5:$T$5,"Выкуп")</f>
        <v>46.5</v>
      </c>
      <c r="H595" s="168">
        <f>SUMIFS(Таблица1[[#This Row],[8]:[19]],$I$5:$T$5,"Аренда")</f>
        <v>0</v>
      </c>
      <c r="I595" s="169">
        <v>46.5</v>
      </c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70"/>
      <c r="V595" s="171"/>
    </row>
    <row r="596" spans="1:22" hidden="1" outlineLevel="2" x14ac:dyDescent="0.25">
      <c r="A596" s="186">
        <f>SUMIFS(МКД!$A$6:$A$389,МКД!$D$6:$D$389,Таблица1[[#This Row],[2]])</f>
        <v>107</v>
      </c>
      <c r="B596" s="168"/>
      <c r="C596" s="182" t="s">
        <v>516</v>
      </c>
      <c r="D596" s="167" t="s">
        <v>1786</v>
      </c>
      <c r="E596" s="167" t="s">
        <v>762</v>
      </c>
      <c r="F596" s="167">
        <v>1</v>
      </c>
      <c r="G596" s="168">
        <f>SUMIFS(Таблица1[[#This Row],[8]:[19]],$I$5:$T$5,"Выкуп")</f>
        <v>39.299999999999997</v>
      </c>
      <c r="H596" s="168">
        <f>SUMIFS(Таблица1[[#This Row],[8]:[19]],$I$5:$T$5,"Аренда")</f>
        <v>0</v>
      </c>
      <c r="I596" s="169"/>
      <c r="J596" s="169"/>
      <c r="K596" s="169">
        <v>39.299999999999997</v>
      </c>
      <c r="L596" s="169"/>
      <c r="M596" s="169"/>
      <c r="N596" s="169"/>
      <c r="O596" s="169"/>
      <c r="P596" s="169"/>
      <c r="Q596" s="169"/>
      <c r="R596" s="169"/>
      <c r="S596" s="169"/>
      <c r="T596" s="169"/>
      <c r="U596" s="170"/>
      <c r="V596" s="171"/>
    </row>
    <row r="597" spans="1:22" hidden="1" outlineLevel="2" x14ac:dyDescent="0.25">
      <c r="A597" s="186">
        <f>SUMIFS(МКД!$A$6:$A$389,МКД!$D$6:$D$389,Таблица1[[#This Row],[2]])</f>
        <v>107</v>
      </c>
      <c r="B597" s="168"/>
      <c r="C597" s="182" t="s">
        <v>516</v>
      </c>
      <c r="D597" s="167" t="s">
        <v>205</v>
      </c>
      <c r="E597" s="167" t="s">
        <v>206</v>
      </c>
      <c r="F597" s="167">
        <v>1</v>
      </c>
      <c r="G597" s="168">
        <f>SUMIFS(Таблица1[[#This Row],[8]:[19]],$I$5:$T$5,"Выкуп")</f>
        <v>64.5</v>
      </c>
      <c r="H597" s="168">
        <f>SUMIFS(Таблица1[[#This Row],[8]:[19]],$I$5:$T$5,"Аренда")</f>
        <v>0</v>
      </c>
      <c r="I597" s="169"/>
      <c r="J597" s="169"/>
      <c r="K597" s="169">
        <v>64.5</v>
      </c>
      <c r="L597" s="169"/>
      <c r="M597" s="169"/>
      <c r="N597" s="169"/>
      <c r="O597" s="169"/>
      <c r="P597" s="169"/>
      <c r="Q597" s="169"/>
      <c r="R597" s="169"/>
      <c r="S597" s="169"/>
      <c r="T597" s="169"/>
      <c r="U597" s="170"/>
      <c r="V597" s="171"/>
    </row>
    <row r="598" spans="1:22" hidden="1" outlineLevel="2" x14ac:dyDescent="0.25">
      <c r="A598" s="186">
        <f>SUMIFS(МКД!$A$6:$A$389,МКД!$D$6:$D$389,Таблица1[[#This Row],[2]])</f>
        <v>107</v>
      </c>
      <c r="B598" s="168"/>
      <c r="C598" s="182" t="s">
        <v>516</v>
      </c>
      <c r="D598" s="167" t="s">
        <v>207</v>
      </c>
      <c r="E598" s="167" t="s">
        <v>1441</v>
      </c>
      <c r="F598" s="167">
        <v>1</v>
      </c>
      <c r="G598" s="168">
        <f>SUMIFS(Таблица1[[#This Row],[8]:[19]],$I$5:$T$5,"Выкуп")</f>
        <v>75</v>
      </c>
      <c r="H598" s="168">
        <f>SUMIFS(Таблица1[[#This Row],[8]:[19]],$I$5:$T$5,"Аренда")</f>
        <v>0</v>
      </c>
      <c r="I598" s="169">
        <v>75</v>
      </c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70"/>
      <c r="V598" s="171"/>
    </row>
    <row r="599" spans="1:22" hidden="1" outlineLevel="2" x14ac:dyDescent="0.25">
      <c r="A599" s="186">
        <f>SUMIFS(МКД!$A$6:$A$389,МКД!$D$6:$D$389,Таблица1[[#This Row],[2]])</f>
        <v>107</v>
      </c>
      <c r="B599" s="168"/>
      <c r="C599" s="182" t="s">
        <v>516</v>
      </c>
      <c r="D599" s="167" t="s">
        <v>2545</v>
      </c>
      <c r="E599" s="167" t="s">
        <v>1562</v>
      </c>
      <c r="F599" s="167"/>
      <c r="G599" s="168">
        <f>SUMIFS(Таблица1[[#This Row],[8]:[19]],$I$5:$T$5,"Выкуп")</f>
        <v>11.9</v>
      </c>
      <c r="H599" s="168">
        <f>SUMIFS(Таблица1[[#This Row],[8]:[19]],$I$5:$T$5,"Аренда")</f>
        <v>0</v>
      </c>
      <c r="I599" s="169">
        <f>5.9+6</f>
        <v>11.9</v>
      </c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70"/>
      <c r="V599" s="171"/>
    </row>
    <row r="600" spans="1:22" hidden="1" outlineLevel="2" x14ac:dyDescent="0.25">
      <c r="A600" s="186">
        <f>SUMIFS(МКД!$A$6:$A$389,МКД!$D$6:$D$389,Таблица1[[#This Row],[2]])</f>
        <v>107</v>
      </c>
      <c r="B600" s="168"/>
      <c r="C600" s="182" t="s">
        <v>516</v>
      </c>
      <c r="D600" s="167" t="s">
        <v>1053</v>
      </c>
      <c r="E600" s="167" t="s">
        <v>1949</v>
      </c>
      <c r="F600" s="167"/>
      <c r="G600" s="168">
        <f>SUMIFS(Таблица1[[#This Row],[8]:[19]],$I$5:$T$5,"Выкуп")</f>
        <v>28.8</v>
      </c>
      <c r="H600" s="168">
        <f>SUMIFS(Таблица1[[#This Row],[8]:[19]],$I$5:$T$5,"Аренда")</f>
        <v>0</v>
      </c>
      <c r="I600" s="169">
        <v>28.8</v>
      </c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70"/>
      <c r="V600" s="171"/>
    </row>
    <row r="601" spans="1:22" hidden="1" outlineLevel="2" x14ac:dyDescent="0.25">
      <c r="A601" s="186">
        <f>SUMIFS(МКД!$A$6:$A$389,МКД!$D$6:$D$389,Таблица1[[#This Row],[2]])</f>
        <v>107</v>
      </c>
      <c r="B601" s="168"/>
      <c r="C601" s="182" t="s">
        <v>516</v>
      </c>
      <c r="D601" s="167" t="s">
        <v>1053</v>
      </c>
      <c r="E601" s="167" t="s">
        <v>2641</v>
      </c>
      <c r="F601" s="167"/>
      <c r="G601" s="168">
        <f>SUMIFS(Таблица1[[#This Row],[8]:[19]],$I$5:$T$5,"Выкуп")</f>
        <v>14.8</v>
      </c>
      <c r="H601" s="168">
        <f>SUMIFS(Таблица1[[#This Row],[8]:[19]],$I$5:$T$5,"Аренда")</f>
        <v>0</v>
      </c>
      <c r="I601" s="169">
        <v>14.8</v>
      </c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70"/>
      <c r="V601" s="171"/>
    </row>
    <row r="602" spans="1:22" hidden="1" outlineLevel="2" x14ac:dyDescent="0.25">
      <c r="A602" s="186">
        <f>SUMIFS(МКД!$A$6:$A$389,МКД!$D$6:$D$389,Таблица1[[#This Row],[2]])</f>
        <v>107</v>
      </c>
      <c r="B602" s="168"/>
      <c r="C602" s="182" t="s">
        <v>516</v>
      </c>
      <c r="D602" s="167" t="s">
        <v>189</v>
      </c>
      <c r="E602" s="167" t="s">
        <v>2112</v>
      </c>
      <c r="F602" s="167">
        <v>1</v>
      </c>
      <c r="G602" s="168">
        <f>SUMIFS(Таблица1[[#This Row],[8]:[19]],$I$5:$T$5,"Выкуп")</f>
        <v>132.1</v>
      </c>
      <c r="H602" s="168">
        <f>SUMIFS(Таблица1[[#This Row],[8]:[19]],$I$5:$T$5,"Аренда")</f>
        <v>0</v>
      </c>
      <c r="I602" s="169">
        <v>132.1</v>
      </c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70"/>
      <c r="V602" s="171"/>
    </row>
    <row r="603" spans="1:22" hidden="1" outlineLevel="2" x14ac:dyDescent="0.25">
      <c r="A603" s="186">
        <f>SUMIFS(МКД!$A$6:$A$389,МКД!$D$6:$D$389,Таблица1[[#This Row],[2]])</f>
        <v>107</v>
      </c>
      <c r="B603" s="168"/>
      <c r="C603" s="182" t="s">
        <v>516</v>
      </c>
      <c r="D603" s="167" t="s">
        <v>189</v>
      </c>
      <c r="E603" s="167" t="s">
        <v>118</v>
      </c>
      <c r="F603" s="167">
        <v>1</v>
      </c>
      <c r="G603" s="168">
        <f>SUMIFS(Таблица1[[#This Row],[8]:[19]],$I$5:$T$5,"Выкуп")</f>
        <v>200.3</v>
      </c>
      <c r="H603" s="168">
        <f>SUMIFS(Таблица1[[#This Row],[8]:[19]],$I$5:$T$5,"Аренда")</f>
        <v>0</v>
      </c>
      <c r="I603" s="169">
        <v>200.3</v>
      </c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70"/>
      <c r="V603" s="171"/>
    </row>
    <row r="604" spans="1:22" hidden="1" outlineLevel="2" x14ac:dyDescent="0.25">
      <c r="A604" s="186">
        <f>SUMIFS(МКД!$A$6:$A$389,МКД!$D$6:$D$389,Таблица1[[#This Row],[2]])</f>
        <v>107</v>
      </c>
      <c r="B604" s="168"/>
      <c r="C604" s="182" t="s">
        <v>516</v>
      </c>
      <c r="D604" s="167" t="s">
        <v>1053</v>
      </c>
      <c r="E604" s="167" t="s">
        <v>2752</v>
      </c>
      <c r="F604" s="167">
        <v>1</v>
      </c>
      <c r="G604" s="168">
        <f>SUMIFS(Таблица1[[#This Row],[8]:[19]],$I$5:$T$5,"Выкуп")</f>
        <v>180.6</v>
      </c>
      <c r="H604" s="168">
        <f>SUMIFS(Таблица1[[#This Row],[8]:[19]],$I$5:$T$5,"Аренда")</f>
        <v>0</v>
      </c>
      <c r="I604" s="169"/>
      <c r="J604" s="169"/>
      <c r="K604" s="169"/>
      <c r="L604" s="169"/>
      <c r="M604" s="169">
        <v>180.6</v>
      </c>
      <c r="N604" s="169"/>
      <c r="O604" s="169"/>
      <c r="P604" s="169"/>
      <c r="Q604" s="169"/>
      <c r="R604" s="169"/>
      <c r="S604" s="169"/>
      <c r="T604" s="169"/>
      <c r="U604" s="170"/>
      <c r="V604" s="171"/>
    </row>
    <row r="605" spans="1:22" ht="15" outlineLevel="1" collapsed="1" x14ac:dyDescent="0.25">
      <c r="A605" s="186">
        <f>SUMIFS(МКД!$A$6:$A$389,МКД!$D$6:$D$389,Таблица1[[#This Row],[2]])</f>
        <v>108</v>
      </c>
      <c r="B605" s="194">
        <f>SUMIFS(Таблица1[6],Таблица1[2],Таблица1[[#This Row],[2]])+SUMIFS(Таблица1[7],Таблица1[2],Таблица1[[#This Row],[2]])</f>
        <v>569</v>
      </c>
      <c r="C605" s="185" t="s">
        <v>517</v>
      </c>
      <c r="D605" s="196"/>
      <c r="E605" s="196"/>
      <c r="F605" s="196"/>
      <c r="G605" s="168"/>
      <c r="H605" s="197"/>
      <c r="I605" s="196"/>
      <c r="J605" s="196"/>
      <c r="K605" s="196"/>
      <c r="L605" s="196"/>
      <c r="M605" s="196"/>
      <c r="N605" s="196"/>
      <c r="O605" s="196"/>
      <c r="P605" s="196"/>
      <c r="Q605" s="196"/>
      <c r="R605" s="196"/>
      <c r="S605" s="196"/>
      <c r="T605" s="196"/>
      <c r="U605" s="196"/>
      <c r="V605" s="198"/>
    </row>
    <row r="606" spans="1:22" hidden="1" outlineLevel="2" x14ac:dyDescent="0.25">
      <c r="A606" s="186">
        <f>SUMIFS(МКД!$A$6:$A$389,МКД!$D$6:$D$389,Таблица1[[#This Row],[2]])</f>
        <v>108</v>
      </c>
      <c r="B606" s="170"/>
      <c r="C606" s="182" t="s">
        <v>517</v>
      </c>
      <c r="D606" s="167" t="s">
        <v>868</v>
      </c>
      <c r="E606" s="167" t="s">
        <v>1238</v>
      </c>
      <c r="F606" s="167">
        <v>1</v>
      </c>
      <c r="G606" s="168">
        <f>SUMIFS(Таблица1[[#This Row],[8]:[19]],$I$5:$T$5,"Выкуп")</f>
        <v>101.1</v>
      </c>
      <c r="H606" s="168">
        <f>SUMIFS(Таблица1[[#This Row],[8]:[19]],$I$5:$T$5,"Аренда")</f>
        <v>0</v>
      </c>
      <c r="I606" s="169">
        <v>101.1</v>
      </c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70"/>
      <c r="V606" s="171"/>
    </row>
    <row r="607" spans="1:22" hidden="1" outlineLevel="2" x14ac:dyDescent="0.25">
      <c r="A607" s="186">
        <f>SUMIFS(МКД!$A$6:$A$389,МКД!$D$6:$D$389,Таблица1[[#This Row],[2]])</f>
        <v>108</v>
      </c>
      <c r="B607" s="168"/>
      <c r="C607" s="182" t="s">
        <v>517</v>
      </c>
      <c r="D607" s="167" t="s">
        <v>868</v>
      </c>
      <c r="E607" s="167" t="s">
        <v>998</v>
      </c>
      <c r="F607" s="167">
        <v>1</v>
      </c>
      <c r="G607" s="168">
        <f>SUMIFS(Таблица1[[#This Row],[8]:[19]],$I$5:$T$5,"Выкуп")</f>
        <v>135.6</v>
      </c>
      <c r="H607" s="168">
        <f>SUMIFS(Таблица1[[#This Row],[8]:[19]],$I$5:$T$5,"Аренда")</f>
        <v>0</v>
      </c>
      <c r="I607" s="169">
        <v>135.6</v>
      </c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70"/>
      <c r="V607" s="171"/>
    </row>
    <row r="608" spans="1:22" hidden="1" outlineLevel="2" x14ac:dyDescent="0.25">
      <c r="A608" s="186">
        <f>SUMIFS(МКД!$A$6:$A$389,МКД!$D$6:$D$389,Таблица1[[#This Row],[2]])</f>
        <v>108</v>
      </c>
      <c r="B608" s="168"/>
      <c r="C608" s="182" t="s">
        <v>517</v>
      </c>
      <c r="D608" s="167" t="s">
        <v>868</v>
      </c>
      <c r="E608" s="167" t="s">
        <v>2113</v>
      </c>
      <c r="F608" s="167">
        <v>1</v>
      </c>
      <c r="G608" s="168">
        <f>SUMIFS(Таблица1[[#This Row],[8]:[19]],$I$5:$T$5,"Выкуп")</f>
        <v>117</v>
      </c>
      <c r="H608" s="168">
        <f>SUMIFS(Таблица1[[#This Row],[8]:[19]],$I$5:$T$5,"Аренда")</f>
        <v>0</v>
      </c>
      <c r="I608" s="169">
        <v>117</v>
      </c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70"/>
      <c r="V608" s="171"/>
    </row>
    <row r="609" spans="1:22" hidden="1" outlineLevel="2" x14ac:dyDescent="0.25">
      <c r="A609" s="186">
        <f>SUMIFS(МКД!$A$6:$A$389,МКД!$D$6:$D$389,Таблица1[[#This Row],[2]])</f>
        <v>108</v>
      </c>
      <c r="B609" s="168"/>
      <c r="C609" s="182" t="s">
        <v>517</v>
      </c>
      <c r="D609" s="167" t="s">
        <v>868</v>
      </c>
      <c r="E609" s="167" t="s">
        <v>2116</v>
      </c>
      <c r="F609" s="167">
        <v>1</v>
      </c>
      <c r="G609" s="168">
        <f>SUMIFS(Таблица1[[#This Row],[8]:[19]],$I$5:$T$5,"Выкуп")</f>
        <v>0</v>
      </c>
      <c r="H609" s="168">
        <f>SUMIFS(Таблица1[[#This Row],[8]:[19]],$I$5:$T$5,"Аренда")</f>
        <v>0</v>
      </c>
      <c r="I609" s="169">
        <v>0</v>
      </c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70"/>
      <c r="V609" s="171"/>
    </row>
    <row r="610" spans="1:22" hidden="1" outlineLevel="2" x14ac:dyDescent="0.25">
      <c r="A610" s="186">
        <f>SUMIFS(МКД!$A$6:$A$389,МКД!$D$6:$D$389,Таблица1[[#This Row],[2]])</f>
        <v>108</v>
      </c>
      <c r="B610" s="168"/>
      <c r="C610" s="182" t="s">
        <v>517</v>
      </c>
      <c r="D610" s="167" t="s">
        <v>208</v>
      </c>
      <c r="E610" s="167" t="s">
        <v>1382</v>
      </c>
      <c r="F610" s="167">
        <v>1</v>
      </c>
      <c r="G610" s="168">
        <f>SUMIFS(Таблица1[[#This Row],[8]:[19]],$I$5:$T$5,"Выкуп")</f>
        <v>65.400000000000006</v>
      </c>
      <c r="H610" s="168">
        <f>SUMIFS(Таблица1[[#This Row],[8]:[19]],$I$5:$T$5,"Аренда")</f>
        <v>0</v>
      </c>
      <c r="I610" s="169">
        <v>65.400000000000006</v>
      </c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70"/>
      <c r="V610" s="171"/>
    </row>
    <row r="611" spans="1:22" hidden="1" outlineLevel="2" x14ac:dyDescent="0.25">
      <c r="A611" s="186">
        <f>SUMIFS(МКД!$A$6:$A$389,МКД!$D$6:$D$389,Таблица1[[#This Row],[2]])</f>
        <v>108</v>
      </c>
      <c r="B611" s="168"/>
      <c r="C611" s="182" t="s">
        <v>517</v>
      </c>
      <c r="D611" s="167" t="s">
        <v>1053</v>
      </c>
      <c r="E611" s="167" t="s">
        <v>2752</v>
      </c>
      <c r="F611" s="167">
        <v>1</v>
      </c>
      <c r="G611" s="168">
        <f>SUMIFS(Таблица1[[#This Row],[8]:[19]],$I$5:$T$5,"Выкуп")</f>
        <v>149.9</v>
      </c>
      <c r="H611" s="168">
        <f>SUMIFS(Таблица1[[#This Row],[8]:[19]],$I$5:$T$5,"Аренда")</f>
        <v>0</v>
      </c>
      <c r="I611" s="169"/>
      <c r="J611" s="169"/>
      <c r="K611" s="169"/>
      <c r="L611" s="169"/>
      <c r="M611" s="169">
        <v>149.9</v>
      </c>
      <c r="N611" s="169"/>
      <c r="O611" s="169"/>
      <c r="P611" s="169"/>
      <c r="Q611" s="169"/>
      <c r="R611" s="169"/>
      <c r="S611" s="169"/>
      <c r="T611" s="169"/>
      <c r="U611" s="170"/>
      <c r="V611" s="171"/>
    </row>
    <row r="612" spans="1:22" outlineLevel="1" collapsed="1" x14ac:dyDescent="0.25">
      <c r="A612" s="186">
        <f>SUMIFS(МКД!$A$6:$A$389,МКД!$D$6:$D$389,Таблица1[[#This Row],[2]])</f>
        <v>109</v>
      </c>
      <c r="B612" s="194">
        <f>SUMIFS(Таблица1[6],Таблица1[2],Таблица1[[#This Row],[2]])+SUMIFS(Таблица1[7],Таблица1[2],Таблица1[[#This Row],[2]])</f>
        <v>660.2</v>
      </c>
      <c r="C612" s="185" t="s">
        <v>518</v>
      </c>
      <c r="D612" s="167"/>
      <c r="E612" s="167"/>
      <c r="F612" s="167"/>
      <c r="G612" s="168"/>
      <c r="H612" s="168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70"/>
      <c r="V612" s="171"/>
    </row>
    <row r="613" spans="1:22" hidden="1" outlineLevel="2" x14ac:dyDescent="0.25">
      <c r="A613" s="186">
        <f>SUMIFS(МКД!$A$6:$A$389,МКД!$D$6:$D$389,Таблица1[[#This Row],[2]])</f>
        <v>109</v>
      </c>
      <c r="B613" s="170"/>
      <c r="C613" s="182" t="s">
        <v>518</v>
      </c>
      <c r="D613" s="167" t="s">
        <v>209</v>
      </c>
      <c r="E613" s="167" t="s">
        <v>2114</v>
      </c>
      <c r="F613" s="167">
        <v>1</v>
      </c>
      <c r="G613" s="168">
        <f>SUMIFS(Таблица1[[#This Row],[8]:[19]],$I$5:$T$5,"Выкуп")</f>
        <v>277.8</v>
      </c>
      <c r="H613" s="168">
        <f>SUMIFS(Таблица1[[#This Row],[8]:[19]],$I$5:$T$5,"Аренда")</f>
        <v>0</v>
      </c>
      <c r="I613" s="169">
        <v>277.8</v>
      </c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70"/>
      <c r="V613" s="171"/>
    </row>
    <row r="614" spans="1:22" hidden="1" outlineLevel="2" x14ac:dyDescent="0.25">
      <c r="A614" s="186">
        <f>SUMIFS(МКД!$A$6:$A$389,МКД!$D$6:$D$389,Таблица1[[#This Row],[2]])</f>
        <v>109</v>
      </c>
      <c r="B614" s="170"/>
      <c r="C614" s="182" t="s">
        <v>518</v>
      </c>
      <c r="D614" s="167" t="s">
        <v>1884</v>
      </c>
      <c r="E614" s="167" t="s">
        <v>2827</v>
      </c>
      <c r="F614" s="167">
        <v>1</v>
      </c>
      <c r="G614" s="168">
        <f>SUMIFS(Таблица1[[#This Row],[8]:[19]],$I$5:$T$5,"Выкуп")</f>
        <v>191.4</v>
      </c>
      <c r="H614" s="168">
        <f>SUMIFS(Таблица1[[#This Row],[8]:[19]],$I$5:$T$5,"Аренда")</f>
        <v>0</v>
      </c>
      <c r="I614" s="169"/>
      <c r="J614" s="169"/>
      <c r="K614" s="169"/>
      <c r="L614" s="169"/>
      <c r="M614" s="169">
        <f>191.4-Таблица1[[#This Row],[13]]</f>
        <v>191.4</v>
      </c>
      <c r="N614" s="169"/>
      <c r="O614" s="169"/>
      <c r="P614" s="169"/>
      <c r="Q614" s="169"/>
      <c r="R614" s="169"/>
      <c r="S614" s="169"/>
      <c r="T614" s="169"/>
      <c r="U614" s="170"/>
      <c r="V614" s="171"/>
    </row>
    <row r="615" spans="1:22" hidden="1" outlineLevel="2" x14ac:dyDescent="0.25">
      <c r="A615" s="186">
        <f>SUMIFS(МКД!$A$6:$A$389,МКД!$D$6:$D$389,Таблица1[[#This Row],[2]])</f>
        <v>109</v>
      </c>
      <c r="B615" s="170"/>
      <c r="C615" s="182" t="s">
        <v>518</v>
      </c>
      <c r="D615" s="167" t="s">
        <v>1053</v>
      </c>
      <c r="E615" s="167" t="s">
        <v>2115</v>
      </c>
      <c r="F615" s="167">
        <v>1</v>
      </c>
      <c r="G615" s="168">
        <f>SUMIFS(Таблица1[[#This Row],[8]:[19]],$I$5:$T$5,"Выкуп")</f>
        <v>57.2</v>
      </c>
      <c r="H615" s="168">
        <f>SUMIFS(Таблица1[[#This Row],[8]:[19]],$I$5:$T$5,"Аренда")</f>
        <v>0</v>
      </c>
      <c r="I615" s="169"/>
      <c r="J615" s="169"/>
      <c r="K615" s="169">
        <v>57.2</v>
      </c>
      <c r="L615" s="169"/>
      <c r="M615" s="169"/>
      <c r="N615" s="169"/>
      <c r="O615" s="169"/>
      <c r="P615" s="169"/>
      <c r="Q615" s="169"/>
      <c r="R615" s="169"/>
      <c r="S615" s="169"/>
      <c r="T615" s="169"/>
      <c r="U615" s="170"/>
      <c r="V615" s="171"/>
    </row>
    <row r="616" spans="1:22" hidden="1" outlineLevel="2" x14ac:dyDescent="0.25">
      <c r="A616" s="186">
        <f>SUMIFS(МКД!$A$6:$A$389,МКД!$D$6:$D$389,Таблица1[[#This Row],[2]])</f>
        <v>109</v>
      </c>
      <c r="B616" s="168"/>
      <c r="C616" s="182" t="s">
        <v>518</v>
      </c>
      <c r="D616" s="167" t="s">
        <v>2117</v>
      </c>
      <c r="E616" s="167" t="s">
        <v>983</v>
      </c>
      <c r="F616" s="167"/>
      <c r="G616" s="168">
        <f>SUMIFS(Таблица1[[#This Row],[8]:[19]],$I$5:$T$5,"Выкуп")</f>
        <v>133.80000000000001</v>
      </c>
      <c r="H616" s="168">
        <f>SUMIFS(Таблица1[[#This Row],[8]:[19]],$I$5:$T$5,"Аренда")</f>
        <v>0</v>
      </c>
      <c r="I616" s="169">
        <v>133.80000000000001</v>
      </c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70"/>
      <c r="V616" s="171"/>
    </row>
    <row r="617" spans="1:22" ht="15" outlineLevel="1" collapsed="1" x14ac:dyDescent="0.25">
      <c r="A617" s="186">
        <f>SUMIFS(МКД!$A$6:$A$389,МКД!$D$6:$D$389,Таблица1[[#This Row],[2]])</f>
        <v>110</v>
      </c>
      <c r="B617" s="194">
        <f>SUMIFS(Таблица1[6],Таблица1[2],Таблица1[[#This Row],[2]])+SUMIFS(Таблица1[7],Таблица1[2],Таблица1[[#This Row],[2]])</f>
        <v>232.8</v>
      </c>
      <c r="C617" s="185" t="s">
        <v>519</v>
      </c>
      <c r="D617" s="196"/>
      <c r="E617" s="196"/>
      <c r="F617" s="196"/>
      <c r="G617" s="168"/>
      <c r="H617" s="197"/>
      <c r="I617" s="196"/>
      <c r="J617" s="196"/>
      <c r="K617" s="196"/>
      <c r="L617" s="196"/>
      <c r="M617" s="196"/>
      <c r="N617" s="196"/>
      <c r="O617" s="196"/>
      <c r="P617" s="196"/>
      <c r="Q617" s="196"/>
      <c r="R617" s="196"/>
      <c r="S617" s="196"/>
      <c r="T617" s="196"/>
      <c r="U617" s="196"/>
      <c r="V617" s="198"/>
    </row>
    <row r="618" spans="1:22" hidden="1" outlineLevel="2" x14ac:dyDescent="0.25">
      <c r="A618" s="186">
        <f>SUMIFS(МКД!$A$6:$A$389,МКД!$D$6:$D$389,Таблица1[[#This Row],[2]])</f>
        <v>110</v>
      </c>
      <c r="B618" s="170"/>
      <c r="C618" s="182" t="s">
        <v>519</v>
      </c>
      <c r="D618" s="167" t="s">
        <v>868</v>
      </c>
      <c r="E618" s="167" t="s">
        <v>2118</v>
      </c>
      <c r="F618" s="167">
        <v>1</v>
      </c>
      <c r="G618" s="168">
        <f>SUMIFS(Таблица1[[#This Row],[8]:[19]],$I$5:$T$5,"Выкуп")</f>
        <v>116.2</v>
      </c>
      <c r="H618" s="168">
        <f>SUMIFS(Таблица1[[#This Row],[8]:[19]],$I$5:$T$5,"Аренда")</f>
        <v>0</v>
      </c>
      <c r="I618" s="169">
        <v>116.2</v>
      </c>
      <c r="J618" s="169"/>
      <c r="K618" s="169" t="s">
        <v>2119</v>
      </c>
      <c r="L618" s="169"/>
      <c r="M618" s="169"/>
      <c r="N618" s="169"/>
      <c r="O618" s="169"/>
      <c r="P618" s="169"/>
      <c r="Q618" s="169"/>
      <c r="R618" s="169"/>
      <c r="S618" s="169"/>
      <c r="T618" s="169"/>
      <c r="U618" s="170"/>
      <c r="V618" s="171"/>
    </row>
    <row r="619" spans="1:22" hidden="1" outlineLevel="2" x14ac:dyDescent="0.25">
      <c r="A619" s="186">
        <f>SUMIFS(МКД!$A$6:$A$389,МКД!$D$6:$D$389,Таблица1[[#This Row],[2]])</f>
        <v>110</v>
      </c>
      <c r="B619" s="168"/>
      <c r="C619" s="182" t="s">
        <v>519</v>
      </c>
      <c r="D619" s="167" t="s">
        <v>210</v>
      </c>
      <c r="E619" s="167" t="s">
        <v>109</v>
      </c>
      <c r="F619" s="167">
        <v>1</v>
      </c>
      <c r="G619" s="168">
        <f>SUMIFS(Таблица1[[#This Row],[8]:[19]],$I$5:$T$5,"Выкуп")</f>
        <v>116.6</v>
      </c>
      <c r="H619" s="168">
        <f>SUMIFS(Таблица1[[#This Row],[8]:[19]],$I$5:$T$5,"Аренда")</f>
        <v>0</v>
      </c>
      <c r="I619" s="169">
        <v>116.6</v>
      </c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70"/>
      <c r="V619" s="171"/>
    </row>
    <row r="620" spans="1:22" ht="15" outlineLevel="1" collapsed="1" x14ac:dyDescent="0.25">
      <c r="A620" s="186">
        <f>SUMIFS(МКД!$A$6:$A$389,МКД!$D$6:$D$389,Таблица1[[#This Row],[2]])</f>
        <v>111</v>
      </c>
      <c r="B620" s="194">
        <f>SUMIFS(Таблица1[6],Таблица1[2],Таблица1[[#This Row],[2]])+SUMIFS(Таблица1[7],Таблица1[2],Таблица1[[#This Row],[2]])</f>
        <v>421</v>
      </c>
      <c r="C620" s="185" t="s">
        <v>520</v>
      </c>
      <c r="D620" s="196"/>
      <c r="E620" s="196"/>
      <c r="F620" s="196"/>
      <c r="G620" s="168"/>
      <c r="H620" s="197"/>
      <c r="I620" s="196"/>
      <c r="J620" s="196"/>
      <c r="K620" s="196"/>
      <c r="L620" s="196"/>
      <c r="M620" s="196"/>
      <c r="N620" s="196"/>
      <c r="O620" s="196"/>
      <c r="P620" s="196"/>
      <c r="Q620" s="196"/>
      <c r="R620" s="196"/>
      <c r="S620" s="196"/>
      <c r="T620" s="196"/>
      <c r="U620" s="196"/>
      <c r="V620" s="198"/>
    </row>
    <row r="621" spans="1:22" hidden="1" outlineLevel="2" x14ac:dyDescent="0.25">
      <c r="A621" s="186">
        <f>SUMIFS(МКД!$A$6:$A$389,МКД!$D$6:$D$389,Таблица1[[#This Row],[2]])</f>
        <v>111</v>
      </c>
      <c r="B621" s="170"/>
      <c r="C621" s="182" t="s">
        <v>520</v>
      </c>
      <c r="D621" s="167" t="s">
        <v>1443</v>
      </c>
      <c r="E621" s="167" t="s">
        <v>1442</v>
      </c>
      <c r="F621" s="167">
        <v>1</v>
      </c>
      <c r="G621" s="168">
        <f>SUMIFS(Таблица1[[#This Row],[8]:[19]],$I$5:$T$5,"Выкуп")</f>
        <v>51.3</v>
      </c>
      <c r="H621" s="168">
        <f>SUMIFS(Таблица1[[#This Row],[8]:[19]],$I$5:$T$5,"Аренда")</f>
        <v>0</v>
      </c>
      <c r="I621" s="169">
        <v>51.3</v>
      </c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70"/>
      <c r="V621" s="171"/>
    </row>
    <row r="622" spans="1:22" hidden="1" outlineLevel="2" x14ac:dyDescent="0.25">
      <c r="A622" s="186">
        <f>SUMIFS(МКД!$A$6:$A$389,МКД!$D$6:$D$389,Таблица1[[#This Row],[2]])</f>
        <v>111</v>
      </c>
      <c r="B622" s="168"/>
      <c r="C622" s="182" t="s">
        <v>520</v>
      </c>
      <c r="D622" s="167" t="s">
        <v>2725</v>
      </c>
      <c r="E622" s="167" t="s">
        <v>984</v>
      </c>
      <c r="F622" s="167">
        <v>1</v>
      </c>
      <c r="G622" s="168">
        <f>SUMIFS(Таблица1[[#This Row],[8]:[19]],$I$5:$T$5,"Выкуп")</f>
        <v>60.1</v>
      </c>
      <c r="H622" s="168">
        <f>SUMIFS(Таблица1[[#This Row],[8]:[19]],$I$5:$T$5,"Аренда")</f>
        <v>0</v>
      </c>
      <c r="I622" s="169">
        <v>60.1</v>
      </c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70"/>
      <c r="V622" s="171"/>
    </row>
    <row r="623" spans="1:22" hidden="1" outlineLevel="2" x14ac:dyDescent="0.25">
      <c r="A623" s="186">
        <f>SUMIFS(МКД!$A$6:$A$389,МКД!$D$6:$D$389,Таблица1[[#This Row],[2]])</f>
        <v>111</v>
      </c>
      <c r="B623" s="168"/>
      <c r="C623" s="182" t="s">
        <v>520</v>
      </c>
      <c r="D623" s="167" t="s">
        <v>150</v>
      </c>
      <c r="E623" s="167" t="s">
        <v>985</v>
      </c>
      <c r="F623" s="167">
        <v>1</v>
      </c>
      <c r="G623" s="168">
        <f>SUMIFS(Таблица1[[#This Row],[8]:[19]],$I$5:$T$5,"Выкуп")</f>
        <v>144.19999999999999</v>
      </c>
      <c r="H623" s="168">
        <f>SUMIFS(Таблица1[[#This Row],[8]:[19]],$I$5:$T$5,"Аренда")</f>
        <v>0</v>
      </c>
      <c r="I623" s="169">
        <v>144.19999999999999</v>
      </c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70"/>
      <c r="V623" s="171"/>
    </row>
    <row r="624" spans="1:22" hidden="1" outlineLevel="2" x14ac:dyDescent="0.25">
      <c r="A624" s="186">
        <f>SUMIFS(МКД!$A$6:$A$389,МКД!$D$6:$D$389,Таблица1[[#This Row],[2]])</f>
        <v>111</v>
      </c>
      <c r="B624" s="168"/>
      <c r="C624" s="182" t="s">
        <v>520</v>
      </c>
      <c r="D624" s="167" t="s">
        <v>1053</v>
      </c>
      <c r="E624" s="167" t="s">
        <v>2827</v>
      </c>
      <c r="F624" s="167">
        <v>1</v>
      </c>
      <c r="G624" s="168">
        <f>SUMIFS(Таблица1[[#This Row],[8]:[19]],$I$5:$T$5,"Выкуп")</f>
        <v>165.4</v>
      </c>
      <c r="H624" s="168">
        <f>SUMIFS(Таблица1[[#This Row],[8]:[19]],$I$5:$T$5,"Аренда")</f>
        <v>0</v>
      </c>
      <c r="I624" s="169"/>
      <c r="J624" s="169"/>
      <c r="K624" s="169"/>
      <c r="L624" s="169"/>
      <c r="M624" s="169">
        <v>165.4</v>
      </c>
      <c r="N624" s="169"/>
      <c r="O624" s="169"/>
      <c r="P624" s="169"/>
      <c r="Q624" s="169"/>
      <c r="R624" s="169"/>
      <c r="S624" s="169"/>
      <c r="T624" s="169"/>
      <c r="U624" s="170"/>
      <c r="V624" s="171"/>
    </row>
    <row r="625" spans="1:22" ht="15" outlineLevel="1" collapsed="1" x14ac:dyDescent="0.25">
      <c r="A625" s="186">
        <f>SUMIFS(МКД!$A$6:$A$389,МКД!$D$6:$D$389,Таблица1[[#This Row],[2]])</f>
        <v>112</v>
      </c>
      <c r="B625" s="194">
        <f>SUMIFS(Таблица1[6],Таблица1[2],Таблица1[[#This Row],[2]])+SUMIFS(Таблица1[7],Таблица1[2],Таблица1[[#This Row],[2]])</f>
        <v>1035.8</v>
      </c>
      <c r="C625" s="185" t="s">
        <v>1327</v>
      </c>
      <c r="D625" s="196"/>
      <c r="E625" s="196"/>
      <c r="F625" s="196"/>
      <c r="G625" s="168"/>
      <c r="H625" s="197"/>
      <c r="I625" s="196"/>
      <c r="J625" s="196"/>
      <c r="K625" s="196"/>
      <c r="L625" s="196"/>
      <c r="M625" s="196"/>
      <c r="N625" s="196"/>
      <c r="O625" s="196"/>
      <c r="P625" s="196"/>
      <c r="Q625" s="196"/>
      <c r="R625" s="196"/>
      <c r="S625" s="196"/>
      <c r="T625" s="196"/>
      <c r="U625" s="196"/>
      <c r="V625" s="198"/>
    </row>
    <row r="626" spans="1:22" hidden="1" outlineLevel="2" x14ac:dyDescent="0.25">
      <c r="A626" s="186">
        <f>SUMIFS(МКД!$A$6:$A$389,МКД!$D$6:$D$389,Таблица1[[#This Row],[2]])</f>
        <v>112</v>
      </c>
      <c r="B626" s="170"/>
      <c r="C626" s="182" t="s">
        <v>1327</v>
      </c>
      <c r="D626" s="167" t="s">
        <v>2120</v>
      </c>
      <c r="E626" s="167" t="s">
        <v>1711</v>
      </c>
      <c r="F626" s="167">
        <v>1</v>
      </c>
      <c r="G626" s="168">
        <f>SUMIFS(Таблица1[[#This Row],[8]:[19]],$I$5:$T$5,"Выкуп")</f>
        <v>170.8</v>
      </c>
      <c r="H626" s="168">
        <f>SUMIFS(Таблица1[[#This Row],[8]:[19]],$I$5:$T$5,"Аренда")</f>
        <v>0</v>
      </c>
      <c r="I626" s="169">
        <v>170.8</v>
      </c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70"/>
      <c r="V626" s="171"/>
    </row>
    <row r="627" spans="1:22" hidden="1" outlineLevel="2" x14ac:dyDescent="0.25">
      <c r="A627" s="186">
        <f>SUMIFS(МКД!$A$6:$A$389,МКД!$D$6:$D$389,Таблица1[[#This Row],[2]])</f>
        <v>112</v>
      </c>
      <c r="B627" s="168"/>
      <c r="C627" s="182" t="s">
        <v>1327</v>
      </c>
      <c r="D627" s="167" t="s">
        <v>2817</v>
      </c>
      <c r="E627" s="167" t="s">
        <v>1386</v>
      </c>
      <c r="F627" s="167">
        <v>1</v>
      </c>
      <c r="G627" s="168">
        <f>SUMIFS(Таблица1[[#This Row],[8]:[19]],$I$5:$T$5,"Выкуп")</f>
        <v>125.7</v>
      </c>
      <c r="H627" s="168">
        <f>SUMIFS(Таблица1[[#This Row],[8]:[19]],$I$5:$T$5,"Аренда")</f>
        <v>0</v>
      </c>
      <c r="I627" s="169">
        <v>125.7</v>
      </c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70"/>
      <c r="V627" s="171"/>
    </row>
    <row r="628" spans="1:22" hidden="1" outlineLevel="2" x14ac:dyDescent="0.25">
      <c r="A628" s="186">
        <f>SUMIFS(МКД!$A$6:$A$389,МКД!$D$6:$D$389,Таблица1[[#This Row],[2]])</f>
        <v>112</v>
      </c>
      <c r="B628" s="168"/>
      <c r="C628" s="182" t="s">
        <v>1327</v>
      </c>
      <c r="D628" s="167" t="s">
        <v>1854</v>
      </c>
      <c r="E628" s="167" t="s">
        <v>1859</v>
      </c>
      <c r="F628" s="167">
        <v>1</v>
      </c>
      <c r="G628" s="168">
        <f>SUMIFS(Таблица1[[#This Row],[8]:[19]],$I$5:$T$5,"Выкуп")</f>
        <v>64.099999999999994</v>
      </c>
      <c r="H628" s="168">
        <f>SUMIFS(Таблица1[[#This Row],[8]:[19]],$I$5:$T$5,"Аренда")</f>
        <v>0</v>
      </c>
      <c r="I628" s="169">
        <v>64.099999999999994</v>
      </c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70"/>
      <c r="V628" s="171"/>
    </row>
    <row r="629" spans="1:22" hidden="1" outlineLevel="2" x14ac:dyDescent="0.25">
      <c r="A629" s="186">
        <f>SUMIFS(МКД!$A$6:$A$389,МКД!$D$6:$D$389,Таблица1[[#This Row],[2]])</f>
        <v>112</v>
      </c>
      <c r="B629" s="168"/>
      <c r="C629" s="182" t="s">
        <v>1327</v>
      </c>
      <c r="D629" s="167" t="s">
        <v>1854</v>
      </c>
      <c r="E629" s="167" t="s">
        <v>1860</v>
      </c>
      <c r="F629" s="167">
        <v>1</v>
      </c>
      <c r="G629" s="168">
        <f>SUMIFS(Таблица1[[#This Row],[8]:[19]],$I$5:$T$5,"Выкуп")</f>
        <v>114</v>
      </c>
      <c r="H629" s="168">
        <f>SUMIFS(Таблица1[[#This Row],[8]:[19]],$I$5:$T$5,"Аренда")</f>
        <v>0</v>
      </c>
      <c r="I629" s="169">
        <v>114</v>
      </c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70"/>
      <c r="V629" s="171"/>
    </row>
    <row r="630" spans="1:22" hidden="1" outlineLevel="2" x14ac:dyDescent="0.25">
      <c r="A630" s="186">
        <f>SUMIFS(МКД!$A$6:$A$389,МКД!$D$6:$D$389,Таблица1[[#This Row],[2]])</f>
        <v>112</v>
      </c>
      <c r="B630" s="168"/>
      <c r="C630" s="182" t="s">
        <v>1327</v>
      </c>
      <c r="D630" s="167" t="s">
        <v>151</v>
      </c>
      <c r="E630" s="167" t="s">
        <v>2121</v>
      </c>
      <c r="F630" s="167">
        <v>1</v>
      </c>
      <c r="G630" s="168">
        <f>SUMIFS(Таблица1[[#This Row],[8]:[19]],$I$5:$T$5,"Выкуп")</f>
        <v>127.2</v>
      </c>
      <c r="H630" s="168">
        <f>SUMIFS(Таблица1[[#This Row],[8]:[19]],$I$5:$T$5,"Аренда")</f>
        <v>0</v>
      </c>
      <c r="I630" s="169">
        <v>127.2</v>
      </c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70"/>
      <c r="V630" s="171"/>
    </row>
    <row r="631" spans="1:22" hidden="1" outlineLevel="2" x14ac:dyDescent="0.25">
      <c r="A631" s="186">
        <f>SUMIFS(МКД!$A$6:$A$389,МКД!$D$6:$D$389,Таблица1[[#This Row],[2]])</f>
        <v>112</v>
      </c>
      <c r="B631" s="168"/>
      <c r="C631" s="182" t="s">
        <v>1327</v>
      </c>
      <c r="D631" s="167" t="s">
        <v>1855</v>
      </c>
      <c r="E631" s="167" t="s">
        <v>1655</v>
      </c>
      <c r="F631" s="167">
        <v>1</v>
      </c>
      <c r="G631" s="168">
        <f>SUMIFS(Таблица1[[#This Row],[8]:[19]],$I$5:$T$5,"Выкуп")</f>
        <v>40.299999999999997</v>
      </c>
      <c r="H631" s="168">
        <f>SUMIFS(Таблица1[[#This Row],[8]:[19]],$I$5:$T$5,"Аренда")</f>
        <v>0</v>
      </c>
      <c r="I631" s="169">
        <v>40.299999999999997</v>
      </c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70"/>
      <c r="V631" s="171"/>
    </row>
    <row r="632" spans="1:22" hidden="1" outlineLevel="2" x14ac:dyDescent="0.25">
      <c r="A632" s="186">
        <f>SUMIFS(МКД!$A$6:$A$389,МКД!$D$6:$D$389,Таблица1[[#This Row],[2]])</f>
        <v>112</v>
      </c>
      <c r="B632" s="168"/>
      <c r="C632" s="182" t="s">
        <v>1327</v>
      </c>
      <c r="D632" s="167" t="s">
        <v>1053</v>
      </c>
      <c r="E632" s="167" t="s">
        <v>2839</v>
      </c>
      <c r="F632" s="167">
        <v>2</v>
      </c>
      <c r="G632" s="168">
        <f>SUMIFS(Таблица1[[#This Row],[8]:[19]],$I$5:$T$5,"Выкуп")</f>
        <v>138.80000000000001</v>
      </c>
      <c r="H632" s="168">
        <f>SUMIFS(Таблица1[[#This Row],[8]:[19]],$I$5:$T$5,"Аренда")</f>
        <v>0</v>
      </c>
      <c r="I632" s="169"/>
      <c r="J632" s="169"/>
      <c r="K632" s="169">
        <v>138.80000000000001</v>
      </c>
      <c r="L632" s="169"/>
      <c r="M632" s="169"/>
      <c r="N632" s="169"/>
      <c r="O632" s="169"/>
      <c r="P632" s="169"/>
      <c r="Q632" s="169"/>
      <c r="R632" s="169"/>
      <c r="S632" s="169"/>
      <c r="T632" s="169"/>
      <c r="U632" s="170"/>
      <c r="V632" s="171"/>
    </row>
    <row r="633" spans="1:22" hidden="1" outlineLevel="2" x14ac:dyDescent="0.25">
      <c r="A633" s="186">
        <f>SUMIFS(МКД!$A$6:$A$389,МКД!$D$6:$D$389,Таблица1[[#This Row],[2]])</f>
        <v>112</v>
      </c>
      <c r="B633" s="168"/>
      <c r="C633" s="182" t="s">
        <v>1327</v>
      </c>
      <c r="D633" s="167" t="s">
        <v>1053</v>
      </c>
      <c r="E633" s="167" t="s">
        <v>2750</v>
      </c>
      <c r="F633" s="167">
        <v>1</v>
      </c>
      <c r="G633" s="168">
        <f>SUMIFS(Таблица1[[#This Row],[8]:[19]],$I$5:$T$5,"Выкуп")</f>
        <v>241.3</v>
      </c>
      <c r="H633" s="168">
        <f>SUMIFS(Таблица1[[#This Row],[8]:[19]],$I$5:$T$5,"Аренда")</f>
        <v>0</v>
      </c>
      <c r="I633" s="169"/>
      <c r="J633" s="169"/>
      <c r="K633" s="169"/>
      <c r="L633" s="169"/>
      <c r="M633" s="278">
        <v>241.3</v>
      </c>
      <c r="N633" s="169"/>
      <c r="O633" s="167"/>
      <c r="P633" s="169"/>
      <c r="Q633" s="169"/>
      <c r="R633" s="169"/>
      <c r="S633" s="169"/>
      <c r="T633" s="169"/>
      <c r="U633" s="170"/>
      <c r="V633" s="171"/>
    </row>
    <row r="634" spans="1:22" hidden="1" outlineLevel="2" x14ac:dyDescent="0.25">
      <c r="A634" s="186">
        <f>SUMIFS(МКД!$A$6:$A$389,МКД!$D$6:$D$389,Таблица1[[#This Row],[2]])</f>
        <v>112</v>
      </c>
      <c r="B634" s="168"/>
      <c r="C634" s="182" t="s">
        <v>1327</v>
      </c>
      <c r="D634" s="167" t="s">
        <v>152</v>
      </c>
      <c r="E634" s="167" t="s">
        <v>739</v>
      </c>
      <c r="F634" s="167">
        <v>1</v>
      </c>
      <c r="G634" s="168">
        <f>SUMIFS(Таблица1[[#This Row],[8]:[19]],$I$5:$T$5,"Выкуп")</f>
        <v>0</v>
      </c>
      <c r="H634" s="168">
        <f>SUMIFS(Таблица1[[#This Row],[8]:[19]],$I$5:$T$5,"Аренда")</f>
        <v>13.6</v>
      </c>
      <c r="I634" s="169"/>
      <c r="J634" s="169"/>
      <c r="K634" s="169"/>
      <c r="L634" s="169"/>
      <c r="M634" s="169"/>
      <c r="N634" s="169"/>
      <c r="O634" s="167"/>
      <c r="P634" s="169">
        <v>13.6</v>
      </c>
      <c r="Q634" s="169"/>
      <c r="R634" s="169"/>
      <c r="S634" s="169"/>
      <c r="T634" s="169"/>
      <c r="U634" s="170"/>
      <c r="V634" s="171"/>
    </row>
    <row r="635" spans="1:22" ht="15" outlineLevel="1" collapsed="1" x14ac:dyDescent="0.25">
      <c r="A635" s="186">
        <f>SUMIFS(МКД!$A$6:$A$389,МКД!$D$6:$D$389,Таблица1[[#This Row],[2]])</f>
        <v>113</v>
      </c>
      <c r="B635" s="194">
        <f>SUMIFS(Таблица1[6],Таблица1[2],Таблица1[[#This Row],[2]])+SUMIFS(Таблица1[7],Таблица1[2],Таблица1[[#This Row],[2]])</f>
        <v>266.3</v>
      </c>
      <c r="C635" s="185" t="s">
        <v>521</v>
      </c>
      <c r="D635" s="196"/>
      <c r="E635" s="196"/>
      <c r="F635" s="196"/>
      <c r="G635" s="168"/>
      <c r="H635" s="197"/>
      <c r="I635" s="196"/>
      <c r="J635" s="196"/>
      <c r="K635" s="196"/>
      <c r="L635" s="196"/>
      <c r="M635" s="196"/>
      <c r="N635" s="196"/>
      <c r="O635" s="196"/>
      <c r="P635" s="196"/>
      <c r="Q635" s="196"/>
      <c r="R635" s="196"/>
      <c r="S635" s="196"/>
      <c r="T635" s="196"/>
      <c r="U635" s="196"/>
      <c r="V635" s="198"/>
    </row>
    <row r="636" spans="1:22" hidden="1" outlineLevel="2" x14ac:dyDescent="0.25">
      <c r="A636" s="186">
        <f>SUMIFS(МКД!$A$6:$A$389,МКД!$D$6:$D$389,Таблица1[[#This Row],[2]])</f>
        <v>113</v>
      </c>
      <c r="B636" s="170"/>
      <c r="C636" s="182" t="s">
        <v>521</v>
      </c>
      <c r="D636" s="167" t="s">
        <v>1626</v>
      </c>
      <c r="E636" s="167" t="s">
        <v>1625</v>
      </c>
      <c r="F636" s="167">
        <v>1</v>
      </c>
      <c r="G636" s="168">
        <f>SUMIFS(Таблица1[[#This Row],[8]:[19]],$I$5:$T$5,"Выкуп")</f>
        <v>107.6</v>
      </c>
      <c r="H636" s="168">
        <f>SUMIFS(Таблица1[[#This Row],[8]:[19]],$I$5:$T$5,"Аренда")</f>
        <v>0</v>
      </c>
      <c r="I636" s="169">
        <v>107.6</v>
      </c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70"/>
      <c r="V636" s="171"/>
    </row>
    <row r="637" spans="1:22" hidden="1" outlineLevel="2" x14ac:dyDescent="0.25">
      <c r="A637" s="186">
        <f>SUMIFS(МКД!$A$6:$A$389,МКД!$D$6:$D$389,Таблица1[[#This Row],[2]])</f>
        <v>113</v>
      </c>
      <c r="B637" s="168"/>
      <c r="C637" s="182" t="s">
        <v>521</v>
      </c>
      <c r="D637" s="167" t="s">
        <v>1571</v>
      </c>
      <c r="E637" s="167" t="s">
        <v>1569</v>
      </c>
      <c r="F637" s="167">
        <v>1</v>
      </c>
      <c r="G637" s="168">
        <f>SUMIFS(Таблица1[[#This Row],[8]:[19]],$I$5:$T$5,"Выкуп")</f>
        <v>116</v>
      </c>
      <c r="H637" s="168">
        <f>SUMIFS(Таблица1[[#This Row],[8]:[19]],$I$5:$T$5,"Аренда")</f>
        <v>0</v>
      </c>
      <c r="I637" s="169">
        <v>116</v>
      </c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70"/>
      <c r="V637" s="171"/>
    </row>
    <row r="638" spans="1:22" hidden="1" outlineLevel="2" x14ac:dyDescent="0.25">
      <c r="A638" s="186">
        <f>SUMIFS(МКД!$A$6:$A$389,МКД!$D$6:$D$389,Таблица1[[#This Row],[2]])</f>
        <v>113</v>
      </c>
      <c r="B638" s="168"/>
      <c r="C638" s="182" t="s">
        <v>521</v>
      </c>
      <c r="D638" s="167" t="s">
        <v>1062</v>
      </c>
      <c r="E638" s="167" t="s">
        <v>1570</v>
      </c>
      <c r="F638" s="167">
        <v>1</v>
      </c>
      <c r="G638" s="168">
        <f>SUMIFS(Таблица1[[#This Row],[8]:[19]],$I$5:$T$5,"Выкуп")</f>
        <v>42.7</v>
      </c>
      <c r="H638" s="168">
        <f>SUMIFS(Таблица1[[#This Row],[8]:[19]],$I$5:$T$5,"Аренда")</f>
        <v>0</v>
      </c>
      <c r="I638" s="169">
        <v>42.7</v>
      </c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70"/>
      <c r="V638" s="171"/>
    </row>
    <row r="639" spans="1:22" ht="15" outlineLevel="1" collapsed="1" x14ac:dyDescent="0.25">
      <c r="A639" s="186">
        <f>SUMIFS(МКД!$A$6:$A$389,МКД!$D$6:$D$389,Таблица1[[#This Row],[2]])</f>
        <v>114</v>
      </c>
      <c r="B639" s="194">
        <f>SUMIFS(Таблица1[6],Таблица1[2],Таблица1[[#This Row],[2]])+SUMIFS(Таблица1[7],Таблица1[2],Таблица1[[#This Row],[2]])</f>
        <v>1049.3</v>
      </c>
      <c r="C639" s="185" t="s">
        <v>1326</v>
      </c>
      <c r="D639" s="196"/>
      <c r="E639" s="196"/>
      <c r="F639" s="196"/>
      <c r="G639" s="168"/>
      <c r="H639" s="197"/>
      <c r="I639" s="196"/>
      <c r="J639" s="196"/>
      <c r="K639" s="196"/>
      <c r="L639" s="196"/>
      <c r="M639" s="196"/>
      <c r="N639" s="196"/>
      <c r="O639" s="196"/>
      <c r="P639" s="196"/>
      <c r="Q639" s="196"/>
      <c r="R639" s="196"/>
      <c r="S639" s="196"/>
      <c r="T639" s="196"/>
      <c r="U639" s="196"/>
      <c r="V639" s="198"/>
    </row>
    <row r="640" spans="1:22" hidden="1" outlineLevel="2" x14ac:dyDescent="0.25">
      <c r="A640" s="186">
        <f>SUMIFS(МКД!$A$6:$A$389,МКД!$D$6:$D$389,Таблица1[[#This Row],[2]])</f>
        <v>114</v>
      </c>
      <c r="B640" s="170"/>
      <c r="C640" s="182" t="s">
        <v>1326</v>
      </c>
      <c r="D640" s="167" t="s">
        <v>2005</v>
      </c>
      <c r="E640" s="167" t="s">
        <v>2526</v>
      </c>
      <c r="F640" s="167">
        <v>1</v>
      </c>
      <c r="G640" s="168">
        <f>SUMIFS(Таблица1[[#This Row],[8]:[19]],$I$5:$T$5,"Выкуп")</f>
        <v>101</v>
      </c>
      <c r="H640" s="168">
        <f>SUMIFS(Таблица1[[#This Row],[8]:[19]],$I$5:$T$5,"Аренда")</f>
        <v>0</v>
      </c>
      <c r="I640" s="169">
        <v>101</v>
      </c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70"/>
      <c r="V640" s="171"/>
    </row>
    <row r="641" spans="1:22" hidden="1" outlineLevel="2" x14ac:dyDescent="0.25">
      <c r="A641" s="186">
        <f>SUMIFS(МКД!$A$6:$A$389,МКД!$D$6:$D$389,Таблица1[[#This Row],[2]])</f>
        <v>114</v>
      </c>
      <c r="B641" s="168"/>
      <c r="C641" s="182" t="s">
        <v>1326</v>
      </c>
      <c r="D641" s="167" t="s">
        <v>2530</v>
      </c>
      <c r="E641" s="167" t="s">
        <v>2525</v>
      </c>
      <c r="F641" s="167">
        <v>1</v>
      </c>
      <c r="G641" s="168">
        <f>SUMIFS(Таблица1[[#This Row],[8]:[19]],$I$5:$T$5,"Выкуп")</f>
        <v>53.4</v>
      </c>
      <c r="H641" s="168">
        <f>SUMIFS(Таблица1[[#This Row],[8]:[19]],$I$5:$T$5,"Аренда")</f>
        <v>0</v>
      </c>
      <c r="I641" s="169">
        <v>53.4</v>
      </c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70"/>
      <c r="V641" s="171"/>
    </row>
    <row r="642" spans="1:22" hidden="1" outlineLevel="2" x14ac:dyDescent="0.25">
      <c r="A642" s="186">
        <f>SUMIFS(МКД!$A$6:$A$389,МКД!$D$6:$D$389,Таблица1[[#This Row],[2]])</f>
        <v>114</v>
      </c>
      <c r="B642" s="168"/>
      <c r="C642" s="182" t="s">
        <v>1326</v>
      </c>
      <c r="D642" s="167" t="s">
        <v>724</v>
      </c>
      <c r="E642" s="167" t="s">
        <v>1182</v>
      </c>
      <c r="F642" s="167">
        <v>1</v>
      </c>
      <c r="G642" s="168">
        <f>SUMIFS(Таблица1[[#This Row],[8]:[19]],$I$5:$T$5,"Выкуп")</f>
        <v>72.599999999999994</v>
      </c>
      <c r="H642" s="168">
        <f>SUMIFS(Таблица1[[#This Row],[8]:[19]],$I$5:$T$5,"Аренда")</f>
        <v>0</v>
      </c>
      <c r="I642" s="169">
        <v>72.599999999999994</v>
      </c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70"/>
      <c r="V642" s="171"/>
    </row>
    <row r="643" spans="1:22" hidden="1" outlineLevel="2" x14ac:dyDescent="0.25">
      <c r="A643" s="186">
        <f>SUMIFS(МКД!$A$6:$A$389,МКД!$D$6:$D$389,Таблица1[[#This Row],[2]])</f>
        <v>114</v>
      </c>
      <c r="B643" s="168"/>
      <c r="C643" s="182" t="s">
        <v>1326</v>
      </c>
      <c r="D643" s="167" t="s">
        <v>1716</v>
      </c>
      <c r="E643" s="167" t="s">
        <v>1715</v>
      </c>
      <c r="F643" s="167">
        <v>1</v>
      </c>
      <c r="G643" s="168">
        <f>SUMIFS(Таблица1[[#This Row],[8]:[19]],$I$5:$T$5,"Выкуп")</f>
        <v>44</v>
      </c>
      <c r="H643" s="168">
        <f>SUMIFS(Таблица1[[#This Row],[8]:[19]],$I$5:$T$5,"Аренда")</f>
        <v>0</v>
      </c>
      <c r="I643" s="169">
        <v>44</v>
      </c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70"/>
      <c r="V643" s="171"/>
    </row>
    <row r="644" spans="1:22" hidden="1" outlineLevel="2" x14ac:dyDescent="0.25">
      <c r="A644" s="186">
        <f>SUMIFS(МКД!$A$6:$A$389,МКД!$D$6:$D$389,Таблица1[[#This Row],[2]])</f>
        <v>114</v>
      </c>
      <c r="B644" s="168"/>
      <c r="C644" s="182" t="s">
        <v>1326</v>
      </c>
      <c r="D644" s="167" t="s">
        <v>153</v>
      </c>
      <c r="E644" s="167" t="s">
        <v>1295</v>
      </c>
      <c r="F644" s="167">
        <v>1</v>
      </c>
      <c r="G644" s="168">
        <f>SUMIFS(Таблица1[[#This Row],[8]:[19]],$I$5:$T$5,"Выкуп")</f>
        <v>44.4</v>
      </c>
      <c r="H644" s="168">
        <f>SUMIFS(Таблица1[[#This Row],[8]:[19]],$I$5:$T$5,"Аренда")</f>
        <v>0</v>
      </c>
      <c r="I644" s="169"/>
      <c r="J644" s="169"/>
      <c r="K644" s="169">
        <v>44.4</v>
      </c>
      <c r="L644" s="169"/>
      <c r="M644" s="169"/>
      <c r="N644" s="169"/>
      <c r="O644" s="169"/>
      <c r="P644" s="169"/>
      <c r="Q644" s="169"/>
      <c r="R644" s="169"/>
      <c r="S644" s="169"/>
      <c r="T644" s="169"/>
      <c r="U644" s="170"/>
      <c r="V644" s="171"/>
    </row>
    <row r="645" spans="1:22" hidden="1" outlineLevel="2" x14ac:dyDescent="0.25">
      <c r="A645" s="186">
        <f>SUMIFS(МКД!$A$6:$A$389,МКД!$D$6:$D$389,Таблица1[[#This Row],[2]])</f>
        <v>114</v>
      </c>
      <c r="B645" s="168"/>
      <c r="C645" s="182" t="s">
        <v>1326</v>
      </c>
      <c r="D645" s="167" t="s">
        <v>154</v>
      </c>
      <c r="E645" s="167" t="s">
        <v>155</v>
      </c>
      <c r="F645" s="167">
        <v>1</v>
      </c>
      <c r="G645" s="168">
        <f>SUMIFS(Таблица1[[#This Row],[8]:[19]],$I$5:$T$5,"Выкуп")</f>
        <v>261.5</v>
      </c>
      <c r="H645" s="168">
        <f>SUMIFS(Таблица1[[#This Row],[8]:[19]],$I$5:$T$5,"Аренда")</f>
        <v>0</v>
      </c>
      <c r="I645" s="169"/>
      <c r="J645" s="169"/>
      <c r="K645" s="169">
        <v>261.5</v>
      </c>
      <c r="L645" s="169"/>
      <c r="M645" s="169"/>
      <c r="N645" s="169"/>
      <c r="O645" s="169"/>
      <c r="P645" s="169"/>
      <c r="Q645" s="169"/>
      <c r="R645" s="169"/>
      <c r="S645" s="169"/>
      <c r="T645" s="169"/>
      <c r="U645" s="170"/>
      <c r="V645" s="171"/>
    </row>
    <row r="646" spans="1:22" hidden="1" outlineLevel="2" x14ac:dyDescent="0.25">
      <c r="A646" s="186">
        <f>SUMIFS(МКД!$A$6:$A$389,МКД!$D$6:$D$389,Таблица1[[#This Row],[2]])</f>
        <v>114</v>
      </c>
      <c r="B646" s="168"/>
      <c r="C646" s="182" t="s">
        <v>1326</v>
      </c>
      <c r="D646" s="167" t="s">
        <v>2615</v>
      </c>
      <c r="E646" s="167" t="s">
        <v>2527</v>
      </c>
      <c r="F646" s="167">
        <v>1</v>
      </c>
      <c r="G646" s="168">
        <f>SUMIFS(Таблица1[[#This Row],[8]:[19]],$I$5:$T$5,"Выкуп")</f>
        <v>126.6</v>
      </c>
      <c r="H646" s="168">
        <f>SUMIFS(Таблица1[[#This Row],[8]:[19]],$I$5:$T$5,"Аренда")</f>
        <v>0</v>
      </c>
      <c r="I646" s="169"/>
      <c r="J646" s="169"/>
      <c r="K646" s="169">
        <v>126.6</v>
      </c>
      <c r="L646" s="169"/>
      <c r="M646" s="169"/>
      <c r="N646" s="169"/>
      <c r="O646" s="169"/>
      <c r="P646" s="169"/>
      <c r="Q646" s="169"/>
      <c r="R646" s="169"/>
      <c r="S646" s="169"/>
      <c r="T646" s="169"/>
      <c r="U646" s="170"/>
      <c r="V646" s="171"/>
    </row>
    <row r="647" spans="1:22" hidden="1" outlineLevel="2" x14ac:dyDescent="0.25">
      <c r="A647" s="186">
        <f>SUMIFS(МКД!$A$6:$A$389,МКД!$D$6:$D$389,Таблица1[[#This Row],[2]])</f>
        <v>114</v>
      </c>
      <c r="B647" s="168"/>
      <c r="C647" s="182" t="s">
        <v>1326</v>
      </c>
      <c r="D647" s="167" t="s">
        <v>2528</v>
      </c>
      <c r="E647" s="167" t="s">
        <v>947</v>
      </c>
      <c r="F647" s="167"/>
      <c r="G647" s="168">
        <f>SUMIFS(Таблица1[[#This Row],[8]:[19]],$I$5:$T$5,"Выкуп")</f>
        <v>53.1</v>
      </c>
      <c r="H647" s="168">
        <f>SUMIFS(Таблица1[[#This Row],[8]:[19]],$I$5:$T$5,"Аренда")</f>
        <v>0</v>
      </c>
      <c r="I647" s="169">
        <v>53.1</v>
      </c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70"/>
      <c r="V647" s="171"/>
    </row>
    <row r="648" spans="1:22" hidden="1" outlineLevel="2" x14ac:dyDescent="0.25">
      <c r="A648" s="186">
        <f>SUMIFS(МКД!$A$6:$A$389,МКД!$D$6:$D$389,Таблица1[[#This Row],[2]])</f>
        <v>114</v>
      </c>
      <c r="B648" s="168"/>
      <c r="C648" s="182" t="s">
        <v>1326</v>
      </c>
      <c r="D648" s="167" t="s">
        <v>2529</v>
      </c>
      <c r="E648" s="167" t="s">
        <v>896</v>
      </c>
      <c r="F648" s="167">
        <v>1</v>
      </c>
      <c r="G648" s="168">
        <f>SUMIFS(Таблица1[[#This Row],[8]:[19]],$I$5:$T$5,"Выкуп")</f>
        <v>131.1</v>
      </c>
      <c r="H648" s="168">
        <f>SUMIFS(Таблица1[[#This Row],[8]:[19]],$I$5:$T$5,"Аренда")</f>
        <v>0</v>
      </c>
      <c r="I648" s="169">
        <v>131.1</v>
      </c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70"/>
      <c r="V648" s="171"/>
    </row>
    <row r="649" spans="1:22" hidden="1" outlineLevel="2" x14ac:dyDescent="0.25">
      <c r="A649" s="186">
        <f>SUMIFS(МКД!$A$6:$A$389,МКД!$D$6:$D$389,Таблица1[[#This Row],[2]])</f>
        <v>114</v>
      </c>
      <c r="B649" s="168"/>
      <c r="C649" s="182" t="s">
        <v>1326</v>
      </c>
      <c r="D649" s="167" t="s">
        <v>1053</v>
      </c>
      <c r="E649" s="167" t="s">
        <v>2752</v>
      </c>
      <c r="F649" s="167">
        <v>1</v>
      </c>
      <c r="G649" s="168">
        <f>SUMIFS(Таблица1[[#This Row],[8]:[19]],$I$5:$T$5,"Выкуп")</f>
        <v>161.6</v>
      </c>
      <c r="H649" s="168">
        <f>SUMIFS(Таблица1[[#This Row],[8]:[19]],$I$5:$T$5,"Аренда")</f>
        <v>0</v>
      </c>
      <c r="I649" s="169"/>
      <c r="J649" s="169"/>
      <c r="K649" s="169"/>
      <c r="L649" s="169"/>
      <c r="M649" s="278">
        <v>161.6</v>
      </c>
      <c r="N649" s="169"/>
      <c r="O649" s="169"/>
      <c r="P649" s="169"/>
      <c r="Q649" s="169"/>
      <c r="R649" s="169"/>
      <c r="S649" s="169"/>
      <c r="T649" s="169"/>
      <c r="U649" s="170"/>
      <c r="V649" s="171"/>
    </row>
    <row r="650" spans="1:22" ht="15" outlineLevel="1" collapsed="1" x14ac:dyDescent="0.25">
      <c r="A650" s="186">
        <f>SUMIFS(МКД!$A$6:$A$389,МКД!$D$6:$D$389,Таблица1[[#This Row],[2]])</f>
        <v>116</v>
      </c>
      <c r="B650" s="194">
        <f>SUMIFS(Таблица1[6],Таблица1[2],Таблица1[[#This Row],[2]])+SUMIFS(Таблица1[7],Таблица1[2],Таблица1[[#This Row],[2]])</f>
        <v>1255.3999999999999</v>
      </c>
      <c r="C650" s="185" t="s">
        <v>449</v>
      </c>
      <c r="D650" s="196"/>
      <c r="E650" s="196"/>
      <c r="F650" s="196"/>
      <c r="G650" s="168"/>
      <c r="H650" s="197"/>
      <c r="I650" s="196"/>
      <c r="J650" s="196"/>
      <c r="K650" s="196"/>
      <c r="L650" s="196"/>
      <c r="M650" s="196"/>
      <c r="N650" s="196"/>
      <c r="O650" s="196"/>
      <c r="P650" s="196"/>
      <c r="Q650" s="196"/>
      <c r="R650" s="196"/>
      <c r="S650" s="196"/>
      <c r="T650" s="196"/>
      <c r="U650" s="196"/>
      <c r="V650" s="198"/>
    </row>
    <row r="651" spans="1:22" hidden="1" outlineLevel="2" x14ac:dyDescent="0.25">
      <c r="A651" s="186">
        <f>SUMIFS(МКД!$A$6:$A$389,МКД!$D$6:$D$389,Таблица1[[#This Row],[2]])</f>
        <v>116</v>
      </c>
      <c r="B651" s="170"/>
      <c r="C651" s="182" t="s">
        <v>449</v>
      </c>
      <c r="D651" s="167" t="s">
        <v>962</v>
      </c>
      <c r="E651" s="167" t="s">
        <v>2122</v>
      </c>
      <c r="F651" s="167">
        <v>1</v>
      </c>
      <c r="G651" s="168">
        <f>SUMIFS(Таблица1[[#This Row],[8]:[19]],$I$5:$T$5,"Выкуп")</f>
        <v>692.5</v>
      </c>
      <c r="H651" s="168">
        <f>SUMIFS(Таблица1[[#This Row],[8]:[19]],$I$5:$T$5,"Аренда")</f>
        <v>0</v>
      </c>
      <c r="I651" s="169">
        <v>692.5</v>
      </c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70"/>
      <c r="V651" s="171"/>
    </row>
    <row r="652" spans="1:22" hidden="1" outlineLevel="2" x14ac:dyDescent="0.25">
      <c r="A652" s="186">
        <f>SUMIFS(МКД!$A$6:$A$389,МКД!$D$6:$D$389,Таблица1[[#This Row],[2]])</f>
        <v>116</v>
      </c>
      <c r="B652" s="168"/>
      <c r="C652" s="182" t="s">
        <v>449</v>
      </c>
      <c r="D652" s="167" t="s">
        <v>1988</v>
      </c>
      <c r="E652" s="167" t="s">
        <v>1987</v>
      </c>
      <c r="F652" s="167">
        <v>1</v>
      </c>
      <c r="G652" s="168">
        <f>SUMIFS(Таблица1[[#This Row],[8]:[19]],$I$5:$T$5,"Выкуп")</f>
        <v>72.400000000000006</v>
      </c>
      <c r="H652" s="168">
        <f>SUMIFS(Таблица1[[#This Row],[8]:[19]],$I$5:$T$5,"Аренда")</f>
        <v>0</v>
      </c>
      <c r="I652" s="169">
        <v>72.400000000000006</v>
      </c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70"/>
      <c r="V652" s="171"/>
    </row>
    <row r="653" spans="1:22" hidden="1" outlineLevel="2" x14ac:dyDescent="0.25">
      <c r="A653" s="186">
        <f>SUMIFS(МКД!$A$6:$A$389,МКД!$D$6:$D$389,Таблица1[[#This Row],[2]])</f>
        <v>116</v>
      </c>
      <c r="B653" s="168"/>
      <c r="C653" s="182" t="s">
        <v>449</v>
      </c>
      <c r="D653" s="167" t="s">
        <v>1851</v>
      </c>
      <c r="E653" s="167" t="s">
        <v>1069</v>
      </c>
      <c r="F653" s="167">
        <v>1</v>
      </c>
      <c r="G653" s="168">
        <f>SUMIFS(Таблица1[[#This Row],[8]:[19]],$I$5:$T$5,"Выкуп")</f>
        <v>137.5</v>
      </c>
      <c r="H653" s="168">
        <f>SUMIFS(Таблица1[[#This Row],[8]:[19]],$I$5:$T$5,"Аренда")</f>
        <v>0</v>
      </c>
      <c r="I653" s="169">
        <f>81.5+56</f>
        <v>137.5</v>
      </c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70"/>
      <c r="V653" s="171"/>
    </row>
    <row r="654" spans="1:22" hidden="1" outlineLevel="2" x14ac:dyDescent="0.25">
      <c r="A654" s="186">
        <f>SUMIFS(МКД!$A$6:$A$389,МКД!$D$6:$D$389,Таблица1[[#This Row],[2]])</f>
        <v>116</v>
      </c>
      <c r="B654" s="168"/>
      <c r="C654" s="182" t="s">
        <v>449</v>
      </c>
      <c r="D654" s="167" t="s">
        <v>2781</v>
      </c>
      <c r="E654" s="167" t="s">
        <v>76</v>
      </c>
      <c r="F654" s="167">
        <v>1</v>
      </c>
      <c r="G654" s="168">
        <f>SUMIFS(Таблица1[[#This Row],[8]:[19]],$I$5:$T$5,"Выкуп")</f>
        <v>51</v>
      </c>
      <c r="H654" s="168">
        <f>SUMIFS(Таблица1[[#This Row],[8]:[19]],$I$5:$T$5,"Аренда")</f>
        <v>0</v>
      </c>
      <c r="I654" s="169">
        <v>51</v>
      </c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70"/>
      <c r="V654" s="171"/>
    </row>
    <row r="655" spans="1:22" hidden="1" outlineLevel="2" x14ac:dyDescent="0.25">
      <c r="A655" s="186">
        <f>SUMIFS(МКД!$A$6:$A$389,МКД!$D$6:$D$389,Таблица1[[#This Row],[2]])</f>
        <v>116</v>
      </c>
      <c r="B655" s="168"/>
      <c r="C655" s="182" t="s">
        <v>449</v>
      </c>
      <c r="D655" s="167" t="s">
        <v>1851</v>
      </c>
      <c r="E655" s="167" t="s">
        <v>731</v>
      </c>
      <c r="F655" s="167">
        <v>1</v>
      </c>
      <c r="G655" s="168">
        <f>SUMIFS(Таблица1[[#This Row],[8]:[19]],$I$5:$T$5,"Выкуп")</f>
        <v>68.900000000000006</v>
      </c>
      <c r="H655" s="168">
        <f>SUMIFS(Таблица1[[#This Row],[8]:[19]],$I$5:$T$5,"Аренда")</f>
        <v>0</v>
      </c>
      <c r="I655" s="169">
        <v>68.900000000000006</v>
      </c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70"/>
      <c r="V655" s="171"/>
    </row>
    <row r="656" spans="1:22" hidden="1" outlineLevel="2" x14ac:dyDescent="0.25">
      <c r="A656" s="186">
        <f>SUMIFS(МКД!$A$6:$A$389,МКД!$D$6:$D$389,Таблица1[[#This Row],[2]])</f>
        <v>116</v>
      </c>
      <c r="B656" s="168"/>
      <c r="C656" s="182" t="s">
        <v>449</v>
      </c>
      <c r="D656" s="167" t="s">
        <v>1593</v>
      </c>
      <c r="E656" s="273" t="s">
        <v>1742</v>
      </c>
      <c r="F656" s="167">
        <v>1</v>
      </c>
      <c r="G656" s="168">
        <f>SUMIFS(Таблица1[[#This Row],[8]:[19]],$I$5:$T$5,"Выкуп")</f>
        <v>88.6</v>
      </c>
      <c r="H656" s="168">
        <f>SUMIFS(Таблица1[[#This Row],[8]:[19]],$I$5:$T$5,"Аренда")</f>
        <v>0</v>
      </c>
      <c r="I656" s="169"/>
      <c r="J656" s="169"/>
      <c r="K656" s="169">
        <v>88.6</v>
      </c>
      <c r="L656" s="169"/>
      <c r="M656" s="169"/>
      <c r="N656" s="169"/>
      <c r="O656" s="169"/>
      <c r="P656" s="169"/>
      <c r="Q656" s="169"/>
      <c r="R656" s="169"/>
      <c r="S656" s="169"/>
      <c r="T656" s="169"/>
      <c r="U656" s="170"/>
      <c r="V656" s="171"/>
    </row>
    <row r="657" spans="1:22" hidden="1" outlineLevel="2" x14ac:dyDescent="0.25">
      <c r="A657" s="186">
        <f>SUMIFS(МКД!$A$6:$A$389,МКД!$D$6:$D$389,Таблица1[[#This Row],[2]])</f>
        <v>116</v>
      </c>
      <c r="B657" s="168"/>
      <c r="C657" s="182" t="s">
        <v>449</v>
      </c>
      <c r="D657" s="167" t="s">
        <v>1394</v>
      </c>
      <c r="E657" s="167" t="s">
        <v>2752</v>
      </c>
      <c r="F657" s="167">
        <v>1</v>
      </c>
      <c r="G657" s="168">
        <f>SUMIFS(Таблица1[[#This Row],[8]:[19]],$I$5:$T$5,"Выкуп")</f>
        <v>144.5</v>
      </c>
      <c r="H657" s="168">
        <f>SUMIFS(Таблица1[[#This Row],[8]:[19]],$I$5:$T$5,"Аренда")</f>
        <v>0</v>
      </c>
      <c r="I657" s="169"/>
      <c r="J657" s="169"/>
      <c r="K657" s="169"/>
      <c r="L657" s="169"/>
      <c r="M657" s="169">
        <v>144.5</v>
      </c>
      <c r="N657" s="169"/>
      <c r="O657" s="169"/>
      <c r="P657" s="169"/>
      <c r="Q657" s="169"/>
      <c r="R657" s="169"/>
      <c r="S657" s="169"/>
      <c r="T657" s="169"/>
      <c r="U657" s="170"/>
      <c r="V657" s="171"/>
    </row>
    <row r="658" spans="1:22" ht="15" outlineLevel="1" collapsed="1" x14ac:dyDescent="0.25">
      <c r="A658" s="186">
        <f>SUMIFS(МКД!$A$6:$A$389,МКД!$D$6:$D$389,Таблица1[[#This Row],[2]])</f>
        <v>117</v>
      </c>
      <c r="B658" s="194">
        <f>SUMIFS(Таблица1[6],Таблица1[2],Таблица1[[#This Row],[2]])+SUMIFS(Таблица1[7],Таблица1[2],Таблица1[[#This Row],[2]])</f>
        <v>258.10000000000002</v>
      </c>
      <c r="C658" s="185" t="s">
        <v>450</v>
      </c>
      <c r="D658" s="196"/>
      <c r="E658" s="196"/>
      <c r="F658" s="196"/>
      <c r="G658" s="168"/>
      <c r="H658" s="197"/>
      <c r="I658" s="196"/>
      <c r="J658" s="196"/>
      <c r="K658" s="196"/>
      <c r="L658" s="196"/>
      <c r="M658" s="196"/>
      <c r="N658" s="196"/>
      <c r="O658" s="196"/>
      <c r="P658" s="196"/>
      <c r="Q658" s="196"/>
      <c r="R658" s="196"/>
      <c r="S658" s="196"/>
      <c r="T658" s="196"/>
      <c r="U658" s="196"/>
      <c r="V658" s="198"/>
    </row>
    <row r="659" spans="1:22" hidden="1" outlineLevel="2" x14ac:dyDescent="0.25">
      <c r="A659" s="186">
        <f>SUMIFS(МКД!$A$6:$A$389,МКД!$D$6:$D$389,Таблица1[[#This Row],[2]])</f>
        <v>117</v>
      </c>
      <c r="B659" s="170"/>
      <c r="C659" s="182" t="s">
        <v>450</v>
      </c>
      <c r="D659" s="167" t="s">
        <v>156</v>
      </c>
      <c r="E659" s="167"/>
      <c r="F659" s="167">
        <v>1</v>
      </c>
      <c r="G659" s="168">
        <f>SUMIFS(Таблица1[[#This Row],[8]:[19]],$I$5:$T$5,"Выкуп")</f>
        <v>65.2</v>
      </c>
      <c r="H659" s="168">
        <f>SUMIFS(Таблица1[[#This Row],[8]:[19]],$I$5:$T$5,"Аренда")</f>
        <v>0</v>
      </c>
      <c r="I659" s="169">
        <v>65.2</v>
      </c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70"/>
      <c r="V659" s="171"/>
    </row>
    <row r="660" spans="1:22" hidden="1" outlineLevel="2" x14ac:dyDescent="0.25">
      <c r="A660" s="186">
        <f>SUMIFS(МКД!$A$6:$A$389,МКД!$D$6:$D$389,Таблица1[[#This Row],[2]])</f>
        <v>117</v>
      </c>
      <c r="B660" s="168"/>
      <c r="C660" s="182" t="s">
        <v>450</v>
      </c>
      <c r="D660" s="167" t="s">
        <v>157</v>
      </c>
      <c r="E660" s="167"/>
      <c r="F660" s="167">
        <v>1</v>
      </c>
      <c r="G660" s="168">
        <f>SUMIFS(Таблица1[[#This Row],[8]:[19]],$I$5:$T$5,"Выкуп")</f>
        <v>52.5</v>
      </c>
      <c r="H660" s="168">
        <f>SUMIFS(Таблица1[[#This Row],[8]:[19]],$I$5:$T$5,"Аренда")</f>
        <v>0</v>
      </c>
      <c r="I660" s="169">
        <v>52.5</v>
      </c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70"/>
      <c r="V660" s="171"/>
    </row>
    <row r="661" spans="1:22" hidden="1" outlineLevel="2" x14ac:dyDescent="0.25">
      <c r="A661" s="186">
        <f>SUMIFS(МКД!$A$6:$A$389,МКД!$D$6:$D$389,Таблица1[[#This Row],[2]])</f>
        <v>117</v>
      </c>
      <c r="B661" s="168"/>
      <c r="C661" s="182" t="s">
        <v>450</v>
      </c>
      <c r="D661" s="167" t="s">
        <v>158</v>
      </c>
      <c r="E661" s="167" t="s">
        <v>828</v>
      </c>
      <c r="F661" s="167">
        <v>1</v>
      </c>
      <c r="G661" s="168">
        <f>SUMIFS(Таблица1[[#This Row],[8]:[19]],$I$5:$T$5,"Выкуп")</f>
        <v>140.4</v>
      </c>
      <c r="H661" s="168">
        <f>SUMIFS(Таблица1[[#This Row],[8]:[19]],$I$5:$T$5,"Аренда")</f>
        <v>0</v>
      </c>
      <c r="I661" s="169">
        <v>140.4</v>
      </c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70"/>
      <c r="V661" s="171"/>
    </row>
    <row r="662" spans="1:22" ht="15" outlineLevel="1" collapsed="1" x14ac:dyDescent="0.25">
      <c r="A662" s="186">
        <f>SUMIFS(МКД!$A$6:$A$389,МКД!$D$6:$D$389,Таблица1[[#This Row],[2]])</f>
        <v>118</v>
      </c>
      <c r="B662" s="194">
        <f>SUMIFS(Таблица1[6],Таблица1[2],Таблица1[[#This Row],[2]])+SUMIFS(Таблица1[7],Таблица1[2],Таблица1[[#This Row],[2]])</f>
        <v>365.9</v>
      </c>
      <c r="C662" s="185" t="s">
        <v>451</v>
      </c>
      <c r="D662" s="196"/>
      <c r="E662" s="196"/>
      <c r="F662" s="196"/>
      <c r="G662" s="168"/>
      <c r="H662" s="197"/>
      <c r="I662" s="196"/>
      <c r="J662" s="196"/>
      <c r="K662" s="196"/>
      <c r="L662" s="196"/>
      <c r="M662" s="196"/>
      <c r="N662" s="196"/>
      <c r="O662" s="196"/>
      <c r="P662" s="196"/>
      <c r="Q662" s="196"/>
      <c r="R662" s="196"/>
      <c r="S662" s="196"/>
      <c r="T662" s="196"/>
      <c r="U662" s="196"/>
      <c r="V662" s="198"/>
    </row>
    <row r="663" spans="1:22" hidden="1" outlineLevel="2" x14ac:dyDescent="0.25">
      <c r="A663" s="186">
        <f>SUMIFS(МКД!$A$6:$A$389,МКД!$D$6:$D$389,Таблица1[[#This Row],[2]])</f>
        <v>118</v>
      </c>
      <c r="B663" s="170"/>
      <c r="C663" s="182" t="s">
        <v>451</v>
      </c>
      <c r="D663" s="167" t="s">
        <v>159</v>
      </c>
      <c r="E663" s="167"/>
      <c r="F663" s="167">
        <v>1</v>
      </c>
      <c r="G663" s="168">
        <f>SUMIFS(Таблица1[[#This Row],[8]:[19]],$I$5:$T$5,"Выкуп")</f>
        <v>185.1</v>
      </c>
      <c r="H663" s="168">
        <f>SUMIFS(Таблица1[[#This Row],[8]:[19]],$I$5:$T$5,"Аренда")</f>
        <v>0</v>
      </c>
      <c r="I663" s="169">
        <v>185.1</v>
      </c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70"/>
      <c r="V663" s="171"/>
    </row>
    <row r="664" spans="1:22" hidden="1" outlineLevel="2" x14ac:dyDescent="0.25">
      <c r="A664" s="186">
        <f>SUMIFS(МКД!$A$6:$A$389,МКД!$D$6:$D$389,Таблица1[[#This Row],[2]])</f>
        <v>118</v>
      </c>
      <c r="B664" s="168"/>
      <c r="C664" s="182" t="s">
        <v>451</v>
      </c>
      <c r="D664" s="167" t="s">
        <v>1843</v>
      </c>
      <c r="E664" s="167" t="s">
        <v>986</v>
      </c>
      <c r="F664" s="167">
        <v>1</v>
      </c>
      <c r="G664" s="168">
        <f>SUMIFS(Таблица1[[#This Row],[8]:[19]],$I$5:$T$5,"Выкуп")</f>
        <v>53.6</v>
      </c>
      <c r="H664" s="168">
        <f>SUMIFS(Таблица1[[#This Row],[8]:[19]],$I$5:$T$5,"Аренда")</f>
        <v>0</v>
      </c>
      <c r="I664" s="169">
        <v>53.6</v>
      </c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70"/>
      <c r="V664" s="171"/>
    </row>
    <row r="665" spans="1:22" hidden="1" outlineLevel="2" x14ac:dyDescent="0.25">
      <c r="A665" s="186">
        <f>SUMIFS(МКД!$A$6:$A$389,МКД!$D$6:$D$389,Таблица1[[#This Row],[2]])</f>
        <v>118</v>
      </c>
      <c r="B665" s="168"/>
      <c r="C665" s="182" t="s">
        <v>451</v>
      </c>
      <c r="D665" s="167" t="s">
        <v>2029</v>
      </c>
      <c r="E665" s="167" t="s">
        <v>921</v>
      </c>
      <c r="F665" s="167">
        <v>1</v>
      </c>
      <c r="G665" s="168">
        <f>SUMIFS(Таблица1[[#This Row],[8]:[19]],$I$5:$T$5,"Выкуп")</f>
        <v>50.2</v>
      </c>
      <c r="H665" s="168">
        <f>SUMIFS(Таблица1[[#This Row],[8]:[19]],$I$5:$T$5,"Аренда")</f>
        <v>0</v>
      </c>
      <c r="I665" s="169">
        <v>50.2</v>
      </c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70"/>
      <c r="V665" s="171"/>
    </row>
    <row r="666" spans="1:22" hidden="1" outlineLevel="2" x14ac:dyDescent="0.25">
      <c r="A666" s="186">
        <f>SUMIFS(МКД!$A$6:$A$389,МКД!$D$6:$D$389,Таблица1[[#This Row],[2]])</f>
        <v>118</v>
      </c>
      <c r="B666" s="168"/>
      <c r="C666" s="182" t="s">
        <v>451</v>
      </c>
      <c r="D666" s="167" t="s">
        <v>973</v>
      </c>
      <c r="E666" s="167" t="s">
        <v>1369</v>
      </c>
      <c r="F666" s="167">
        <v>1</v>
      </c>
      <c r="G666" s="168">
        <f>SUMIFS(Таблица1[[#This Row],[8]:[19]],$I$5:$T$5,"Выкуп")</f>
        <v>77</v>
      </c>
      <c r="H666" s="168">
        <f>SUMIFS(Таблица1[[#This Row],[8]:[19]],$I$5:$T$5,"Аренда")</f>
        <v>0</v>
      </c>
      <c r="I666" s="169"/>
      <c r="J666" s="169"/>
      <c r="K666" s="169">
        <v>77</v>
      </c>
      <c r="L666" s="169"/>
      <c r="M666" s="169"/>
      <c r="N666" s="169"/>
      <c r="O666" s="169"/>
      <c r="P666" s="169"/>
      <c r="Q666" s="169"/>
      <c r="R666" s="169"/>
      <c r="S666" s="169"/>
      <c r="T666" s="169"/>
      <c r="U666" s="170"/>
      <c r="V666" s="171"/>
    </row>
    <row r="667" spans="1:22" ht="15" outlineLevel="1" collapsed="1" x14ac:dyDescent="0.25">
      <c r="A667" s="186">
        <f>SUMIFS(МКД!$A$6:$A$389,МКД!$D$6:$D$389,Таблица1[[#This Row],[2]])</f>
        <v>119</v>
      </c>
      <c r="B667" s="194">
        <f>SUMIFS(Таблица1[6],Таблица1[2],Таблица1[[#This Row],[2]])+SUMIFS(Таблица1[7],Таблица1[2],Таблица1[[#This Row],[2]])</f>
        <v>1378.1</v>
      </c>
      <c r="C667" s="185" t="s">
        <v>92</v>
      </c>
      <c r="D667" s="196"/>
      <c r="E667" s="196"/>
      <c r="F667" s="196"/>
      <c r="G667" s="168"/>
      <c r="H667" s="197"/>
      <c r="I667" s="196"/>
      <c r="J667" s="196"/>
      <c r="K667" s="196"/>
      <c r="L667" s="196"/>
      <c r="M667" s="196"/>
      <c r="N667" s="196"/>
      <c r="O667" s="196"/>
      <c r="P667" s="196"/>
      <c r="Q667" s="196"/>
      <c r="R667" s="196"/>
      <c r="S667" s="196"/>
      <c r="T667" s="196"/>
      <c r="U667" s="196"/>
      <c r="V667" s="198"/>
    </row>
    <row r="668" spans="1:22" hidden="1" outlineLevel="2" x14ac:dyDescent="0.25">
      <c r="A668" s="186">
        <f>SUMIFS(МКД!$A$6:$A$389,МКД!$D$6:$D$389,Таблица1[[#This Row],[2]])</f>
        <v>119</v>
      </c>
      <c r="B668" s="170"/>
      <c r="C668" s="182" t="s">
        <v>92</v>
      </c>
      <c r="D668" s="167" t="s">
        <v>1593</v>
      </c>
      <c r="E668" s="273" t="s">
        <v>1731</v>
      </c>
      <c r="F668" s="167">
        <v>1</v>
      </c>
      <c r="G668" s="168">
        <f>SUMIFS(Таблица1[[#This Row],[8]:[19]],$I$5:$T$5,"Выкуп")</f>
        <v>42.8</v>
      </c>
      <c r="H668" s="168">
        <f>SUMIFS(Таблица1[[#This Row],[8]:[19]],$I$5:$T$5,"Аренда")</f>
        <v>0</v>
      </c>
      <c r="I668" s="169"/>
      <c r="J668" s="169"/>
      <c r="K668" s="169">
        <v>42.8</v>
      </c>
      <c r="L668" s="169"/>
      <c r="M668" s="169"/>
      <c r="N668" s="169"/>
      <c r="O668" s="169"/>
      <c r="P668" s="169"/>
      <c r="Q668" s="169"/>
      <c r="R668" s="169"/>
      <c r="S668" s="169"/>
      <c r="T668" s="169"/>
      <c r="U668" s="170"/>
      <c r="V668" s="171"/>
    </row>
    <row r="669" spans="1:22" s="19" customFormat="1" hidden="1" outlineLevel="2" x14ac:dyDescent="0.25">
      <c r="A669" s="186">
        <f>SUMIFS(МКД!$A$6:$A$389,МКД!$D$6:$D$389,Таблица1[[#This Row],[2]])</f>
        <v>119</v>
      </c>
      <c r="B669" s="168"/>
      <c r="C669" s="182" t="s">
        <v>92</v>
      </c>
      <c r="D669" s="167" t="s">
        <v>1743</v>
      </c>
      <c r="E669" s="167" t="s">
        <v>764</v>
      </c>
      <c r="F669" s="167">
        <v>1</v>
      </c>
      <c r="G669" s="168">
        <f>SUMIFS(Таблица1[[#This Row],[8]:[19]],$I$5:$T$5,"Выкуп")</f>
        <v>382.5</v>
      </c>
      <c r="H669" s="168">
        <f>SUMIFS(Таблица1[[#This Row],[8]:[19]],$I$5:$T$5,"Аренда")</f>
        <v>0</v>
      </c>
      <c r="I669" s="169">
        <v>246.8</v>
      </c>
      <c r="J669" s="169"/>
      <c r="K669" s="169">
        <v>135.69999999999999</v>
      </c>
      <c r="L669" s="169"/>
      <c r="M669" s="169"/>
      <c r="N669" s="169"/>
      <c r="O669" s="169"/>
      <c r="P669" s="169"/>
      <c r="Q669" s="169"/>
      <c r="R669" s="169"/>
      <c r="S669" s="169"/>
      <c r="T669" s="169"/>
      <c r="U669" s="170"/>
      <c r="V669" s="171"/>
    </row>
    <row r="670" spans="1:22" hidden="1" outlineLevel="2" x14ac:dyDescent="0.25">
      <c r="A670" s="186">
        <f>SUMIFS(МКД!$A$6:$A$389,МКД!$D$6:$D$389,Таблица1[[#This Row],[2]])</f>
        <v>119</v>
      </c>
      <c r="B670" s="168"/>
      <c r="C670" s="182" t="s">
        <v>92</v>
      </c>
      <c r="D670" s="167" t="s">
        <v>1418</v>
      </c>
      <c r="E670" s="167" t="s">
        <v>76</v>
      </c>
      <c r="F670" s="167">
        <v>1</v>
      </c>
      <c r="G670" s="168">
        <f>SUMIFS(Таблица1[[#This Row],[8]:[19]],$I$5:$T$5,"Выкуп")</f>
        <v>299.3</v>
      </c>
      <c r="H670" s="168">
        <f>SUMIFS(Таблица1[[#This Row],[8]:[19]],$I$5:$T$5,"Аренда")</f>
        <v>0</v>
      </c>
      <c r="I670" s="169">
        <v>299.3</v>
      </c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70"/>
      <c r="V670" s="171"/>
    </row>
    <row r="671" spans="1:22" hidden="1" outlineLevel="2" x14ac:dyDescent="0.25">
      <c r="A671" s="186">
        <f>SUMIFS(МКД!$A$6:$A$389,МКД!$D$6:$D$389,Таблица1[[#This Row],[2]])</f>
        <v>119</v>
      </c>
      <c r="B671" s="170"/>
      <c r="C671" s="182" t="s">
        <v>92</v>
      </c>
      <c r="D671" s="167" t="s">
        <v>778</v>
      </c>
      <c r="E671" s="167" t="s">
        <v>762</v>
      </c>
      <c r="F671" s="167">
        <v>1</v>
      </c>
      <c r="G671" s="168">
        <f>SUMIFS(Таблица1[[#This Row],[8]:[19]],$I$5:$T$5,"Выкуп")</f>
        <v>150.69999999999999</v>
      </c>
      <c r="H671" s="168">
        <f>SUMIFS(Таблица1[[#This Row],[8]:[19]],$I$5:$T$5,"Аренда")</f>
        <v>0</v>
      </c>
      <c r="I671" s="169">
        <v>150.69999999999999</v>
      </c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70"/>
      <c r="V671" s="171"/>
    </row>
    <row r="672" spans="1:22" hidden="1" outlineLevel="2" x14ac:dyDescent="0.25">
      <c r="A672" s="186">
        <f>SUMIFS(МКД!$A$6:$A$389,МКД!$D$6:$D$389,Таблица1[[#This Row],[2]])</f>
        <v>119</v>
      </c>
      <c r="B672" s="170"/>
      <c r="C672" s="182" t="s">
        <v>92</v>
      </c>
      <c r="D672" s="167" t="s">
        <v>1718</v>
      </c>
      <c r="E672" s="167" t="s">
        <v>731</v>
      </c>
      <c r="F672" s="167">
        <v>1</v>
      </c>
      <c r="G672" s="168">
        <f>SUMIFS(Таблица1[[#This Row],[8]:[19]],$I$5:$T$5,"Выкуп")</f>
        <v>134.80000000000001</v>
      </c>
      <c r="H672" s="168">
        <f>SUMIFS(Таблица1[[#This Row],[8]:[19]],$I$5:$T$5,"Аренда")</f>
        <v>0</v>
      </c>
      <c r="I672" s="169">
        <v>80</v>
      </c>
      <c r="J672" s="169"/>
      <c r="K672" s="169">
        <v>54.8</v>
      </c>
      <c r="L672" s="169"/>
      <c r="M672" s="169"/>
      <c r="N672" s="169"/>
      <c r="O672" s="169"/>
      <c r="P672" s="169"/>
      <c r="Q672" s="169"/>
      <c r="R672" s="169"/>
      <c r="S672" s="169"/>
      <c r="T672" s="169"/>
      <c r="U672" s="170"/>
      <c r="V672" s="171"/>
    </row>
    <row r="673" spans="1:22" hidden="1" outlineLevel="2" x14ac:dyDescent="0.25">
      <c r="A673" s="186">
        <f>SUMIFS(МКД!$A$6:$A$389,МКД!$D$6:$D$389,Таблица1[[#This Row],[2]])</f>
        <v>119</v>
      </c>
      <c r="B673" s="170"/>
      <c r="C673" s="182" t="s">
        <v>92</v>
      </c>
      <c r="D673" s="167" t="s">
        <v>1718</v>
      </c>
      <c r="E673" s="167" t="s">
        <v>67</v>
      </c>
      <c r="F673" s="167">
        <v>1</v>
      </c>
      <c r="G673" s="168">
        <f>SUMIFS(Таблица1[[#This Row],[8]:[19]],$I$5:$T$5,"Выкуп")</f>
        <v>220</v>
      </c>
      <c r="H673" s="168">
        <f>SUMIFS(Таблица1[[#This Row],[8]:[19]],$I$5:$T$5,"Аренда")</f>
        <v>0</v>
      </c>
      <c r="I673" s="169">
        <v>220</v>
      </c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70"/>
      <c r="V673" s="171"/>
    </row>
    <row r="674" spans="1:22" hidden="1" outlineLevel="2" x14ac:dyDescent="0.25">
      <c r="A674" s="186">
        <f>SUMIFS(МКД!$A$6:$A$389,МКД!$D$6:$D$389,Таблица1[[#This Row],[2]])</f>
        <v>119</v>
      </c>
      <c r="B674" s="170"/>
      <c r="C674" s="182" t="s">
        <v>92</v>
      </c>
      <c r="D674" s="167" t="s">
        <v>778</v>
      </c>
      <c r="E674" s="167" t="s">
        <v>835</v>
      </c>
      <c r="F674" s="167">
        <v>1</v>
      </c>
      <c r="G674" s="168">
        <f>SUMIFS(Таблица1[[#This Row],[8]:[19]],$I$5:$T$5,"Выкуп")</f>
        <v>35.5</v>
      </c>
      <c r="H674" s="168">
        <f>SUMIFS(Таблица1[[#This Row],[8]:[19]],$I$5:$T$5,"Аренда")</f>
        <v>0</v>
      </c>
      <c r="I674" s="169"/>
      <c r="J674" s="169"/>
      <c r="K674" s="169">
        <v>35.5</v>
      </c>
      <c r="L674" s="169"/>
      <c r="M674" s="169"/>
      <c r="N674" s="169"/>
      <c r="O674" s="169"/>
      <c r="P674" s="169"/>
      <c r="Q674" s="169"/>
      <c r="R674" s="169"/>
      <c r="S674" s="169"/>
      <c r="T674" s="169"/>
      <c r="U674" s="170"/>
      <c r="V674" s="171"/>
    </row>
    <row r="675" spans="1:22" hidden="1" outlineLevel="2" x14ac:dyDescent="0.25">
      <c r="A675" s="186">
        <f>SUMIFS(МКД!$A$6:$A$389,МКД!$D$6:$D$389,Таблица1[[#This Row],[2]])</f>
        <v>119</v>
      </c>
      <c r="B675" s="170"/>
      <c r="C675" s="182" t="s">
        <v>92</v>
      </c>
      <c r="D675" s="167" t="s">
        <v>3</v>
      </c>
      <c r="E675" s="167" t="s">
        <v>206</v>
      </c>
      <c r="F675" s="167">
        <v>1</v>
      </c>
      <c r="G675" s="168">
        <f>SUMIFS(Таблица1[[#This Row],[8]:[19]],$I$5:$T$5,"Выкуп")</f>
        <v>112.5</v>
      </c>
      <c r="H675" s="168">
        <f>SUMIFS(Таблица1[[#This Row],[8]:[19]],$I$5:$T$5,"Аренда")</f>
        <v>0</v>
      </c>
      <c r="I675" s="169">
        <v>112.5</v>
      </c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70"/>
      <c r="V675" s="171"/>
    </row>
    <row r="676" spans="1:22" s="19" customFormat="1" ht="15" outlineLevel="1" collapsed="1" x14ac:dyDescent="0.25">
      <c r="A676" s="186">
        <f>SUMIFS(МКД!$A$6:$A$389,МКД!$D$6:$D$389,Таблица1[[#This Row],[2]])</f>
        <v>120</v>
      </c>
      <c r="B676" s="194">
        <f>SUMIFS(Таблица1[6],Таблица1[2],Таблица1[[#This Row],[2]])+SUMIFS(Таблица1[7],Таблица1[2],Таблица1[[#This Row],[2]])</f>
        <v>1498.6999999999998</v>
      </c>
      <c r="C676" s="185" t="s">
        <v>452</v>
      </c>
      <c r="D676" s="196"/>
      <c r="E676" s="196"/>
      <c r="F676" s="196"/>
      <c r="G676" s="168"/>
      <c r="H676" s="197"/>
      <c r="I676" s="196"/>
      <c r="J676" s="196"/>
      <c r="K676" s="196"/>
      <c r="L676" s="196"/>
      <c r="M676" s="196"/>
      <c r="N676" s="196"/>
      <c r="O676" s="196"/>
      <c r="P676" s="196"/>
      <c r="Q676" s="196"/>
      <c r="R676" s="196"/>
      <c r="S676" s="196"/>
      <c r="T676" s="196"/>
      <c r="U676" s="196"/>
      <c r="V676" s="198"/>
    </row>
    <row r="677" spans="1:22" s="19" customFormat="1" hidden="1" outlineLevel="2" x14ac:dyDescent="0.25">
      <c r="A677" s="186">
        <f>SUMIFS(МКД!$A$6:$A$389,МКД!$D$6:$D$389,Таблица1[[#This Row],[2]])</f>
        <v>120</v>
      </c>
      <c r="B677" s="170"/>
      <c r="C677" s="182" t="s">
        <v>452</v>
      </c>
      <c r="D677" s="167" t="s">
        <v>131</v>
      </c>
      <c r="E677" s="167" t="s">
        <v>945</v>
      </c>
      <c r="F677" s="167">
        <v>1</v>
      </c>
      <c r="G677" s="168">
        <f>SUMIFS(Таблица1[[#This Row],[8]:[19]],$I$5:$T$5,"Выкуп")</f>
        <v>660.8</v>
      </c>
      <c r="H677" s="168">
        <f>SUMIFS(Таблица1[[#This Row],[8]:[19]],$I$5:$T$5,"Аренда")</f>
        <v>0</v>
      </c>
      <c r="I677" s="169">
        <v>419.2</v>
      </c>
      <c r="J677" s="169"/>
      <c r="K677" s="169">
        <v>241.6</v>
      </c>
      <c r="L677" s="169"/>
      <c r="M677" s="169"/>
      <c r="N677" s="169"/>
      <c r="O677" s="169"/>
      <c r="P677" s="169"/>
      <c r="Q677" s="169"/>
      <c r="R677" s="169"/>
      <c r="S677" s="169"/>
      <c r="T677" s="169"/>
      <c r="U677" s="170"/>
      <c r="V677" s="171"/>
    </row>
    <row r="678" spans="1:22" hidden="1" outlineLevel="2" x14ac:dyDescent="0.25">
      <c r="A678" s="186">
        <f>SUMIFS(МКД!$A$6:$A$389,МКД!$D$6:$D$389,Таблица1[[#This Row],[2]])</f>
        <v>120</v>
      </c>
      <c r="B678" s="170"/>
      <c r="C678" s="182" t="s">
        <v>452</v>
      </c>
      <c r="D678" s="167" t="s">
        <v>911</v>
      </c>
      <c r="E678" s="167" t="s">
        <v>1387</v>
      </c>
      <c r="F678" s="167">
        <v>1</v>
      </c>
      <c r="G678" s="168">
        <f>SUMIFS(Таблица1[[#This Row],[8]:[19]],$I$5:$T$5,"Выкуп")</f>
        <v>421.70000000000005</v>
      </c>
      <c r="H678" s="168">
        <f>SUMIFS(Таблица1[[#This Row],[8]:[19]],$I$5:$T$5,"Аренда")</f>
        <v>0</v>
      </c>
      <c r="I678" s="169">
        <f>180.8+92.4</f>
        <v>273.20000000000005</v>
      </c>
      <c r="J678" s="169"/>
      <c r="K678" s="169">
        <v>148.5</v>
      </c>
      <c r="L678" s="169"/>
      <c r="M678" s="169"/>
      <c r="N678" s="169"/>
      <c r="O678" s="169"/>
      <c r="P678" s="169"/>
      <c r="Q678" s="169"/>
      <c r="R678" s="169"/>
      <c r="S678" s="169"/>
      <c r="T678" s="169"/>
      <c r="U678" s="170"/>
      <c r="V678" s="171"/>
    </row>
    <row r="679" spans="1:22" s="19" customFormat="1" hidden="1" outlineLevel="2" x14ac:dyDescent="0.25">
      <c r="A679" s="186">
        <f>SUMIFS(МКД!$A$6:$A$389,МКД!$D$6:$D$389,Таблица1[[#This Row],[2]])</f>
        <v>120</v>
      </c>
      <c r="B679" s="170"/>
      <c r="C679" s="182" t="s">
        <v>452</v>
      </c>
      <c r="D679" s="167" t="s">
        <v>1790</v>
      </c>
      <c r="E679" s="167" t="s">
        <v>206</v>
      </c>
      <c r="F679" s="167"/>
      <c r="G679" s="168">
        <f>SUMIFS(Таблица1[[#This Row],[8]:[19]],$I$5:$T$5,"Выкуп")</f>
        <v>356.1</v>
      </c>
      <c r="H679" s="168">
        <f>SUMIFS(Таблица1[[#This Row],[8]:[19]],$I$5:$T$5,"Аренда")</f>
        <v>0</v>
      </c>
      <c r="I679" s="169">
        <v>139.19999999999999</v>
      </c>
      <c r="J679" s="169"/>
      <c r="K679" s="169">
        <v>216.9</v>
      </c>
      <c r="L679" s="169"/>
      <c r="M679" s="169"/>
      <c r="N679" s="169"/>
      <c r="O679" s="169"/>
      <c r="P679" s="169"/>
      <c r="Q679" s="169"/>
      <c r="R679" s="169"/>
      <c r="S679" s="169"/>
      <c r="T679" s="169"/>
      <c r="U679" s="170"/>
      <c r="V679" s="171"/>
    </row>
    <row r="680" spans="1:22" hidden="1" outlineLevel="2" x14ac:dyDescent="0.25">
      <c r="A680" s="186">
        <f>SUMIFS(МКД!$A$6:$A$389,МКД!$D$6:$D$389,Таблица1[[#This Row],[2]])</f>
        <v>120</v>
      </c>
      <c r="B680" s="170"/>
      <c r="C680" s="182" t="s">
        <v>452</v>
      </c>
      <c r="D680" s="167" t="s">
        <v>1593</v>
      </c>
      <c r="E680" s="273" t="s">
        <v>1735</v>
      </c>
      <c r="F680" s="167">
        <v>1</v>
      </c>
      <c r="G680" s="168">
        <f>SUMIFS(Таблица1[[#This Row],[8]:[19]],$I$5:$T$5,"Выкуп")</f>
        <v>60.1</v>
      </c>
      <c r="H680" s="168">
        <f>SUMIFS(Таблица1[[#This Row],[8]:[19]],$I$5:$T$5,"Аренда")</f>
        <v>0</v>
      </c>
      <c r="I680" s="169"/>
      <c r="J680" s="169"/>
      <c r="K680" s="169">
        <v>60.1</v>
      </c>
      <c r="L680" s="169"/>
      <c r="M680" s="169"/>
      <c r="N680" s="169"/>
      <c r="O680" s="169"/>
      <c r="P680" s="169"/>
      <c r="Q680" s="169"/>
      <c r="R680" s="169"/>
      <c r="S680" s="169"/>
      <c r="T680" s="169"/>
      <c r="U680" s="170"/>
      <c r="V680" s="171"/>
    </row>
    <row r="681" spans="1:22" ht="15" outlineLevel="1" collapsed="1" x14ac:dyDescent="0.25">
      <c r="A681" s="186">
        <f>SUMIFS(МКД!$A$6:$A$389,МКД!$D$6:$D$389,Таблица1[[#This Row],[2]])</f>
        <v>121</v>
      </c>
      <c r="B681" s="194">
        <f>SUMIFS(Таблица1[6],Таблица1[2],Таблица1[[#This Row],[2]])+SUMIFS(Таблица1[7],Таблица1[2],Таблица1[[#This Row],[2]])</f>
        <v>960.30000000000007</v>
      </c>
      <c r="C681" s="185" t="s">
        <v>453</v>
      </c>
      <c r="D681" s="196"/>
      <c r="E681" s="196"/>
      <c r="F681" s="196"/>
      <c r="G681" s="168"/>
      <c r="H681" s="197"/>
      <c r="I681" s="196"/>
      <c r="J681" s="196"/>
      <c r="K681" s="196"/>
      <c r="L681" s="196"/>
      <c r="M681" s="196"/>
      <c r="N681" s="196"/>
      <c r="O681" s="196"/>
      <c r="P681" s="196"/>
      <c r="Q681" s="196"/>
      <c r="R681" s="196"/>
      <c r="S681" s="196"/>
      <c r="T681" s="196"/>
      <c r="U681" s="196"/>
      <c r="V681" s="198"/>
    </row>
    <row r="682" spans="1:22" hidden="1" outlineLevel="2" x14ac:dyDescent="0.25">
      <c r="A682" s="186">
        <f>SUMIFS(МКД!$A$6:$A$389,МКД!$D$6:$D$389,Таблица1[[#This Row],[2]])</f>
        <v>121</v>
      </c>
      <c r="B682" s="170"/>
      <c r="C682" s="182" t="s">
        <v>453</v>
      </c>
      <c r="D682" s="167" t="s">
        <v>1588</v>
      </c>
      <c r="E682" s="167" t="s">
        <v>828</v>
      </c>
      <c r="F682" s="167">
        <v>1</v>
      </c>
      <c r="G682" s="168">
        <f>SUMIFS(Таблица1[[#This Row],[8]:[19]],$I$5:$T$5,"Выкуп")</f>
        <v>126.1</v>
      </c>
      <c r="H682" s="168">
        <f>SUMIFS(Таблица1[[#This Row],[8]:[19]],$I$5:$T$5,"Аренда")</f>
        <v>0</v>
      </c>
      <c r="I682" s="169">
        <f>82.1+44</f>
        <v>126.1</v>
      </c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70"/>
      <c r="V682" s="171"/>
    </row>
    <row r="683" spans="1:22" hidden="1" outlineLevel="2" x14ac:dyDescent="0.25">
      <c r="A683" s="186">
        <f>SUMIFS(МКД!$A$6:$A$389,МКД!$D$6:$D$389,Таблица1[[#This Row],[2]])</f>
        <v>121</v>
      </c>
      <c r="B683" s="168"/>
      <c r="C683" s="182" t="s">
        <v>453</v>
      </c>
      <c r="D683" s="167" t="s">
        <v>1053</v>
      </c>
      <c r="E683" s="167" t="s">
        <v>2756</v>
      </c>
      <c r="F683" s="167">
        <v>1</v>
      </c>
      <c r="G683" s="168">
        <f>SUMIFS(Таблица1[[#This Row],[8]:[19]],$I$5:$T$5,"Выкуп")</f>
        <v>76.900000000000006</v>
      </c>
      <c r="H683" s="168">
        <f>SUMIFS(Таблица1[[#This Row],[8]:[19]],$I$5:$T$5,"Аренда")</f>
        <v>0</v>
      </c>
      <c r="I683" s="169"/>
      <c r="J683" s="169"/>
      <c r="K683" s="169"/>
      <c r="L683" s="169"/>
      <c r="M683" s="169">
        <v>76.900000000000006</v>
      </c>
      <c r="N683" s="169"/>
      <c r="O683" s="169"/>
      <c r="P683" s="169"/>
      <c r="Q683" s="169"/>
      <c r="R683" s="169"/>
      <c r="S683" s="169"/>
      <c r="T683" s="169"/>
      <c r="U683" s="170"/>
      <c r="V683" s="171"/>
    </row>
    <row r="684" spans="1:22" hidden="1" outlineLevel="2" x14ac:dyDescent="0.25">
      <c r="A684" s="186">
        <f>SUMIFS(МКД!$A$6:$A$389,МКД!$D$6:$D$389,Таблица1[[#This Row],[2]])</f>
        <v>121</v>
      </c>
      <c r="B684" s="168"/>
      <c r="C684" s="182" t="s">
        <v>453</v>
      </c>
      <c r="D684" s="167" t="s">
        <v>1053</v>
      </c>
      <c r="E684" s="167" t="s">
        <v>2754</v>
      </c>
      <c r="F684" s="167">
        <v>1</v>
      </c>
      <c r="G684" s="168">
        <f>SUMIFS(Таблица1[[#This Row],[8]:[19]],$I$5:$T$5,"Выкуп")</f>
        <v>111.2</v>
      </c>
      <c r="H684" s="168">
        <f>SUMIFS(Таблица1[[#This Row],[8]:[19]],$I$5:$T$5,"Аренда")</f>
        <v>0</v>
      </c>
      <c r="I684" s="169"/>
      <c r="J684" s="169"/>
      <c r="K684" s="169"/>
      <c r="L684" s="169"/>
      <c r="M684" s="169">
        <v>111.2</v>
      </c>
      <c r="N684" s="169"/>
      <c r="O684" s="169"/>
      <c r="P684" s="169"/>
      <c r="Q684" s="169"/>
      <c r="R684" s="169"/>
      <c r="S684" s="169"/>
      <c r="T684" s="169"/>
      <c r="U684" s="170"/>
      <c r="V684" s="171"/>
    </row>
    <row r="685" spans="1:22" hidden="1" outlineLevel="2" x14ac:dyDescent="0.25">
      <c r="A685" s="186">
        <f>SUMIFS(МКД!$A$6:$A$389,МКД!$D$6:$D$389,Таблица1[[#This Row],[2]])</f>
        <v>121</v>
      </c>
      <c r="B685" s="168"/>
      <c r="C685" s="182" t="s">
        <v>453</v>
      </c>
      <c r="D685" s="167" t="s">
        <v>2047</v>
      </c>
      <c r="E685" s="167" t="s">
        <v>987</v>
      </c>
      <c r="F685" s="167">
        <v>1</v>
      </c>
      <c r="G685" s="168">
        <f>SUMIFS(Таблица1[[#This Row],[8]:[19]],$I$5:$T$5,"Выкуп")</f>
        <v>50.6</v>
      </c>
      <c r="H685" s="168">
        <f>SUMIFS(Таблица1[[#This Row],[8]:[19]],$I$5:$T$5,"Аренда")</f>
        <v>0</v>
      </c>
      <c r="I685" s="169">
        <v>50.6</v>
      </c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70"/>
      <c r="V685" s="171"/>
    </row>
    <row r="686" spans="1:22" hidden="1" outlineLevel="2" x14ac:dyDescent="0.25">
      <c r="A686" s="186">
        <f>SUMIFS(МКД!$A$6:$A$389,МКД!$D$6:$D$389,Таблица1[[#This Row],[2]])</f>
        <v>121</v>
      </c>
      <c r="B686" s="168"/>
      <c r="C686" s="182" t="s">
        <v>453</v>
      </c>
      <c r="D686" s="167" t="s">
        <v>2046</v>
      </c>
      <c r="E686" s="167" t="s">
        <v>2045</v>
      </c>
      <c r="F686" s="167"/>
      <c r="G686" s="168">
        <f>SUMIFS(Таблица1[[#This Row],[8]:[19]],$I$5:$T$5,"Выкуп")</f>
        <v>164.4</v>
      </c>
      <c r="H686" s="168">
        <f>SUMIFS(Таблица1[[#This Row],[8]:[19]],$I$5:$T$5,"Аренда")</f>
        <v>0</v>
      </c>
      <c r="I686" s="169">
        <f>164.4</f>
        <v>164.4</v>
      </c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70"/>
      <c r="V686" s="171"/>
    </row>
    <row r="687" spans="1:22" hidden="1" outlineLevel="2" x14ac:dyDescent="0.25">
      <c r="A687" s="186">
        <f>SUMIFS(МКД!$A$6:$A$389,МКД!$D$6:$D$389,Таблица1[[#This Row],[2]])</f>
        <v>121</v>
      </c>
      <c r="B687" s="168"/>
      <c r="C687" s="182" t="s">
        <v>453</v>
      </c>
      <c r="D687" s="167" t="s">
        <v>2043</v>
      </c>
      <c r="E687" s="167" t="s">
        <v>2044</v>
      </c>
      <c r="F687" s="167"/>
      <c r="G687" s="168">
        <f>SUMIFS(Таблица1[[#This Row],[8]:[19]],$I$5:$T$5,"Выкуп")</f>
        <v>80.599999999999994</v>
      </c>
      <c r="H687" s="168">
        <f>SUMIFS(Таблица1[[#This Row],[8]:[19]],$I$5:$T$5,"Аренда")</f>
        <v>0</v>
      </c>
      <c r="I687" s="169">
        <v>80.599999999999994</v>
      </c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70"/>
      <c r="V687" s="171"/>
    </row>
    <row r="688" spans="1:22" hidden="1" outlineLevel="2" x14ac:dyDescent="0.25">
      <c r="A688" s="186">
        <f>SUMIFS(МКД!$A$6:$A$389,МКД!$D$6:$D$389,Таблица1[[#This Row],[2]])</f>
        <v>121</v>
      </c>
      <c r="B688" s="168"/>
      <c r="C688" s="182" t="s">
        <v>453</v>
      </c>
      <c r="D688" s="167" t="s">
        <v>1903</v>
      </c>
      <c r="E688" s="167" t="s">
        <v>1902</v>
      </c>
      <c r="F688" s="167">
        <v>1</v>
      </c>
      <c r="G688" s="168">
        <f>SUMIFS(Таблица1[[#This Row],[8]:[19]],$I$5:$T$5,"Выкуп")</f>
        <v>71.400000000000006</v>
      </c>
      <c r="H688" s="168">
        <f>SUMIFS(Таблица1[[#This Row],[8]:[19]],$I$5:$T$5,"Аренда")</f>
        <v>0</v>
      </c>
      <c r="I688" s="169">
        <v>71.400000000000006</v>
      </c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70"/>
      <c r="V688" s="171"/>
    </row>
    <row r="689" spans="1:22" hidden="1" outlineLevel="2" x14ac:dyDescent="0.25">
      <c r="A689" s="186">
        <f>SUMIFS(МКД!$A$6:$A$389,МКД!$D$6:$D$389,Таблица1[[#This Row],[2]])</f>
        <v>121</v>
      </c>
      <c r="B689" s="168"/>
      <c r="C689" s="182" t="s">
        <v>453</v>
      </c>
      <c r="D689" s="167" t="s">
        <v>1941</v>
      </c>
      <c r="E689" s="167" t="s">
        <v>1940</v>
      </c>
      <c r="F689" s="167">
        <v>1</v>
      </c>
      <c r="G689" s="168">
        <f>SUMIFS(Таблица1[[#This Row],[8]:[19]],$I$5:$T$5,"Выкуп")</f>
        <v>116.6</v>
      </c>
      <c r="H689" s="168">
        <f>SUMIFS(Таблица1[[#This Row],[8]:[19]],$I$5:$T$5,"Аренда")</f>
        <v>0</v>
      </c>
      <c r="I689" s="169">
        <v>116.6</v>
      </c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70"/>
      <c r="V689" s="171"/>
    </row>
    <row r="690" spans="1:22" hidden="1" outlineLevel="2" x14ac:dyDescent="0.25">
      <c r="A690" s="186">
        <f>SUMIFS(МКД!$A$6:$A$389,МКД!$D$6:$D$389,Таблица1[[#This Row],[2]])</f>
        <v>121</v>
      </c>
      <c r="B690" s="168"/>
      <c r="C690" s="182" t="s">
        <v>453</v>
      </c>
      <c r="D690" s="167" t="s">
        <v>160</v>
      </c>
      <c r="E690" s="167" t="s">
        <v>1413</v>
      </c>
      <c r="F690" s="167">
        <v>1</v>
      </c>
      <c r="G690" s="168">
        <f>SUMIFS(Таблица1[[#This Row],[8]:[19]],$I$5:$T$5,"Выкуп")</f>
        <v>46.5</v>
      </c>
      <c r="H690" s="168">
        <f>SUMIFS(Таблица1[[#This Row],[8]:[19]],$I$5:$T$5,"Аренда")</f>
        <v>0</v>
      </c>
      <c r="I690" s="169">
        <v>46.5</v>
      </c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70"/>
      <c r="V690" s="171"/>
    </row>
    <row r="691" spans="1:22" hidden="1" outlineLevel="2" x14ac:dyDescent="0.25">
      <c r="A691" s="186">
        <f>SUMIFS(МКД!$A$6:$A$389,МКД!$D$6:$D$389,Таблица1[[#This Row],[2]])</f>
        <v>121</v>
      </c>
      <c r="B691" s="168"/>
      <c r="C691" s="182" t="s">
        <v>453</v>
      </c>
      <c r="D691" s="167" t="s">
        <v>1394</v>
      </c>
      <c r="E691" s="167" t="s">
        <v>2754</v>
      </c>
      <c r="F691" s="167">
        <v>1</v>
      </c>
      <c r="G691" s="168">
        <f>SUMIFS(Таблица1[[#This Row],[8]:[19]],$I$5:$T$5,"Выкуп")</f>
        <v>116</v>
      </c>
      <c r="H691" s="168">
        <f>SUMIFS(Таблица1[[#This Row],[8]:[19]],$I$5:$T$5,"Аренда")</f>
        <v>0</v>
      </c>
      <c r="I691" s="169"/>
      <c r="J691" s="169"/>
      <c r="K691" s="169"/>
      <c r="L691" s="169"/>
      <c r="M691" s="169">
        <v>116</v>
      </c>
      <c r="N691" s="169"/>
      <c r="O691" s="169"/>
      <c r="P691" s="169"/>
      <c r="Q691" s="169"/>
      <c r="R691" s="169"/>
      <c r="S691" s="169"/>
      <c r="T691" s="169"/>
      <c r="U691" s="170"/>
      <c r="V691" s="171"/>
    </row>
    <row r="692" spans="1:22" ht="15" outlineLevel="1" collapsed="1" x14ac:dyDescent="0.25">
      <c r="A692" s="186">
        <f>SUMIFS(МКД!$A$6:$A$389,МКД!$D$6:$D$389,Таблица1[[#This Row],[2]])</f>
        <v>122</v>
      </c>
      <c r="B692" s="194">
        <f>SUMIFS(Таблица1[6],Таблица1[2],Таблица1[[#This Row],[2]])+SUMIFS(Таблица1[7],Таблица1[2],Таблица1[[#This Row],[2]])</f>
        <v>1511.8000000000002</v>
      </c>
      <c r="C692" s="185" t="s">
        <v>454</v>
      </c>
      <c r="D692" s="196"/>
      <c r="E692" s="196"/>
      <c r="F692" s="196"/>
      <c r="G692" s="168"/>
      <c r="H692" s="197"/>
      <c r="I692" s="196"/>
      <c r="J692" s="196"/>
      <c r="K692" s="196"/>
      <c r="L692" s="196"/>
      <c r="M692" s="196"/>
      <c r="N692" s="196"/>
      <c r="O692" s="196"/>
      <c r="P692" s="196"/>
      <c r="Q692" s="196"/>
      <c r="R692" s="196"/>
      <c r="S692" s="196"/>
      <c r="T692" s="196"/>
      <c r="U692" s="196"/>
      <c r="V692" s="198"/>
    </row>
    <row r="693" spans="1:22" hidden="1" outlineLevel="2" x14ac:dyDescent="0.25">
      <c r="A693" s="186">
        <f>SUMIFS(МКД!$A$6:$A$389,МКД!$D$6:$D$389,Таблица1[[#This Row],[2]])</f>
        <v>122</v>
      </c>
      <c r="B693" s="170"/>
      <c r="C693" s="182" t="s">
        <v>454</v>
      </c>
      <c r="D693" s="167" t="s">
        <v>1572</v>
      </c>
      <c r="E693" s="167" t="s">
        <v>828</v>
      </c>
      <c r="F693" s="167">
        <v>1</v>
      </c>
      <c r="G693" s="168">
        <f>SUMIFS(Таблица1[[#This Row],[8]:[19]],$I$5:$T$5,"Выкуп")</f>
        <v>332.7</v>
      </c>
      <c r="H693" s="168">
        <f>SUMIFS(Таблица1[[#This Row],[8]:[19]],$I$5:$T$5,"Аренда")</f>
        <v>0</v>
      </c>
      <c r="I693" s="169">
        <v>332.7</v>
      </c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70"/>
      <c r="V693" s="171"/>
    </row>
    <row r="694" spans="1:22" hidden="1" outlineLevel="2" x14ac:dyDescent="0.25">
      <c r="A694" s="186">
        <f>SUMIFS(МКД!$A$6:$A$389,МКД!$D$6:$D$389,Таблица1[[#This Row],[2]])</f>
        <v>122</v>
      </c>
      <c r="B694" s="168"/>
      <c r="C694" s="182" t="s">
        <v>454</v>
      </c>
      <c r="D694" s="167" t="s">
        <v>1572</v>
      </c>
      <c r="E694" s="167" t="s">
        <v>1700</v>
      </c>
      <c r="F694" s="167">
        <v>1</v>
      </c>
      <c r="G694" s="168">
        <f>SUMIFS(Таблица1[[#This Row],[8]:[19]],$I$5:$T$5,"Выкуп")</f>
        <v>285.2</v>
      </c>
      <c r="H694" s="168">
        <f>SUMIFS(Таблица1[[#This Row],[8]:[19]],$I$5:$T$5,"Аренда")</f>
        <v>0</v>
      </c>
      <c r="I694" s="169">
        <v>184.6</v>
      </c>
      <c r="J694" s="169"/>
      <c r="K694" s="169">
        <v>18.100000000000001</v>
      </c>
      <c r="L694" s="169"/>
      <c r="M694" s="169"/>
      <c r="N694" s="169"/>
      <c r="O694" s="169"/>
      <c r="P694" s="169"/>
      <c r="Q694" s="169"/>
      <c r="R694" s="169"/>
      <c r="S694" s="169">
        <v>82.5</v>
      </c>
      <c r="T694" s="169"/>
      <c r="U694" s="170"/>
      <c r="V694" s="171"/>
    </row>
    <row r="695" spans="1:22" hidden="1" outlineLevel="2" x14ac:dyDescent="0.25">
      <c r="A695" s="186">
        <f>SUMIFS(МКД!$A$6:$A$389,МКД!$D$6:$D$389,Таблица1[[#This Row],[2]])</f>
        <v>122</v>
      </c>
      <c r="B695" s="168"/>
      <c r="C695" s="182" t="s">
        <v>454</v>
      </c>
      <c r="D695" s="167" t="s">
        <v>1572</v>
      </c>
      <c r="E695" s="167" t="s">
        <v>1989</v>
      </c>
      <c r="F695" s="167">
        <v>1</v>
      </c>
      <c r="G695" s="168">
        <f>SUMIFS(Таблица1[[#This Row],[8]:[19]],$I$5:$T$5,"Выкуп")</f>
        <v>439.9</v>
      </c>
      <c r="H695" s="168">
        <f>SUMIFS(Таблица1[[#This Row],[8]:[19]],$I$5:$T$5,"Аренда")</f>
        <v>0</v>
      </c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>
        <v>439.9</v>
      </c>
      <c r="T695" s="169"/>
      <c r="U695" s="170"/>
      <c r="V695" s="171"/>
    </row>
    <row r="696" spans="1:22" hidden="1" outlineLevel="2" x14ac:dyDescent="0.25">
      <c r="A696" s="186">
        <f>SUMIFS(МКД!$A$6:$A$389,МКД!$D$6:$D$389,Таблица1[[#This Row],[2]])</f>
        <v>122</v>
      </c>
      <c r="B696" s="170"/>
      <c r="C696" s="182" t="s">
        <v>454</v>
      </c>
      <c r="D696" s="167" t="s">
        <v>1574</v>
      </c>
      <c r="E696" s="167" t="s">
        <v>1573</v>
      </c>
      <c r="F696" s="167">
        <v>1</v>
      </c>
      <c r="G696" s="168">
        <f>SUMIFS(Таблица1[[#This Row],[8]:[19]],$I$5:$T$5,"Выкуп")</f>
        <v>142.4</v>
      </c>
      <c r="H696" s="168">
        <f>SUMIFS(Таблица1[[#This Row],[8]:[19]],$I$5:$T$5,"Аренда")</f>
        <v>0</v>
      </c>
      <c r="I696" s="169">
        <v>142.4</v>
      </c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70"/>
      <c r="V696" s="171"/>
    </row>
    <row r="697" spans="1:22" hidden="1" outlineLevel="2" x14ac:dyDescent="0.25">
      <c r="A697" s="186">
        <f>SUMIFS(МКД!$A$6:$A$389,МКД!$D$6:$D$389,Таблица1[[#This Row],[2]])</f>
        <v>122</v>
      </c>
      <c r="B697" s="168"/>
      <c r="C697" s="182" t="s">
        <v>454</v>
      </c>
      <c r="D697" s="167" t="s">
        <v>1053</v>
      </c>
      <c r="E697" s="167" t="s">
        <v>2752</v>
      </c>
      <c r="F697" s="167">
        <v>1</v>
      </c>
      <c r="G697" s="168">
        <f>SUMIFS(Таблица1[[#This Row],[8]:[19]],$I$5:$T$5,"Выкуп")</f>
        <v>311.60000000000002</v>
      </c>
      <c r="H697" s="168">
        <f>SUMIFS(Таблица1[[#This Row],[8]:[19]],$I$5:$T$5,"Аренда")</f>
        <v>0</v>
      </c>
      <c r="I697" s="169"/>
      <c r="J697" s="169"/>
      <c r="K697" s="169"/>
      <c r="L697" s="169"/>
      <c r="M697" s="278">
        <v>311.60000000000002</v>
      </c>
      <c r="N697" s="169"/>
      <c r="O697" s="169"/>
      <c r="P697" s="169"/>
      <c r="Q697" s="169"/>
      <c r="R697" s="169"/>
      <c r="S697" s="169"/>
      <c r="T697" s="169"/>
      <c r="U697" s="170"/>
      <c r="V697" s="171"/>
    </row>
    <row r="698" spans="1:22" ht="15" outlineLevel="1" collapsed="1" x14ac:dyDescent="0.25">
      <c r="A698" s="186">
        <f>SUMIFS(МКД!$A$6:$A$389,МКД!$D$6:$D$389,Таблица1[[#This Row],[2]])</f>
        <v>123</v>
      </c>
      <c r="B698" s="194">
        <f>SUMIFS(Таблица1[6],Таблица1[2],Таблица1[[#This Row],[2]])+SUMIFS(Таблица1[7],Таблица1[2],Таблица1[[#This Row],[2]])</f>
        <v>1259.4000000000001</v>
      </c>
      <c r="C698" s="185" t="s">
        <v>455</v>
      </c>
      <c r="D698" s="196"/>
      <c r="E698" s="196"/>
      <c r="F698" s="196"/>
      <c r="G698" s="168"/>
      <c r="H698" s="197"/>
      <c r="I698" s="196"/>
      <c r="J698" s="196"/>
      <c r="K698" s="196"/>
      <c r="L698" s="196"/>
      <c r="M698" s="196"/>
      <c r="N698" s="196"/>
      <c r="O698" s="196"/>
      <c r="P698" s="196"/>
      <c r="Q698" s="196"/>
      <c r="R698" s="196"/>
      <c r="S698" s="196"/>
      <c r="T698" s="196"/>
      <c r="U698" s="196"/>
      <c r="V698" s="198"/>
    </row>
    <row r="699" spans="1:22" hidden="1" outlineLevel="2" x14ac:dyDescent="0.25">
      <c r="A699" s="186">
        <f>SUMIFS(МКД!$A$6:$A$389,МКД!$D$6:$D$389,Таблица1[[#This Row],[2]])</f>
        <v>123</v>
      </c>
      <c r="B699" s="170"/>
      <c r="C699" s="182" t="s">
        <v>455</v>
      </c>
      <c r="D699" s="167" t="s">
        <v>2531</v>
      </c>
      <c r="E699" s="167" t="s">
        <v>2532</v>
      </c>
      <c r="F699" s="167">
        <v>1</v>
      </c>
      <c r="G699" s="168">
        <f>SUMIFS(Таблица1[[#This Row],[8]:[19]],$I$5:$T$5,"Выкуп")</f>
        <v>283.7</v>
      </c>
      <c r="H699" s="168">
        <f>SUMIFS(Таблица1[[#This Row],[8]:[19]],$I$5:$T$5,"Аренда")</f>
        <v>0</v>
      </c>
      <c r="I699" s="169">
        <v>239.2</v>
      </c>
      <c r="J699" s="169"/>
      <c r="K699" s="169">
        <v>44.5</v>
      </c>
      <c r="L699" s="169"/>
      <c r="M699" s="169"/>
      <c r="N699" s="169"/>
      <c r="O699" s="169"/>
      <c r="P699" s="169"/>
      <c r="Q699" s="169"/>
      <c r="R699" s="169"/>
      <c r="S699" s="169"/>
      <c r="T699" s="169"/>
      <c r="U699" s="170"/>
      <c r="V699" s="171"/>
    </row>
    <row r="700" spans="1:22" hidden="1" outlineLevel="2" x14ac:dyDescent="0.25">
      <c r="A700" s="186">
        <f>SUMIFS(МКД!$A$6:$A$389,МКД!$D$6:$D$389,Таблица1[[#This Row],[2]])</f>
        <v>123</v>
      </c>
      <c r="B700" s="168"/>
      <c r="C700" s="182" t="s">
        <v>455</v>
      </c>
      <c r="D700" s="167" t="s">
        <v>1664</v>
      </c>
      <c r="E700" s="167" t="s">
        <v>1815</v>
      </c>
      <c r="F700" s="167">
        <v>1</v>
      </c>
      <c r="G700" s="168">
        <f>SUMIFS(Таблица1[[#This Row],[8]:[19]],$I$5:$T$5,"Выкуп")</f>
        <v>46.3</v>
      </c>
      <c r="H700" s="168">
        <f>SUMIFS(Таблица1[[#This Row],[8]:[19]],$I$5:$T$5,"Аренда")</f>
        <v>0</v>
      </c>
      <c r="I700" s="169"/>
      <c r="J700" s="169"/>
      <c r="K700" s="169">
        <v>46.3</v>
      </c>
      <c r="L700" s="169"/>
      <c r="M700" s="169"/>
      <c r="N700" s="169"/>
      <c r="O700" s="169"/>
      <c r="P700" s="169"/>
      <c r="Q700" s="169"/>
      <c r="R700" s="169"/>
      <c r="S700" s="169"/>
      <c r="T700" s="169"/>
      <c r="U700" s="170"/>
      <c r="V700" s="171"/>
    </row>
    <row r="701" spans="1:22" hidden="1" outlineLevel="2" x14ac:dyDescent="0.25">
      <c r="A701" s="186">
        <f>SUMIFS(МКД!$A$6:$A$389,МКД!$D$6:$D$389,Таблица1[[#This Row],[2]])</f>
        <v>123</v>
      </c>
      <c r="B701" s="168"/>
      <c r="C701" s="182" t="s">
        <v>455</v>
      </c>
      <c r="D701" s="167" t="s">
        <v>1593</v>
      </c>
      <c r="E701" s="273" t="s">
        <v>1744</v>
      </c>
      <c r="F701" s="167">
        <v>1</v>
      </c>
      <c r="G701" s="168">
        <f>SUMIFS(Таблица1[[#This Row],[8]:[19]],$I$5:$T$5,"Выкуп")</f>
        <v>305.10000000000002</v>
      </c>
      <c r="H701" s="168">
        <f>SUMIFS(Таблица1[[#This Row],[8]:[19]],$I$5:$T$5,"Аренда")</f>
        <v>0</v>
      </c>
      <c r="I701" s="169"/>
      <c r="J701" s="169"/>
      <c r="K701" s="169">
        <v>305.10000000000002</v>
      </c>
      <c r="L701" s="169"/>
      <c r="M701" s="169"/>
      <c r="N701" s="169"/>
      <c r="O701" s="169"/>
      <c r="P701" s="169"/>
      <c r="Q701" s="169"/>
      <c r="R701" s="169"/>
      <c r="S701" s="169"/>
      <c r="T701" s="169"/>
      <c r="U701" s="170"/>
      <c r="V701" s="171"/>
    </row>
    <row r="702" spans="1:22" hidden="1" outlineLevel="2" x14ac:dyDescent="0.25">
      <c r="A702" s="186">
        <f>SUMIFS(МКД!$A$6:$A$389,МКД!$D$6:$D$389,Таблица1[[#This Row],[2]])</f>
        <v>123</v>
      </c>
      <c r="B702" s="168"/>
      <c r="C702" s="182" t="s">
        <v>455</v>
      </c>
      <c r="D702" s="167" t="s">
        <v>2807</v>
      </c>
      <c r="E702" s="167" t="s">
        <v>161</v>
      </c>
      <c r="F702" s="167">
        <v>1</v>
      </c>
      <c r="G702" s="168">
        <f>SUMIFS(Таблица1[[#This Row],[8]:[19]],$I$5:$T$5,"Выкуп")</f>
        <v>125</v>
      </c>
      <c r="H702" s="168">
        <f>SUMIFS(Таблица1[[#This Row],[8]:[19]],$I$5:$T$5,"Аренда")</f>
        <v>0</v>
      </c>
      <c r="I702" s="169"/>
      <c r="J702" s="169"/>
      <c r="K702" s="169">
        <v>125</v>
      </c>
      <c r="L702" s="169"/>
      <c r="M702" s="169"/>
      <c r="N702" s="169"/>
      <c r="O702" s="169"/>
      <c r="P702" s="169"/>
      <c r="Q702" s="169"/>
      <c r="R702" s="169"/>
      <c r="S702" s="169"/>
      <c r="T702" s="169"/>
      <c r="U702" s="170"/>
      <c r="V702" s="171"/>
    </row>
    <row r="703" spans="1:22" hidden="1" outlineLevel="2" x14ac:dyDescent="0.25">
      <c r="A703" s="186">
        <f>SUMIFS(МКД!$A$6:$A$389,МКД!$D$6:$D$389,Таблица1[[#This Row],[2]])</f>
        <v>123</v>
      </c>
      <c r="B703" s="168"/>
      <c r="C703" s="182" t="s">
        <v>455</v>
      </c>
      <c r="D703" s="167" t="s">
        <v>1522</v>
      </c>
      <c r="E703" s="167" t="s">
        <v>960</v>
      </c>
      <c r="F703" s="167">
        <v>1</v>
      </c>
      <c r="G703" s="168">
        <f>SUMIFS(Таблица1[[#This Row],[8]:[19]],$I$5:$T$5,"Выкуп")</f>
        <v>132.6</v>
      </c>
      <c r="H703" s="168">
        <f>SUMIFS(Таблица1[[#This Row],[8]:[19]],$I$5:$T$5,"Аренда")</f>
        <v>0</v>
      </c>
      <c r="I703" s="169">
        <f>248.2-115.6</f>
        <v>132.6</v>
      </c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70"/>
      <c r="V703" s="171"/>
    </row>
    <row r="704" spans="1:22" hidden="1" outlineLevel="2" x14ac:dyDescent="0.25">
      <c r="A704" s="186">
        <f>SUMIFS(МКД!$A$6:$A$389,МКД!$D$6:$D$389,Таблица1[[#This Row],[2]])</f>
        <v>123</v>
      </c>
      <c r="B704" s="168"/>
      <c r="C704" s="182" t="s">
        <v>455</v>
      </c>
      <c r="D704" s="167" t="s">
        <v>1522</v>
      </c>
      <c r="E704" s="167" t="s">
        <v>228</v>
      </c>
      <c r="F704" s="167">
        <v>1</v>
      </c>
      <c r="G704" s="168">
        <f>SUMIFS(Таблица1[[#This Row],[8]:[19]],$I$5:$T$5,"Выкуп")</f>
        <v>115.6</v>
      </c>
      <c r="H704" s="168">
        <f>SUMIFS(Таблица1[[#This Row],[8]:[19]],$I$5:$T$5,"Аренда")</f>
        <v>0</v>
      </c>
      <c r="I704" s="169">
        <v>115.6</v>
      </c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70"/>
      <c r="V704" s="171"/>
    </row>
    <row r="705" spans="1:22" hidden="1" outlineLevel="2" x14ac:dyDescent="0.25">
      <c r="A705" s="186">
        <f>SUMIFS(МКД!$A$6:$A$389,МКД!$D$6:$D$389,Таблица1[[#This Row],[2]])</f>
        <v>123</v>
      </c>
      <c r="B705" s="168"/>
      <c r="C705" s="182" t="s">
        <v>455</v>
      </c>
      <c r="D705" s="167" t="s">
        <v>1886</v>
      </c>
      <c r="E705" s="167" t="s">
        <v>1867</v>
      </c>
      <c r="F705" s="167">
        <v>1</v>
      </c>
      <c r="G705" s="168">
        <f>SUMIFS(Таблица1[[#This Row],[8]:[19]],$I$5:$T$5,"Выкуп")</f>
        <v>86.4</v>
      </c>
      <c r="H705" s="168">
        <f>SUMIFS(Таблица1[[#This Row],[8]:[19]],$I$5:$T$5,"Аренда")</f>
        <v>0</v>
      </c>
      <c r="I705" s="169">
        <v>86.4</v>
      </c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70"/>
      <c r="V705" s="171"/>
    </row>
    <row r="706" spans="1:22" hidden="1" outlineLevel="2" x14ac:dyDescent="0.25">
      <c r="A706" s="186">
        <f>SUMIFS(МКД!$A$6:$A$389,МКД!$D$6:$D$389,Таблица1[[#This Row],[2]])</f>
        <v>123</v>
      </c>
      <c r="B706" s="168"/>
      <c r="C706" s="182" t="s">
        <v>455</v>
      </c>
      <c r="D706" s="167" t="s">
        <v>162</v>
      </c>
      <c r="E706" s="167" t="s">
        <v>988</v>
      </c>
      <c r="F706" s="167">
        <v>1</v>
      </c>
      <c r="G706" s="168">
        <f>SUMIFS(Таблица1[[#This Row],[8]:[19]],$I$5:$T$5,"Выкуп")</f>
        <v>48.5</v>
      </c>
      <c r="H706" s="168">
        <f>SUMIFS(Таблица1[[#This Row],[8]:[19]],$I$5:$T$5,"Аренда")</f>
        <v>0</v>
      </c>
      <c r="I706" s="169">
        <v>48.5</v>
      </c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70"/>
      <c r="V706" s="171"/>
    </row>
    <row r="707" spans="1:22" hidden="1" outlineLevel="2" x14ac:dyDescent="0.25">
      <c r="A707" s="186">
        <f>SUMIFS(МКД!$A$6:$A$389,МКД!$D$6:$D$389,Таблица1[[#This Row],[2]])</f>
        <v>123</v>
      </c>
      <c r="B707" s="168"/>
      <c r="C707" s="182" t="s">
        <v>455</v>
      </c>
      <c r="D707" s="167" t="s">
        <v>1394</v>
      </c>
      <c r="E707" s="167" t="s">
        <v>2829</v>
      </c>
      <c r="F707" s="167">
        <v>1</v>
      </c>
      <c r="G707" s="168">
        <f>SUMIFS(Таблица1[[#This Row],[8]:[19]],$I$5:$T$5,"Выкуп")</f>
        <v>116.2</v>
      </c>
      <c r="H707" s="168">
        <f>SUMIFS(Таблица1[[#This Row],[8]:[19]],$I$5:$T$5,"Аренда")</f>
        <v>0</v>
      </c>
      <c r="I707" s="169"/>
      <c r="J707" s="169"/>
      <c r="K707" s="169"/>
      <c r="L707" s="169"/>
      <c r="M707" s="169">
        <v>116.2</v>
      </c>
      <c r="N707" s="169"/>
      <c r="O707" s="169"/>
      <c r="P707" s="169"/>
      <c r="Q707" s="169"/>
      <c r="R707" s="169"/>
      <c r="S707" s="169"/>
      <c r="T707" s="169"/>
      <c r="U707" s="170"/>
      <c r="V707" s="171"/>
    </row>
    <row r="708" spans="1:22" ht="15" outlineLevel="1" collapsed="1" x14ac:dyDescent="0.25">
      <c r="A708" s="186">
        <f>SUMIFS(МКД!$A$6:$A$389,МКД!$D$6:$D$389,Таблица1[[#This Row],[2]])</f>
        <v>124</v>
      </c>
      <c r="B708" s="194">
        <f>SUMIFS(Таблица1[6],Таблица1[2],Таблица1[[#This Row],[2]])+SUMIFS(Таблица1[7],Таблица1[2],Таблица1[[#This Row],[2]])</f>
        <v>859.88</v>
      </c>
      <c r="C708" s="185" t="s">
        <v>456</v>
      </c>
      <c r="D708" s="196"/>
      <c r="E708" s="196"/>
      <c r="F708" s="196"/>
      <c r="G708" s="168"/>
      <c r="H708" s="197"/>
      <c r="I708" s="196"/>
      <c r="J708" s="196"/>
      <c r="K708" s="196"/>
      <c r="L708" s="196"/>
      <c r="M708" s="196"/>
      <c r="N708" s="196"/>
      <c r="O708" s="196"/>
      <c r="P708" s="196"/>
      <c r="Q708" s="196"/>
      <c r="R708" s="196"/>
      <c r="S708" s="196"/>
      <c r="T708" s="196"/>
      <c r="U708" s="196"/>
      <c r="V708" s="198"/>
    </row>
    <row r="709" spans="1:22" hidden="1" outlineLevel="2" x14ac:dyDescent="0.25">
      <c r="A709" s="186">
        <f>SUMIFS(МКД!$A$6:$A$389,МКД!$D$6:$D$389,Таблица1[[#This Row],[2]])</f>
        <v>124</v>
      </c>
      <c r="B709" s="170"/>
      <c r="C709" s="182" t="s">
        <v>456</v>
      </c>
      <c r="D709" s="167" t="s">
        <v>1872</v>
      </c>
      <c r="E709" s="167" t="s">
        <v>1684</v>
      </c>
      <c r="F709" s="167">
        <v>1</v>
      </c>
      <c r="G709" s="168">
        <f>SUMIFS(Таблица1[[#This Row],[8]:[19]],$I$5:$T$5,"Выкуп")</f>
        <v>357.3</v>
      </c>
      <c r="H709" s="168">
        <f>SUMIFS(Таблица1[[#This Row],[8]:[19]],$I$5:$T$5,"Аренда")</f>
        <v>0</v>
      </c>
      <c r="I709" s="169">
        <v>357.3</v>
      </c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70"/>
      <c r="V709" s="171"/>
    </row>
    <row r="710" spans="1:22" hidden="1" outlineLevel="2" x14ac:dyDescent="0.25">
      <c r="A710" s="186">
        <f>SUMIFS(МКД!$A$6:$A$389,МКД!$D$6:$D$389,Таблица1[[#This Row],[2]])</f>
        <v>124</v>
      </c>
      <c r="B710" s="168"/>
      <c r="C710" s="182" t="s">
        <v>456</v>
      </c>
      <c r="D710" s="167" t="s">
        <v>1521</v>
      </c>
      <c r="E710" s="167" t="s">
        <v>1538</v>
      </c>
      <c r="F710" s="167">
        <v>1</v>
      </c>
      <c r="G710" s="168">
        <f>SUMIFS(Таблица1[[#This Row],[8]:[19]],$I$5:$T$5,"Выкуп")</f>
        <v>317</v>
      </c>
      <c r="H710" s="168">
        <f>SUMIFS(Таблица1[[#This Row],[8]:[19]],$I$5:$T$5,"Аренда")</f>
        <v>0</v>
      </c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>
        <v>317</v>
      </c>
      <c r="T710" s="169"/>
      <c r="U710" s="170"/>
      <c r="V710" s="171"/>
    </row>
    <row r="711" spans="1:22" hidden="1" outlineLevel="2" x14ac:dyDescent="0.25">
      <c r="A711" s="186">
        <f>SUMIFS(МКД!$A$6:$A$389,МКД!$D$6:$D$389,Таблица1[[#This Row],[2]])</f>
        <v>124</v>
      </c>
      <c r="B711" s="168"/>
      <c r="C711" s="182" t="s">
        <v>456</v>
      </c>
      <c r="D711" s="167" t="s">
        <v>1593</v>
      </c>
      <c r="E711" s="273" t="s">
        <v>1735</v>
      </c>
      <c r="F711" s="167">
        <v>1</v>
      </c>
      <c r="G711" s="168">
        <f>SUMIFS(Таблица1[[#This Row],[8]:[19]],$I$5:$T$5,"Выкуп")</f>
        <v>55.08</v>
      </c>
      <c r="H711" s="168">
        <f>SUMIFS(Таблица1[[#This Row],[8]:[19]],$I$5:$T$5,"Аренда")</f>
        <v>0</v>
      </c>
      <c r="I711" s="169"/>
      <c r="J711" s="169"/>
      <c r="K711" s="169">
        <v>55.08</v>
      </c>
      <c r="L711" s="169"/>
      <c r="M711" s="169"/>
      <c r="N711" s="169"/>
      <c r="O711" s="169"/>
      <c r="P711" s="169"/>
      <c r="Q711" s="169"/>
      <c r="R711" s="169"/>
      <c r="S711" s="169"/>
      <c r="T711" s="169"/>
      <c r="U711" s="170"/>
      <c r="V711" s="171"/>
    </row>
    <row r="712" spans="1:22" hidden="1" outlineLevel="2" x14ac:dyDescent="0.25">
      <c r="A712" s="186">
        <f>SUMIFS(МКД!$A$6:$A$389,МКД!$D$6:$D$389,Таблица1[[#This Row],[2]])</f>
        <v>124</v>
      </c>
      <c r="B712" s="170"/>
      <c r="C712" s="182" t="s">
        <v>456</v>
      </c>
      <c r="D712" s="167" t="s">
        <v>1053</v>
      </c>
      <c r="E712" s="167" t="s">
        <v>2752</v>
      </c>
      <c r="F712" s="167">
        <v>1</v>
      </c>
      <c r="G712" s="168">
        <f>SUMIFS(Таблица1[[#This Row],[8]:[19]],$I$5:$T$5,"Выкуп")</f>
        <v>74.3</v>
      </c>
      <c r="H712" s="168">
        <f>SUMIFS(Таблица1[[#This Row],[8]:[19]],$I$5:$T$5,"Аренда")</f>
        <v>0</v>
      </c>
      <c r="I712" s="169"/>
      <c r="J712" s="169"/>
      <c r="K712" s="169"/>
      <c r="L712" s="169"/>
      <c r="M712" s="169">
        <v>74.3</v>
      </c>
      <c r="N712" s="169"/>
      <c r="O712" s="169"/>
      <c r="P712" s="169"/>
      <c r="Q712" s="169"/>
      <c r="R712" s="169"/>
      <c r="S712" s="169"/>
      <c r="T712" s="169"/>
      <c r="U712" s="170"/>
      <c r="V712" s="171"/>
    </row>
    <row r="713" spans="1:22" hidden="1" outlineLevel="2" x14ac:dyDescent="0.25">
      <c r="A713" s="186">
        <f>SUMIFS(МКД!$A$6:$A$389,МКД!$D$6:$D$389,Таблица1[[#This Row],[2]])</f>
        <v>124</v>
      </c>
      <c r="B713" s="168"/>
      <c r="C713" s="182" t="s">
        <v>456</v>
      </c>
      <c r="D713" s="167" t="s">
        <v>163</v>
      </c>
      <c r="E713" s="167" t="s">
        <v>164</v>
      </c>
      <c r="F713" s="167">
        <v>1</v>
      </c>
      <c r="G713" s="168">
        <f>SUMIFS(Таблица1[[#This Row],[8]:[19]],$I$5:$T$5,"Выкуп")</f>
        <v>14.5</v>
      </c>
      <c r="H713" s="168">
        <f>SUMIFS(Таблица1[[#This Row],[8]:[19]],$I$5:$T$5,"Аренда")</f>
        <v>0</v>
      </c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>
        <v>14.5</v>
      </c>
      <c r="T713" s="169"/>
      <c r="U713" s="170"/>
      <c r="V713" s="171"/>
    </row>
    <row r="714" spans="1:22" hidden="1" outlineLevel="2" x14ac:dyDescent="0.25">
      <c r="A714" s="186">
        <f>SUMIFS(МКД!$A$6:$A$389,МКД!$D$6:$D$389,Таблица1[[#This Row],[2]])</f>
        <v>124</v>
      </c>
      <c r="B714" s="168"/>
      <c r="C714" s="182" t="s">
        <v>456</v>
      </c>
      <c r="D714" s="167" t="s">
        <v>165</v>
      </c>
      <c r="E714" s="167" t="s">
        <v>166</v>
      </c>
      <c r="F714" s="167">
        <v>1</v>
      </c>
      <c r="G714" s="168">
        <f>SUMIFS(Таблица1[[#This Row],[8]:[19]],$I$5:$T$5,"Выкуп")</f>
        <v>14.1</v>
      </c>
      <c r="H714" s="168">
        <f>SUMIFS(Таблица1[[#This Row],[8]:[19]],$I$5:$T$5,"Аренда")</f>
        <v>0</v>
      </c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>
        <v>14.1</v>
      </c>
      <c r="T714" s="169"/>
      <c r="U714" s="170"/>
      <c r="V714" s="171"/>
    </row>
    <row r="715" spans="1:22" hidden="1" outlineLevel="2" x14ac:dyDescent="0.25">
      <c r="A715" s="186">
        <f>SUMIFS(МКД!$A$6:$A$389,МКД!$D$6:$D$389,Таблица1[[#This Row],[2]])</f>
        <v>124</v>
      </c>
      <c r="B715" s="168"/>
      <c r="C715" s="182" t="s">
        <v>456</v>
      </c>
      <c r="D715" s="167" t="s">
        <v>2643</v>
      </c>
      <c r="E715" s="167" t="s">
        <v>2642</v>
      </c>
      <c r="F715" s="167">
        <v>1</v>
      </c>
      <c r="G715" s="168">
        <f>SUMIFS(Таблица1[[#This Row],[8]:[19]],$I$5:$T$5,"Выкуп")</f>
        <v>14.4</v>
      </c>
      <c r="H715" s="168">
        <f>SUMIFS(Таблица1[[#This Row],[8]:[19]],$I$5:$T$5,"Аренда")</f>
        <v>0</v>
      </c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>
        <v>14.4</v>
      </c>
      <c r="T715" s="169"/>
      <c r="U715" s="170"/>
      <c r="V715" s="171"/>
    </row>
    <row r="716" spans="1:22" hidden="1" outlineLevel="2" x14ac:dyDescent="0.25">
      <c r="A716" s="186">
        <f>SUMIFS(МКД!$A$6:$A$389,МКД!$D$6:$D$389,Таблица1[[#This Row],[2]])</f>
        <v>124</v>
      </c>
      <c r="B716" s="168"/>
      <c r="C716" s="182" t="s">
        <v>456</v>
      </c>
      <c r="D716" s="167" t="s">
        <v>730</v>
      </c>
      <c r="E716" s="167" t="s">
        <v>167</v>
      </c>
      <c r="F716" s="167">
        <v>1</v>
      </c>
      <c r="G716" s="168">
        <f>SUMIFS(Таблица1[[#This Row],[8]:[19]],$I$5:$T$5,"Выкуп")</f>
        <v>13.2</v>
      </c>
      <c r="H716" s="168">
        <f>SUMIFS(Таблица1[[#This Row],[8]:[19]],$I$5:$T$5,"Аренда")</f>
        <v>0</v>
      </c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>
        <v>13.2</v>
      </c>
      <c r="T716" s="169"/>
      <c r="U716" s="170"/>
      <c r="V716" s="171"/>
    </row>
    <row r="717" spans="1:22" ht="15" outlineLevel="1" collapsed="1" x14ac:dyDescent="0.25">
      <c r="A717" s="186">
        <f>SUMIFS(МКД!$A$6:$A$389,МКД!$D$6:$D$389,Таблица1[[#This Row],[2]])</f>
        <v>125</v>
      </c>
      <c r="B717" s="194">
        <f>SUMIFS(Таблица1[6],Таблица1[2],Таблица1[[#This Row],[2]])+SUMIFS(Таблица1[7],Таблица1[2],Таблица1[[#This Row],[2]])</f>
        <v>1527.1999999999998</v>
      </c>
      <c r="C717" s="185" t="s">
        <v>457</v>
      </c>
      <c r="D717" s="196"/>
      <c r="E717" s="196"/>
      <c r="F717" s="196"/>
      <c r="G717" s="168"/>
      <c r="H717" s="197"/>
      <c r="I717" s="196"/>
      <c r="J717" s="196"/>
      <c r="K717" s="196"/>
      <c r="L717" s="196"/>
      <c r="M717" s="196"/>
      <c r="N717" s="196"/>
      <c r="O717" s="196"/>
      <c r="P717" s="196"/>
      <c r="Q717" s="196"/>
      <c r="R717" s="196"/>
      <c r="S717" s="196"/>
      <c r="T717" s="196"/>
      <c r="U717" s="196"/>
      <c r="V717" s="198"/>
    </row>
    <row r="718" spans="1:22" hidden="1" outlineLevel="2" x14ac:dyDescent="0.25">
      <c r="A718" s="186">
        <f>SUMIFS(МКД!$A$6:$A$389,МКД!$D$6:$D$389,Таблица1[[#This Row],[2]])</f>
        <v>125</v>
      </c>
      <c r="B718" s="170"/>
      <c r="C718" s="182" t="s">
        <v>457</v>
      </c>
      <c r="D718" s="167" t="s">
        <v>778</v>
      </c>
      <c r="E718" s="167" t="s">
        <v>731</v>
      </c>
      <c r="F718" s="167">
        <v>1</v>
      </c>
      <c r="G718" s="168">
        <f>SUMIFS(Таблица1[[#This Row],[8]:[19]],$I$5:$T$5,"Выкуп")</f>
        <v>492.3</v>
      </c>
      <c r="H718" s="168">
        <f>SUMIFS(Таблица1[[#This Row],[8]:[19]],$I$5:$T$5,"Аренда")</f>
        <v>0</v>
      </c>
      <c r="I718" s="169">
        <v>249.4</v>
      </c>
      <c r="J718" s="169"/>
      <c r="K718" s="169">
        <v>242.9</v>
      </c>
      <c r="L718" s="169"/>
      <c r="M718" s="169"/>
      <c r="N718" s="169"/>
      <c r="O718" s="169"/>
      <c r="P718" s="169"/>
      <c r="Q718" s="169"/>
      <c r="R718" s="169"/>
      <c r="S718" s="169"/>
      <c r="T718" s="169"/>
      <c r="U718" s="170"/>
      <c r="V718" s="171"/>
    </row>
    <row r="719" spans="1:22" hidden="1" outlineLevel="2" x14ac:dyDescent="0.25">
      <c r="A719" s="186">
        <f>SUMIFS(МКД!$A$6:$A$389,МКД!$D$6:$D$389,Таблица1[[#This Row],[2]])</f>
        <v>125</v>
      </c>
      <c r="B719" s="168"/>
      <c r="C719" s="182" t="s">
        <v>457</v>
      </c>
      <c r="D719" s="167" t="s">
        <v>168</v>
      </c>
      <c r="E719" s="167" t="s">
        <v>2123</v>
      </c>
      <c r="F719" s="167">
        <v>1</v>
      </c>
      <c r="G719" s="168">
        <f>SUMIFS(Таблица1[[#This Row],[8]:[19]],$I$5:$T$5,"Выкуп")</f>
        <v>43.5</v>
      </c>
      <c r="H719" s="168">
        <f>SUMIFS(Таблица1[[#This Row],[8]:[19]],$I$5:$T$5,"Аренда")</f>
        <v>0</v>
      </c>
      <c r="I719" s="169">
        <v>43.5</v>
      </c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70"/>
      <c r="V719" s="171"/>
    </row>
    <row r="720" spans="1:22" hidden="1" outlineLevel="2" x14ac:dyDescent="0.25">
      <c r="A720" s="186">
        <f>SUMIFS(МКД!$A$6:$A$389,МКД!$D$6:$D$389,Таблица1[[#This Row],[2]])</f>
        <v>125</v>
      </c>
      <c r="B720" s="168"/>
      <c r="C720" s="182" t="s">
        <v>457</v>
      </c>
      <c r="D720" s="167" t="s">
        <v>780</v>
      </c>
      <c r="E720" s="167" t="s">
        <v>67</v>
      </c>
      <c r="F720" s="167">
        <v>1</v>
      </c>
      <c r="G720" s="168">
        <f>SUMIFS(Таблица1[[#This Row],[8]:[19]],$I$5:$T$5,"Выкуп")</f>
        <v>502.3</v>
      </c>
      <c r="H720" s="168">
        <f>SUMIFS(Таблица1[[#This Row],[8]:[19]],$I$5:$T$5,"Аренда")</f>
        <v>0</v>
      </c>
      <c r="I720" s="169">
        <v>265.10000000000002</v>
      </c>
      <c r="J720" s="169"/>
      <c r="K720" s="169">
        <v>237.2</v>
      </c>
      <c r="L720" s="169"/>
      <c r="M720" s="169"/>
      <c r="N720" s="169"/>
      <c r="O720" s="169"/>
      <c r="P720" s="169"/>
      <c r="Q720" s="169"/>
      <c r="R720" s="169"/>
      <c r="S720" s="169"/>
      <c r="T720" s="169"/>
      <c r="U720" s="170"/>
      <c r="V720" s="171"/>
    </row>
    <row r="721" spans="1:22" hidden="1" outlineLevel="2" x14ac:dyDescent="0.25">
      <c r="A721" s="186">
        <f>SUMIFS(МКД!$A$6:$A$389,МКД!$D$6:$D$389,Таблица1[[#This Row],[2]])</f>
        <v>125</v>
      </c>
      <c r="B721" s="168"/>
      <c r="C721" s="182" t="s">
        <v>457</v>
      </c>
      <c r="D721" s="167" t="s">
        <v>169</v>
      </c>
      <c r="E721" s="167" t="s">
        <v>960</v>
      </c>
      <c r="F721" s="167">
        <v>1</v>
      </c>
      <c r="G721" s="168">
        <f>SUMIFS(Таблица1[[#This Row],[8]:[19]],$I$5:$T$5,"Выкуп")</f>
        <v>270.8</v>
      </c>
      <c r="H721" s="168">
        <f>SUMIFS(Таблица1[[#This Row],[8]:[19]],$I$5:$T$5,"Аренда")</f>
        <v>0</v>
      </c>
      <c r="I721" s="169">
        <v>119.3</v>
      </c>
      <c r="J721" s="169"/>
      <c r="K721" s="169">
        <v>151.5</v>
      </c>
      <c r="L721" s="169"/>
      <c r="M721" s="169"/>
      <c r="N721" s="169"/>
      <c r="O721" s="169"/>
      <c r="P721" s="169"/>
      <c r="Q721" s="169"/>
      <c r="R721" s="169"/>
      <c r="S721" s="169"/>
      <c r="T721" s="169"/>
      <c r="U721" s="170"/>
      <c r="V721" s="171"/>
    </row>
    <row r="722" spans="1:22" hidden="1" outlineLevel="2" x14ac:dyDescent="0.25">
      <c r="A722" s="186">
        <f>SUMIFS(МКД!$A$6:$A$389,МКД!$D$6:$D$389,Таблица1[[#This Row],[2]])</f>
        <v>125</v>
      </c>
      <c r="B722" s="168"/>
      <c r="C722" s="182" t="s">
        <v>457</v>
      </c>
      <c r="D722" s="167" t="s">
        <v>1394</v>
      </c>
      <c r="E722" s="167" t="s">
        <v>2752</v>
      </c>
      <c r="F722" s="167">
        <v>1</v>
      </c>
      <c r="G722" s="168">
        <f>SUMIFS(Таблица1[[#This Row],[8]:[19]],$I$5:$T$5,"Выкуп")</f>
        <v>218.3</v>
      </c>
      <c r="H722" s="168">
        <f>SUMIFS(Таблица1[[#This Row],[8]:[19]],$I$5:$T$5,"Аренда")</f>
        <v>0</v>
      </c>
      <c r="I722" s="169"/>
      <c r="J722" s="169"/>
      <c r="K722" s="169"/>
      <c r="L722" s="169"/>
      <c r="M722" s="169">
        <v>218.3</v>
      </c>
      <c r="N722" s="169"/>
      <c r="O722" s="169"/>
      <c r="P722" s="169"/>
      <c r="Q722" s="169"/>
      <c r="R722" s="169"/>
      <c r="S722" s="169"/>
      <c r="T722" s="169"/>
      <c r="U722" s="170"/>
      <c r="V722" s="171"/>
    </row>
    <row r="723" spans="1:22" ht="15" outlineLevel="1" collapsed="1" x14ac:dyDescent="0.25">
      <c r="A723" s="186">
        <f>SUMIFS(МКД!$A$6:$A$389,МКД!$D$6:$D$389,Таблица1[[#This Row],[2]])</f>
        <v>126</v>
      </c>
      <c r="B723" s="194">
        <f>SUMIFS(Таблица1[6],Таблица1[2],Таблица1[[#This Row],[2]])+SUMIFS(Таблица1[7],Таблица1[2],Таблица1[[#This Row],[2]])</f>
        <v>290.39999999999998</v>
      </c>
      <c r="C723" s="185" t="s">
        <v>458</v>
      </c>
      <c r="D723" s="196"/>
      <c r="E723" s="196"/>
      <c r="F723" s="196"/>
      <c r="G723" s="168"/>
      <c r="H723" s="197"/>
      <c r="I723" s="196"/>
      <c r="J723" s="196"/>
      <c r="K723" s="196"/>
      <c r="L723" s="196"/>
      <c r="M723" s="196"/>
      <c r="N723" s="196"/>
      <c r="O723" s="196"/>
      <c r="P723" s="196"/>
      <c r="Q723" s="196"/>
      <c r="R723" s="196"/>
      <c r="S723" s="196"/>
      <c r="T723" s="196"/>
      <c r="U723" s="196"/>
      <c r="V723" s="198"/>
    </row>
    <row r="724" spans="1:22" hidden="1" outlineLevel="2" x14ac:dyDescent="0.25">
      <c r="A724" s="186">
        <f>SUMIFS(МКД!$A$6:$A$389,МКД!$D$6:$D$389,Таблица1[[#This Row],[2]])</f>
        <v>126</v>
      </c>
      <c r="B724" s="170"/>
      <c r="C724" s="182" t="s">
        <v>458</v>
      </c>
      <c r="D724" s="167" t="s">
        <v>1419</v>
      </c>
      <c r="E724" s="167" t="s">
        <v>1420</v>
      </c>
      <c r="F724" s="167">
        <v>1</v>
      </c>
      <c r="G724" s="168">
        <f>SUMIFS(Таблица1[[#This Row],[8]:[19]],$I$5:$T$5,"Выкуп")</f>
        <v>135.69999999999999</v>
      </c>
      <c r="H724" s="168">
        <f>SUMIFS(Таблица1[[#This Row],[8]:[19]],$I$5:$T$5,"Аренда")</f>
        <v>0</v>
      </c>
      <c r="I724" s="169">
        <v>135.69999999999999</v>
      </c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70"/>
      <c r="V724" s="171"/>
    </row>
    <row r="725" spans="1:22" hidden="1" outlineLevel="2" x14ac:dyDescent="0.25">
      <c r="A725" s="186">
        <f>SUMIFS(МКД!$A$6:$A$389,МКД!$D$6:$D$389,Таблица1[[#This Row],[2]])</f>
        <v>126</v>
      </c>
      <c r="B725" s="170"/>
      <c r="C725" s="182" t="s">
        <v>458</v>
      </c>
      <c r="D725" s="167" t="s">
        <v>1053</v>
      </c>
      <c r="E725" s="167" t="s">
        <v>2752</v>
      </c>
      <c r="F725" s="167">
        <v>1</v>
      </c>
      <c r="G725" s="168">
        <f>SUMIFS(Таблица1[[#This Row],[8]:[19]],$I$5:$T$5,"Выкуп")</f>
        <v>154.69999999999999</v>
      </c>
      <c r="H725" s="168">
        <f>SUMIFS(Таблица1[[#This Row],[8]:[19]],$I$5:$T$5,"Аренда")</f>
        <v>0</v>
      </c>
      <c r="I725" s="169"/>
      <c r="J725" s="169"/>
      <c r="K725" s="169"/>
      <c r="L725" s="169"/>
      <c r="M725" s="169">
        <v>154.69999999999999</v>
      </c>
      <c r="N725" s="169"/>
      <c r="O725" s="169"/>
      <c r="P725" s="169"/>
      <c r="Q725" s="169"/>
      <c r="R725" s="169"/>
      <c r="S725" s="169"/>
      <c r="T725" s="169"/>
      <c r="U725" s="170"/>
      <c r="V725" s="171"/>
    </row>
    <row r="726" spans="1:22" ht="15" outlineLevel="1" collapsed="1" x14ac:dyDescent="0.25">
      <c r="A726" s="186">
        <f>SUMIFS(МКД!$A$6:$A$389,МКД!$D$6:$D$389,Таблица1[[#This Row],[2]])</f>
        <v>127</v>
      </c>
      <c r="B726" s="194">
        <f>SUMIFS(Таблица1[6],Таблица1[2],Таблица1[[#This Row],[2]])+SUMIFS(Таблица1[7],Таблица1[2],Таблица1[[#This Row],[2]])</f>
        <v>1251.5</v>
      </c>
      <c r="C726" s="185" t="s">
        <v>599</v>
      </c>
      <c r="D726" s="196"/>
      <c r="E726" s="196"/>
      <c r="F726" s="196"/>
      <c r="G726" s="168"/>
      <c r="H726" s="197"/>
      <c r="I726" s="196"/>
      <c r="J726" s="196"/>
      <c r="K726" s="196"/>
      <c r="L726" s="196"/>
      <c r="M726" s="196"/>
      <c r="N726" s="196"/>
      <c r="O726" s="196"/>
      <c r="P726" s="196"/>
      <c r="Q726" s="196"/>
      <c r="R726" s="196"/>
      <c r="S726" s="196"/>
      <c r="T726" s="196"/>
      <c r="U726" s="196"/>
      <c r="V726" s="198"/>
    </row>
    <row r="727" spans="1:22" hidden="1" outlineLevel="2" x14ac:dyDescent="0.25">
      <c r="A727" s="186">
        <f>SUMIFS(МКД!$A$6:$A$389,МКД!$D$6:$D$389,Таблица1[[#This Row],[2]])</f>
        <v>127</v>
      </c>
      <c r="B727" s="170"/>
      <c r="C727" s="182" t="s">
        <v>599</v>
      </c>
      <c r="D727" s="167" t="s">
        <v>170</v>
      </c>
      <c r="E727" s="167" t="s">
        <v>76</v>
      </c>
      <c r="F727" s="167">
        <v>1</v>
      </c>
      <c r="G727" s="168">
        <f>SUMIFS(Таблица1[[#This Row],[8]:[19]],$I$5:$T$5,"Выкуп")</f>
        <v>231.5</v>
      </c>
      <c r="H727" s="168">
        <f>SUMIFS(Таблица1[[#This Row],[8]:[19]],$I$5:$T$5,"Аренда")</f>
        <v>0</v>
      </c>
      <c r="I727" s="169">
        <v>231.5</v>
      </c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70"/>
      <c r="V727" s="171"/>
    </row>
    <row r="728" spans="1:22" hidden="1" outlineLevel="2" x14ac:dyDescent="0.25">
      <c r="A728" s="186">
        <f>SUMIFS(МКД!$A$6:$A$389,МКД!$D$6:$D$389,Таблица1[[#This Row],[2]])</f>
        <v>127</v>
      </c>
      <c r="B728" s="170"/>
      <c r="C728" s="182" t="s">
        <v>599</v>
      </c>
      <c r="D728" s="167" t="s">
        <v>170</v>
      </c>
      <c r="E728" s="167" t="s">
        <v>762</v>
      </c>
      <c r="F728" s="167">
        <v>1</v>
      </c>
      <c r="G728" s="168">
        <f>SUMIFS(Таблица1[[#This Row],[8]:[19]],$I$5:$T$5,"Выкуп")</f>
        <v>248.7</v>
      </c>
      <c r="H728" s="168">
        <f>SUMIFS(Таблица1[[#This Row],[8]:[19]],$I$5:$T$5,"Аренда")</f>
        <v>0</v>
      </c>
      <c r="I728" s="169">
        <v>248.7</v>
      </c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70"/>
      <c r="V728" s="171"/>
    </row>
    <row r="729" spans="1:22" hidden="1" outlineLevel="2" x14ac:dyDescent="0.25">
      <c r="A729" s="186">
        <f>SUMIFS(МКД!$A$6:$A$389,МКД!$D$6:$D$389,Таблица1[[#This Row],[2]])</f>
        <v>127</v>
      </c>
      <c r="B729" s="168"/>
      <c r="C729" s="182" t="s">
        <v>599</v>
      </c>
      <c r="D729" s="167" t="s">
        <v>1394</v>
      </c>
      <c r="E729" s="167" t="s">
        <v>2752</v>
      </c>
      <c r="F729" s="167">
        <v>1</v>
      </c>
      <c r="G729" s="168">
        <f>SUMIFS(Таблица1[[#This Row],[8]:[19]],$I$5:$T$5,"Выкуп")</f>
        <v>226</v>
      </c>
      <c r="H729" s="168">
        <f>SUMIFS(Таблица1[[#This Row],[8]:[19]],$I$5:$T$5,"Аренда")</f>
        <v>0</v>
      </c>
      <c r="I729" s="169"/>
      <c r="J729" s="169"/>
      <c r="K729" s="169"/>
      <c r="L729" s="169"/>
      <c r="M729" s="169">
        <v>226</v>
      </c>
      <c r="N729" s="169"/>
      <c r="O729" s="169"/>
      <c r="P729" s="169"/>
      <c r="Q729" s="169"/>
      <c r="R729" s="169"/>
      <c r="S729" s="169"/>
      <c r="T729" s="169"/>
      <c r="U729" s="170"/>
      <c r="V729" s="171"/>
    </row>
    <row r="730" spans="1:22" hidden="1" outlineLevel="2" x14ac:dyDescent="0.25">
      <c r="A730" s="186">
        <f>SUMIFS(МКД!$A$6:$A$389,МКД!$D$6:$D$389,Таблица1[[#This Row],[2]])</f>
        <v>127</v>
      </c>
      <c r="B730" s="168"/>
      <c r="C730" s="182" t="s">
        <v>599</v>
      </c>
      <c r="D730" s="167" t="s">
        <v>171</v>
      </c>
      <c r="E730" s="167" t="s">
        <v>989</v>
      </c>
      <c r="F730" s="167">
        <v>1</v>
      </c>
      <c r="G730" s="168">
        <f>SUMIFS(Таблица1[[#This Row],[8]:[19]],$I$5:$T$5,"Выкуп")</f>
        <v>250.2</v>
      </c>
      <c r="H730" s="168">
        <f>SUMIFS(Таблица1[[#This Row],[8]:[19]],$I$5:$T$5,"Аренда")</f>
        <v>0</v>
      </c>
      <c r="I730" s="169">
        <f>133.1+117.1</f>
        <v>250.2</v>
      </c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70"/>
      <c r="V730" s="171"/>
    </row>
    <row r="731" spans="1:22" hidden="1" outlineLevel="2" x14ac:dyDescent="0.25">
      <c r="A731" s="186">
        <f>SUMIFS(МКД!$A$6:$A$389,МКД!$D$6:$D$389,Таблица1[[#This Row],[2]])</f>
        <v>127</v>
      </c>
      <c r="B731" s="168"/>
      <c r="C731" s="182" t="s">
        <v>599</v>
      </c>
      <c r="D731" s="167" t="s">
        <v>171</v>
      </c>
      <c r="E731" s="167" t="s">
        <v>206</v>
      </c>
      <c r="F731" s="167">
        <v>1</v>
      </c>
      <c r="G731" s="168">
        <f>SUMIFS(Таблица1[[#This Row],[8]:[19]],$I$5:$T$5,"Выкуп")</f>
        <v>295.10000000000002</v>
      </c>
      <c r="H731" s="168">
        <f>SUMIFS(Таблица1[[#This Row],[8]:[19]],$I$5:$T$5,"Аренда")</f>
        <v>0</v>
      </c>
      <c r="I731" s="193"/>
      <c r="J731" s="193"/>
      <c r="K731" s="193">
        <v>295.10000000000002</v>
      </c>
      <c r="L731" s="193"/>
      <c r="M731" s="193"/>
      <c r="N731" s="193"/>
      <c r="O731" s="193"/>
      <c r="P731" s="193"/>
      <c r="Q731" s="193"/>
      <c r="R731" s="193"/>
      <c r="S731" s="193"/>
      <c r="T731" s="193"/>
      <c r="U731" s="170"/>
      <c r="V731" s="171"/>
    </row>
    <row r="732" spans="1:22" ht="15" outlineLevel="1" collapsed="1" x14ac:dyDescent="0.25">
      <c r="A732" s="186">
        <f>SUMIFS(МКД!$A$6:$A$389,МКД!$D$6:$D$389,Таблица1[[#This Row],[2]])</f>
        <v>128</v>
      </c>
      <c r="B732" s="194">
        <f>SUMIFS(Таблица1[6],Таблица1[2],Таблица1[[#This Row],[2]])+SUMIFS(Таблица1[7],Таблица1[2],Таблица1[[#This Row],[2]])</f>
        <v>1768.6000000000001</v>
      </c>
      <c r="C732" s="185" t="s">
        <v>459</v>
      </c>
      <c r="D732" s="196"/>
      <c r="E732" s="196"/>
      <c r="F732" s="196"/>
      <c r="G732" s="168"/>
      <c r="H732" s="197"/>
      <c r="I732" s="196"/>
      <c r="J732" s="196"/>
      <c r="K732" s="196"/>
      <c r="L732" s="196"/>
      <c r="M732" s="196"/>
      <c r="N732" s="196"/>
      <c r="O732" s="196"/>
      <c r="P732" s="196"/>
      <c r="Q732" s="196"/>
      <c r="R732" s="196"/>
      <c r="S732" s="196"/>
      <c r="T732" s="196"/>
      <c r="U732" s="196"/>
      <c r="V732" s="198"/>
    </row>
    <row r="733" spans="1:22" hidden="1" outlineLevel="2" x14ac:dyDescent="0.25">
      <c r="A733" s="186">
        <f>SUMIFS(МКД!$A$6:$A$389,МКД!$D$6:$D$389,Таблица1[[#This Row],[2]])</f>
        <v>128</v>
      </c>
      <c r="B733" s="170"/>
      <c r="C733" s="182" t="s">
        <v>459</v>
      </c>
      <c r="D733" s="167"/>
      <c r="E733" s="167" t="s">
        <v>2124</v>
      </c>
      <c r="F733" s="167">
        <v>2</v>
      </c>
      <c r="G733" s="168">
        <f>SUMIFS(Таблица1[[#This Row],[8]:[19]],$I$5:$T$5,"Выкуп")</f>
        <v>0</v>
      </c>
      <c r="H733" s="168">
        <f>SUMIFS(Таблица1[[#This Row],[8]:[19]],$I$5:$T$5,"Аренда")</f>
        <v>0</v>
      </c>
      <c r="I733" s="169"/>
      <c r="J733" s="169"/>
      <c r="K733" s="169"/>
      <c r="L733" s="169"/>
      <c r="M733" s="169"/>
      <c r="N733" s="169"/>
      <c r="O733" s="167"/>
      <c r="P733" s="169">
        <f>13.3*0</f>
        <v>0</v>
      </c>
      <c r="Q733" s="169"/>
      <c r="R733" s="169"/>
      <c r="S733" s="169"/>
      <c r="T733" s="169"/>
      <c r="U733" s="170"/>
      <c r="V733" s="171"/>
    </row>
    <row r="734" spans="1:22" hidden="1" outlineLevel="2" x14ac:dyDescent="0.25">
      <c r="A734" s="186">
        <f>SUMIFS(МКД!$A$6:$A$389,МКД!$D$6:$D$389,Таблица1[[#This Row],[2]])</f>
        <v>128</v>
      </c>
      <c r="B734" s="168"/>
      <c r="C734" s="182" t="s">
        <v>459</v>
      </c>
      <c r="D734" s="167" t="s">
        <v>1718</v>
      </c>
      <c r="E734" s="167" t="s">
        <v>1717</v>
      </c>
      <c r="F734" s="167">
        <v>2</v>
      </c>
      <c r="G734" s="168">
        <f>SUMIFS(Таблица1[[#This Row],[8]:[19]],$I$5:$T$5,"Выкуп")</f>
        <v>55.7</v>
      </c>
      <c r="H734" s="168">
        <f>SUMIFS(Таблица1[[#This Row],[8]:[19]],$I$5:$T$5,"Аренда")</f>
        <v>0</v>
      </c>
      <c r="I734" s="169">
        <v>55.7</v>
      </c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70"/>
      <c r="V734" s="171"/>
    </row>
    <row r="735" spans="1:22" hidden="1" outlineLevel="2" x14ac:dyDescent="0.25">
      <c r="A735" s="186">
        <f>SUMIFS(МКД!$A$6:$A$389,МКД!$D$6:$D$389,Таблица1[[#This Row],[2]])</f>
        <v>128</v>
      </c>
      <c r="B735" s="168"/>
      <c r="C735" s="182" t="s">
        <v>459</v>
      </c>
      <c r="D735" s="167" t="s">
        <v>969</v>
      </c>
      <c r="E735" s="167" t="s">
        <v>2125</v>
      </c>
      <c r="F735" s="167">
        <v>1</v>
      </c>
      <c r="G735" s="168">
        <f>SUMIFS(Таблица1[[#This Row],[8]:[19]],$I$5:$T$5,"Выкуп")</f>
        <v>527.29999999999995</v>
      </c>
      <c r="H735" s="168">
        <f>SUMIFS(Таблица1[[#This Row],[8]:[19]],$I$5:$T$5,"Аренда")</f>
        <v>0</v>
      </c>
      <c r="I735" s="169">
        <v>527.29999999999995</v>
      </c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70"/>
      <c r="V735" s="171"/>
    </row>
    <row r="736" spans="1:22" hidden="1" outlineLevel="2" x14ac:dyDescent="0.25">
      <c r="A736" s="186">
        <f>SUMIFS(МКД!$A$6:$A$389,МКД!$D$6:$D$389,Таблица1[[#This Row],[2]])</f>
        <v>128</v>
      </c>
      <c r="B736" s="168"/>
      <c r="C736" s="182" t="s">
        <v>459</v>
      </c>
      <c r="D736" s="167" t="s">
        <v>2128</v>
      </c>
      <c r="E736" s="167" t="s">
        <v>2740</v>
      </c>
      <c r="F736" s="167">
        <v>1</v>
      </c>
      <c r="G736" s="168">
        <f>SUMIFS(Таблица1[[#This Row],[8]:[19]],$I$5:$T$5,"Выкуп")</f>
        <v>290.89999999999998</v>
      </c>
      <c r="H736" s="168">
        <f>SUMIFS(Таблица1[[#This Row],[8]:[19]],$I$5:$T$5,"Аренда")</f>
        <v>0</v>
      </c>
      <c r="I736" s="169">
        <v>155.30000000000001</v>
      </c>
      <c r="J736" s="169"/>
      <c r="K736" s="169">
        <v>135.6</v>
      </c>
      <c r="L736" s="169"/>
      <c r="M736" s="169"/>
      <c r="N736" s="169"/>
      <c r="O736" s="169"/>
      <c r="P736" s="169"/>
      <c r="Q736" s="169"/>
      <c r="R736" s="169"/>
      <c r="S736" s="169"/>
      <c r="T736" s="169"/>
      <c r="U736" s="170"/>
      <c r="V736" s="171"/>
    </row>
    <row r="737" spans="1:22" hidden="1" outlineLevel="2" x14ac:dyDescent="0.25">
      <c r="A737" s="186">
        <f>SUMIFS(МКД!$A$6:$A$389,МКД!$D$6:$D$389,Таблица1[[#This Row],[2]])</f>
        <v>128</v>
      </c>
      <c r="B737" s="168"/>
      <c r="C737" s="182" t="s">
        <v>459</v>
      </c>
      <c r="D737" s="167" t="s">
        <v>968</v>
      </c>
      <c r="E737" s="167" t="s">
        <v>155</v>
      </c>
      <c r="F737" s="167">
        <v>1</v>
      </c>
      <c r="G737" s="168">
        <f>SUMIFS(Таблица1[[#This Row],[8]:[19]],$I$5:$T$5,"Выкуп")</f>
        <v>117.2</v>
      </c>
      <c r="H737" s="168">
        <f>SUMIFS(Таблица1[[#This Row],[8]:[19]],$I$5:$T$5,"Аренда")</f>
        <v>0</v>
      </c>
      <c r="I737" s="169"/>
      <c r="J737" s="169"/>
      <c r="K737" s="169">
        <v>117.2</v>
      </c>
      <c r="L737" s="169"/>
      <c r="M737" s="169"/>
      <c r="N737" s="169"/>
      <c r="O737" s="169"/>
      <c r="P737" s="169"/>
      <c r="Q737" s="169"/>
      <c r="R737" s="169"/>
      <c r="S737" s="169"/>
      <c r="T737" s="169"/>
      <c r="U737" s="170"/>
      <c r="V737" s="171"/>
    </row>
    <row r="738" spans="1:22" hidden="1" outlineLevel="2" x14ac:dyDescent="0.25">
      <c r="A738" s="186">
        <f>SUMIFS(МКД!$A$6:$A$389,МКД!$D$6:$D$389,Таблица1[[#This Row],[2]])</f>
        <v>128</v>
      </c>
      <c r="B738" s="168"/>
      <c r="C738" s="182" t="s">
        <v>459</v>
      </c>
      <c r="D738" s="167" t="s">
        <v>1519</v>
      </c>
      <c r="E738" s="167" t="s">
        <v>1375</v>
      </c>
      <c r="F738" s="167">
        <v>1</v>
      </c>
      <c r="G738" s="168">
        <f>SUMIFS(Таблица1[[#This Row],[8]:[19]],$I$5:$T$5,"Выкуп")</f>
        <v>59.2</v>
      </c>
      <c r="H738" s="168">
        <f>SUMIFS(Таблица1[[#This Row],[8]:[19]],$I$5:$T$5,"Аренда")</f>
        <v>0</v>
      </c>
      <c r="I738" s="169">
        <v>59.2</v>
      </c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70"/>
      <c r="V738" s="171"/>
    </row>
    <row r="739" spans="1:22" hidden="1" outlineLevel="2" x14ac:dyDescent="0.25">
      <c r="A739" s="186">
        <f>SUMIFS(МКД!$A$6:$A$389,МКД!$D$6:$D$389,Таблица1[[#This Row],[2]])</f>
        <v>128</v>
      </c>
      <c r="B739" s="168"/>
      <c r="C739" s="182" t="s">
        <v>459</v>
      </c>
      <c r="D739" s="167" t="s">
        <v>2556</v>
      </c>
      <c r="E739" s="167" t="s">
        <v>105</v>
      </c>
      <c r="F739" s="167">
        <v>2</v>
      </c>
      <c r="G739" s="168">
        <f>SUMIFS(Таблица1[[#This Row],[8]:[19]],$I$5:$T$5,"Выкуп")</f>
        <v>75.5</v>
      </c>
      <c r="H739" s="168">
        <f>SUMIFS(Таблица1[[#This Row],[8]:[19]],$I$5:$T$5,"Аренда")</f>
        <v>0</v>
      </c>
      <c r="I739" s="169">
        <v>75.5</v>
      </c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70"/>
      <c r="V739" s="171"/>
    </row>
    <row r="740" spans="1:22" hidden="1" outlineLevel="2" x14ac:dyDescent="0.25">
      <c r="A740" s="186">
        <f>SUMIFS(МКД!$A$6:$A$389,МКД!$D$6:$D$389,Таблица1[[#This Row],[2]])</f>
        <v>128</v>
      </c>
      <c r="B740" s="168"/>
      <c r="C740" s="182" t="s">
        <v>459</v>
      </c>
      <c r="D740" s="167" t="s">
        <v>1819</v>
      </c>
      <c r="E740" s="167" t="s">
        <v>106</v>
      </c>
      <c r="F740" s="167"/>
      <c r="G740" s="168">
        <f>SUMIFS(Таблица1[[#This Row],[8]:[19]],$I$5:$T$5,"Выкуп")</f>
        <v>77.400000000000006</v>
      </c>
      <c r="H740" s="168">
        <f>SUMIFS(Таблица1[[#This Row],[8]:[19]],$I$5:$T$5,"Аренда")</f>
        <v>0</v>
      </c>
      <c r="I740" s="169">
        <v>77.400000000000006</v>
      </c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70"/>
      <c r="V740" s="171"/>
    </row>
    <row r="741" spans="1:22" hidden="1" outlineLevel="2" x14ac:dyDescent="0.25">
      <c r="A741" s="186">
        <f>SUMIFS(МКД!$A$6:$A$389,МКД!$D$6:$D$389,Таблица1[[#This Row],[2]])</f>
        <v>128</v>
      </c>
      <c r="B741" s="168"/>
      <c r="C741" s="182" t="s">
        <v>459</v>
      </c>
      <c r="D741" s="167" t="s">
        <v>2126</v>
      </c>
      <c r="E741" s="167" t="s">
        <v>2129</v>
      </c>
      <c r="F741" s="167">
        <v>2</v>
      </c>
      <c r="G741" s="168">
        <f>SUMIFS(Таблица1[[#This Row],[8]:[19]],$I$5:$T$5,"Выкуп")</f>
        <v>58.7</v>
      </c>
      <c r="H741" s="168">
        <f>SUMIFS(Таблица1[[#This Row],[8]:[19]],$I$5:$T$5,"Аренда")</f>
        <v>0</v>
      </c>
      <c r="I741" s="169">
        <v>58.7</v>
      </c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70"/>
      <c r="V741" s="171"/>
    </row>
    <row r="742" spans="1:22" hidden="1" outlineLevel="2" x14ac:dyDescent="0.25">
      <c r="A742" s="186">
        <f>SUMIFS(МКД!$A$6:$A$389,МКД!$D$6:$D$389,Таблица1[[#This Row],[2]])</f>
        <v>128</v>
      </c>
      <c r="B742" s="168"/>
      <c r="C742" s="182" t="s">
        <v>459</v>
      </c>
      <c r="D742" s="167" t="s">
        <v>2127</v>
      </c>
      <c r="E742" s="167" t="s">
        <v>1388</v>
      </c>
      <c r="F742" s="167">
        <v>1</v>
      </c>
      <c r="G742" s="168">
        <f>SUMIFS(Таблица1[[#This Row],[8]:[19]],$I$5:$T$5,"Выкуп")</f>
        <v>52.5</v>
      </c>
      <c r="H742" s="168">
        <f>SUMIFS(Таблица1[[#This Row],[8]:[19]],$I$5:$T$5,"Аренда")</f>
        <v>0</v>
      </c>
      <c r="I742" s="169">
        <v>52.5</v>
      </c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70"/>
      <c r="V742" s="171"/>
    </row>
    <row r="743" spans="1:22" hidden="1" outlineLevel="2" x14ac:dyDescent="0.25">
      <c r="A743" s="186">
        <f>SUMIFS(МКД!$A$6:$A$389,МКД!$D$6:$D$389,Таблица1[[#This Row],[2]])</f>
        <v>128</v>
      </c>
      <c r="B743" s="168"/>
      <c r="C743" s="182" t="s">
        <v>459</v>
      </c>
      <c r="D743" s="167" t="s">
        <v>1563</v>
      </c>
      <c r="E743" s="167" t="s">
        <v>1465</v>
      </c>
      <c r="F743" s="167">
        <v>2</v>
      </c>
      <c r="G743" s="168">
        <f>SUMIFS(Таблица1[[#This Row],[8]:[19]],$I$5:$T$5,"Выкуп")</f>
        <v>70.2</v>
      </c>
      <c r="H743" s="168">
        <f>SUMIFS(Таблица1[[#This Row],[8]:[19]],$I$5:$T$5,"Аренда")</f>
        <v>0</v>
      </c>
      <c r="I743" s="169"/>
      <c r="J743" s="169"/>
      <c r="K743" s="169">
        <f>64.5+5.7</f>
        <v>70.2</v>
      </c>
      <c r="L743" s="169"/>
      <c r="M743" s="169"/>
      <c r="N743" s="169"/>
      <c r="O743" s="169"/>
      <c r="P743" s="169"/>
      <c r="Q743" s="169"/>
      <c r="R743" s="169"/>
      <c r="S743" s="169"/>
      <c r="T743" s="169"/>
      <c r="U743" s="170"/>
      <c r="V743" s="171"/>
    </row>
    <row r="744" spans="1:22" hidden="1" outlineLevel="2" x14ac:dyDescent="0.25">
      <c r="A744" s="186">
        <f>SUMIFS(МКД!$A$6:$A$389,МКД!$D$6:$D$389,Таблица1[[#This Row],[2]])</f>
        <v>128</v>
      </c>
      <c r="B744" s="168"/>
      <c r="C744" s="182" t="s">
        <v>459</v>
      </c>
      <c r="D744" s="167" t="s">
        <v>172</v>
      </c>
      <c r="E744" s="167" t="s">
        <v>2130</v>
      </c>
      <c r="F744" s="167">
        <v>2</v>
      </c>
      <c r="G744" s="168">
        <f>SUMIFS(Таблица1[[#This Row],[8]:[19]],$I$5:$T$5,"Выкуп")</f>
        <v>80.099999999999994</v>
      </c>
      <c r="H744" s="168">
        <f>SUMIFS(Таблица1[[#This Row],[8]:[19]],$I$5:$T$5,"Аренда")</f>
        <v>0</v>
      </c>
      <c r="I744" s="169">
        <v>80.099999999999994</v>
      </c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70"/>
      <c r="V744" s="171"/>
    </row>
    <row r="745" spans="1:22" hidden="1" outlineLevel="2" x14ac:dyDescent="0.25">
      <c r="A745" s="186">
        <f>SUMIFS(МКД!$A$6:$A$389,МКД!$D$6:$D$389,Таблица1[[#This Row],[2]])</f>
        <v>128</v>
      </c>
      <c r="B745" s="168"/>
      <c r="C745" s="182" t="s">
        <v>459</v>
      </c>
      <c r="D745" s="167" t="s">
        <v>1394</v>
      </c>
      <c r="E745" s="167" t="s">
        <v>2827</v>
      </c>
      <c r="F745" s="167">
        <v>2</v>
      </c>
      <c r="G745" s="168">
        <f>SUMIFS(Таблица1[[#This Row],[8]:[19]],$I$5:$T$5,"Выкуп")</f>
        <v>298.2</v>
      </c>
      <c r="H745" s="168">
        <f>SUMIFS(Таблица1[[#This Row],[8]:[19]],$I$5:$T$5,"Аренда")</f>
        <v>0</v>
      </c>
      <c r="I745" s="169"/>
      <c r="J745" s="169"/>
      <c r="K745" s="169"/>
      <c r="L745" s="169"/>
      <c r="M745" s="169">
        <v>298.2</v>
      </c>
      <c r="N745" s="169"/>
      <c r="O745" s="169"/>
      <c r="P745" s="169"/>
      <c r="Q745" s="169"/>
      <c r="R745" s="169"/>
      <c r="S745" s="169"/>
      <c r="T745" s="169"/>
      <c r="U745" s="170"/>
      <c r="V745" s="171"/>
    </row>
    <row r="746" spans="1:22" hidden="1" outlineLevel="2" x14ac:dyDescent="0.25">
      <c r="A746" s="186">
        <f>SUMIFS(МКД!$A$6:$A$389,МКД!$D$6:$D$389,Таблица1[[#This Row],[2]])</f>
        <v>128</v>
      </c>
      <c r="B746" s="168"/>
      <c r="C746" s="182" t="s">
        <v>459</v>
      </c>
      <c r="D746" s="167"/>
      <c r="E746" s="167" t="s">
        <v>1656</v>
      </c>
      <c r="F746" s="167"/>
      <c r="G746" s="168">
        <f>SUMIFS(Таблица1[[#This Row],[8]:[19]],$I$5:$T$5,"Выкуп")</f>
        <v>0</v>
      </c>
      <c r="H746" s="168">
        <f>SUMIFS(Таблица1[[#This Row],[8]:[19]],$I$5:$T$5,"Аренда")</f>
        <v>0</v>
      </c>
      <c r="I746" s="169"/>
      <c r="J746" s="169"/>
      <c r="K746" s="169">
        <f>34.5*0</f>
        <v>0</v>
      </c>
      <c r="L746" s="169"/>
      <c r="M746" s="169"/>
      <c r="N746" s="169"/>
      <c r="O746" s="169"/>
      <c r="P746" s="169"/>
      <c r="Q746" s="169"/>
      <c r="R746" s="169"/>
      <c r="S746" s="169"/>
      <c r="T746" s="169"/>
      <c r="U746" s="170"/>
      <c r="V746" s="171"/>
    </row>
    <row r="747" spans="1:22" hidden="1" outlineLevel="2" x14ac:dyDescent="0.25">
      <c r="A747" s="186">
        <f>SUMIFS(МКД!$A$6:$A$389,МКД!$D$6:$D$389,Таблица1[[#This Row],[2]])</f>
        <v>128</v>
      </c>
      <c r="B747" s="168"/>
      <c r="C747" s="182" t="s">
        <v>459</v>
      </c>
      <c r="D747" s="167" t="s">
        <v>1053</v>
      </c>
      <c r="E747" s="167" t="s">
        <v>1464</v>
      </c>
      <c r="F747" s="167"/>
      <c r="G747" s="168">
        <f>SUMIFS(Таблица1[[#This Row],[8]:[19]],$I$5:$T$5,"Выкуп")</f>
        <v>5.7</v>
      </c>
      <c r="H747" s="168">
        <f>SUMIFS(Таблица1[[#This Row],[8]:[19]],$I$5:$T$5,"Аренда")</f>
        <v>0</v>
      </c>
      <c r="I747" s="169"/>
      <c r="J747" s="169"/>
      <c r="K747" s="169">
        <v>5.7</v>
      </c>
      <c r="L747" s="169"/>
      <c r="M747" s="169"/>
      <c r="N747" s="169"/>
      <c r="O747" s="169"/>
      <c r="P747" s="169"/>
      <c r="Q747" s="169"/>
      <c r="R747" s="169"/>
      <c r="S747" s="169"/>
      <c r="T747" s="169"/>
      <c r="U747" s="170"/>
      <c r="V747" s="171"/>
    </row>
    <row r="748" spans="1:22" hidden="1" outlineLevel="2" x14ac:dyDescent="0.25">
      <c r="A748" s="186">
        <f>SUMIFS(МКД!$A$6:$A$389,МКД!$D$6:$D$389,Таблица1[[#This Row],[2]])</f>
        <v>128</v>
      </c>
      <c r="B748" s="168"/>
      <c r="C748" s="182" t="s">
        <v>459</v>
      </c>
      <c r="D748" s="167"/>
      <c r="E748" s="167" t="s">
        <v>1124</v>
      </c>
      <c r="F748" s="167"/>
      <c r="G748" s="168">
        <f>SUMIFS(Таблица1[[#This Row],[8]:[19]],$I$5:$T$5,"Выкуп")</f>
        <v>0</v>
      </c>
      <c r="H748" s="168">
        <f>SUMIFS(Таблица1[[#This Row],[8]:[19]],$I$5:$T$5,"Аренда")</f>
        <v>0</v>
      </c>
      <c r="I748" s="169"/>
      <c r="J748" s="169"/>
      <c r="K748" s="167"/>
      <c r="L748" s="169"/>
      <c r="M748" s="169"/>
      <c r="N748" s="169"/>
      <c r="O748" s="169"/>
      <c r="P748" s="169"/>
      <c r="Q748" s="169"/>
      <c r="R748" s="169"/>
      <c r="S748" s="169"/>
      <c r="T748" s="169"/>
      <c r="U748" s="170"/>
      <c r="V748" s="171"/>
    </row>
    <row r="749" spans="1:22" ht="15" outlineLevel="1" collapsed="1" x14ac:dyDescent="0.25">
      <c r="A749" s="186">
        <f>SUMIFS(МКД!$A$6:$A$389,МКД!$D$6:$D$389,Таблица1[[#This Row],[2]])</f>
        <v>129</v>
      </c>
      <c r="B749" s="194">
        <f>SUMIFS(Таблица1[6],Таблица1[2],Таблица1[[#This Row],[2]])+SUMIFS(Таблица1[7],Таблица1[2],Таблица1[[#This Row],[2]])</f>
        <v>161.6</v>
      </c>
      <c r="C749" s="185" t="s">
        <v>460</v>
      </c>
      <c r="D749" s="196"/>
      <c r="E749" s="196"/>
      <c r="F749" s="196"/>
      <c r="G749" s="168"/>
      <c r="H749" s="197"/>
      <c r="I749" s="196"/>
      <c r="J749" s="196"/>
      <c r="K749" s="196"/>
      <c r="L749" s="196"/>
      <c r="M749" s="196"/>
      <c r="N749" s="196"/>
      <c r="O749" s="196"/>
      <c r="P749" s="196"/>
      <c r="Q749" s="196"/>
      <c r="R749" s="196"/>
      <c r="S749" s="196"/>
      <c r="T749" s="196"/>
      <c r="U749" s="196"/>
      <c r="V749" s="198"/>
    </row>
    <row r="750" spans="1:22" ht="15" hidden="1" outlineLevel="2" x14ac:dyDescent="0.25">
      <c r="A750" s="186">
        <f>SUMIFS(МКД!$A$6:$A$389,МКД!$D$6:$D$389,Таблица1[[#This Row],[2]])</f>
        <v>129</v>
      </c>
      <c r="B750" s="196"/>
      <c r="C750" s="182" t="s">
        <v>460</v>
      </c>
      <c r="D750" s="373" t="s">
        <v>1053</v>
      </c>
      <c r="E750" s="167" t="s">
        <v>2752</v>
      </c>
      <c r="F750" s="196"/>
      <c r="G750" s="168">
        <f>SUMIFS(Таблица1[[#This Row],[8]:[19]],$I$5:$T$5,"Выкуп")</f>
        <v>161.6</v>
      </c>
      <c r="H750" s="168">
        <f>SUMIFS(Таблица1[[#This Row],[8]:[19]],$I$5:$T$5,"Аренда")</f>
        <v>0</v>
      </c>
      <c r="I750" s="196"/>
      <c r="J750" s="196"/>
      <c r="K750" s="196"/>
      <c r="L750" s="196"/>
      <c r="M750" s="196">
        <v>161.6</v>
      </c>
      <c r="N750" s="196"/>
      <c r="O750" s="196"/>
      <c r="P750" s="196"/>
      <c r="Q750" s="196"/>
      <c r="R750" s="196"/>
      <c r="S750" s="196"/>
      <c r="T750" s="196"/>
      <c r="U750" s="196"/>
      <c r="V750" s="198"/>
    </row>
    <row r="751" spans="1:22" ht="15" outlineLevel="1" collapsed="1" x14ac:dyDescent="0.25">
      <c r="A751" s="186">
        <f>SUMIFS(МКД!$A$6:$A$389,МКД!$D$6:$D$389,Таблица1[[#This Row],[2]])</f>
        <v>130</v>
      </c>
      <c r="B751" s="194">
        <f>SUMIFS(Таблица1[6],Таблица1[2],Таблица1[[#This Row],[2]])+SUMIFS(Таблица1[7],Таблица1[2],Таблица1[[#This Row],[2]])</f>
        <v>903.69999999999993</v>
      </c>
      <c r="C751" s="185" t="s">
        <v>662</v>
      </c>
      <c r="D751" s="196"/>
      <c r="E751" s="196"/>
      <c r="F751" s="196"/>
      <c r="G751" s="168"/>
      <c r="H751" s="197"/>
      <c r="I751" s="196"/>
      <c r="J751" s="196"/>
      <c r="K751" s="196"/>
      <c r="L751" s="196"/>
      <c r="M751" s="196"/>
      <c r="N751" s="196"/>
      <c r="O751" s="196"/>
      <c r="P751" s="196"/>
      <c r="Q751" s="196"/>
      <c r="R751" s="196"/>
      <c r="S751" s="196"/>
      <c r="T751" s="196"/>
      <c r="U751" s="196"/>
      <c r="V751" s="198"/>
    </row>
    <row r="752" spans="1:22" hidden="1" outlineLevel="2" x14ac:dyDescent="0.25">
      <c r="A752" s="186">
        <f>SUMIFS(МКД!$A$6:$A$389,МКД!$D$6:$D$389,Таблица1[[#This Row],[2]])</f>
        <v>130</v>
      </c>
      <c r="B752" s="170"/>
      <c r="C752" s="182" t="s">
        <v>662</v>
      </c>
      <c r="D752" s="167" t="s">
        <v>173</v>
      </c>
      <c r="E752" s="167" t="s">
        <v>2133</v>
      </c>
      <c r="F752" s="167">
        <v>1</v>
      </c>
      <c r="G752" s="168">
        <f>SUMIFS(Таблица1[[#This Row],[8]:[19]],$I$5:$T$5,"Выкуп")</f>
        <v>94.4</v>
      </c>
      <c r="H752" s="168">
        <f>SUMIFS(Таблица1[[#This Row],[8]:[19]],$I$5:$T$5,"Аренда")</f>
        <v>0</v>
      </c>
      <c r="I752" s="169">
        <v>94.4</v>
      </c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70"/>
      <c r="V752" s="171"/>
    </row>
    <row r="753" spans="1:22" hidden="1" outlineLevel="2" x14ac:dyDescent="0.25">
      <c r="A753" s="186">
        <f>SUMIFS(МКД!$A$6:$A$389,МКД!$D$6:$D$389,Таблица1[[#This Row],[2]])</f>
        <v>130</v>
      </c>
      <c r="B753" s="168"/>
      <c r="C753" s="182" t="s">
        <v>662</v>
      </c>
      <c r="D753" s="167" t="s">
        <v>2702</v>
      </c>
      <c r="E753" s="167" t="s">
        <v>1498</v>
      </c>
      <c r="F753" s="167">
        <v>1</v>
      </c>
      <c r="G753" s="168">
        <f>SUMIFS(Таблица1[[#This Row],[8]:[19]],$I$5:$T$5,"Выкуп")</f>
        <v>80.400000000000006</v>
      </c>
      <c r="H753" s="168">
        <f>SUMIFS(Таблица1[[#This Row],[8]:[19]],$I$5:$T$5,"Аренда")</f>
        <v>0</v>
      </c>
      <c r="I753" s="169">
        <v>80.400000000000006</v>
      </c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70"/>
      <c r="V753" s="171"/>
    </row>
    <row r="754" spans="1:22" hidden="1" outlineLevel="2" x14ac:dyDescent="0.25">
      <c r="A754" s="186">
        <f>SUMIFS(МКД!$A$6:$A$389,МКД!$D$6:$D$389,Таблица1[[#This Row],[2]])</f>
        <v>130</v>
      </c>
      <c r="B754" s="168"/>
      <c r="C754" s="182" t="s">
        <v>662</v>
      </c>
      <c r="D754" s="167" t="s">
        <v>2131</v>
      </c>
      <c r="E754" s="167" t="s">
        <v>1259</v>
      </c>
      <c r="F754" s="167">
        <v>1</v>
      </c>
      <c r="G754" s="168">
        <f>SUMIFS(Таблица1[[#This Row],[8]:[19]],$I$5:$T$5,"Выкуп")</f>
        <v>56.3</v>
      </c>
      <c r="H754" s="168">
        <f>SUMIFS(Таблица1[[#This Row],[8]:[19]],$I$5:$T$5,"Аренда")</f>
        <v>0</v>
      </c>
      <c r="I754" s="169">
        <v>56.3</v>
      </c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70"/>
      <c r="V754" s="171"/>
    </row>
    <row r="755" spans="1:22" hidden="1" outlineLevel="2" x14ac:dyDescent="0.25">
      <c r="A755" s="186">
        <f>SUMIFS(МКД!$A$6:$A$389,МКД!$D$6:$D$389,Таблица1[[#This Row],[2]])</f>
        <v>130</v>
      </c>
      <c r="B755" s="168"/>
      <c r="C755" s="182" t="s">
        <v>662</v>
      </c>
      <c r="D755" s="167" t="s">
        <v>2134</v>
      </c>
      <c r="E755" s="167" t="s">
        <v>2132</v>
      </c>
      <c r="F755" s="167">
        <v>1</v>
      </c>
      <c r="G755" s="168">
        <f>SUMIFS(Таблица1[[#This Row],[8]:[19]],$I$5:$T$5,"Выкуп")</f>
        <v>245.5</v>
      </c>
      <c r="H755" s="168">
        <f>SUMIFS(Таблица1[[#This Row],[8]:[19]],$I$5:$T$5,"Аренда")</f>
        <v>46.3</v>
      </c>
      <c r="I755" s="169">
        <v>245.5</v>
      </c>
      <c r="J755" s="169"/>
      <c r="K755" s="169"/>
      <c r="L755" s="169">
        <v>46.3</v>
      </c>
      <c r="M755" s="169"/>
      <c r="N755" s="169"/>
      <c r="O755" s="169"/>
      <c r="P755" s="169"/>
      <c r="Q755" s="169"/>
      <c r="R755" s="169"/>
      <c r="S755" s="169"/>
      <c r="T755" s="169"/>
      <c r="U755" s="170"/>
      <c r="V755" s="171"/>
    </row>
    <row r="756" spans="1:22" hidden="1" outlineLevel="2" x14ac:dyDescent="0.25">
      <c r="A756" s="186">
        <f>SUMIFS(МКД!$A$6:$A$389,МКД!$D$6:$D$389,Таблица1[[#This Row],[2]])</f>
        <v>130</v>
      </c>
      <c r="B756" s="168"/>
      <c r="C756" s="182" t="s">
        <v>662</v>
      </c>
      <c r="D756" s="167" t="s">
        <v>1142</v>
      </c>
      <c r="E756" s="167" t="s">
        <v>1158</v>
      </c>
      <c r="F756" s="167">
        <v>1</v>
      </c>
      <c r="G756" s="168">
        <f>SUMIFS(Таблица1[[#This Row],[8]:[19]],$I$5:$T$5,"Выкуп")</f>
        <v>66</v>
      </c>
      <c r="H756" s="168">
        <f>SUMIFS(Таблица1[[#This Row],[8]:[19]],$I$5:$T$5,"Аренда")</f>
        <v>0</v>
      </c>
      <c r="I756" s="169">
        <v>66</v>
      </c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70"/>
      <c r="V756" s="171"/>
    </row>
    <row r="757" spans="1:22" hidden="1" outlineLevel="2" x14ac:dyDescent="0.25">
      <c r="A757" s="186">
        <f>SUMIFS(МКД!$A$6:$A$389,МКД!$D$6:$D$389,Таблица1[[#This Row],[2]])</f>
        <v>130</v>
      </c>
      <c r="B757" s="168"/>
      <c r="C757" s="182" t="s">
        <v>662</v>
      </c>
      <c r="D757" s="167" t="s">
        <v>174</v>
      </c>
      <c r="E757" s="167" t="s">
        <v>2135</v>
      </c>
      <c r="F757" s="167">
        <v>1</v>
      </c>
      <c r="G757" s="168">
        <f>SUMIFS(Таблица1[[#This Row],[8]:[19]],$I$5:$T$5,"Выкуп")</f>
        <v>94.8</v>
      </c>
      <c r="H757" s="168">
        <f>SUMIFS(Таблица1[[#This Row],[8]:[19]],$I$5:$T$5,"Аренда")</f>
        <v>0</v>
      </c>
      <c r="I757" s="169">
        <v>94.8</v>
      </c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70"/>
      <c r="V757" s="171"/>
    </row>
    <row r="758" spans="1:22" hidden="1" outlineLevel="2" x14ac:dyDescent="0.25">
      <c r="A758" s="186">
        <f>SUMIFS(МКД!$A$6:$A$389,МКД!$D$6:$D$389,Таблица1[[#This Row],[2]])</f>
        <v>130</v>
      </c>
      <c r="B758" s="168"/>
      <c r="C758" s="182" t="s">
        <v>662</v>
      </c>
      <c r="D758" s="167" t="s">
        <v>1657</v>
      </c>
      <c r="E758" s="167" t="s">
        <v>905</v>
      </c>
      <c r="F758" s="167">
        <v>1</v>
      </c>
      <c r="G758" s="168">
        <f>SUMIFS(Таблица1[[#This Row],[8]:[19]],$I$5:$T$5,"Выкуп")</f>
        <v>58.6</v>
      </c>
      <c r="H758" s="168">
        <f>SUMIFS(Таблица1[[#This Row],[8]:[19]],$I$5:$T$5,"Аренда")</f>
        <v>0</v>
      </c>
      <c r="I758" s="169">
        <v>58.6</v>
      </c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70"/>
      <c r="V758" s="171"/>
    </row>
    <row r="759" spans="1:22" hidden="1" outlineLevel="2" x14ac:dyDescent="0.25">
      <c r="A759" s="186">
        <f>SUMIFS(МКД!$A$6:$A$389,МКД!$D$6:$D$389,Таблица1[[#This Row],[2]])</f>
        <v>130</v>
      </c>
      <c r="B759" s="168"/>
      <c r="C759" s="182" t="s">
        <v>662</v>
      </c>
      <c r="D759" s="167" t="s">
        <v>2136</v>
      </c>
      <c r="E759" s="167" t="s">
        <v>990</v>
      </c>
      <c r="F759" s="167">
        <v>1</v>
      </c>
      <c r="G759" s="168">
        <f>SUMIFS(Таблица1[[#This Row],[8]:[19]],$I$5:$T$5,"Выкуп")</f>
        <v>54.1</v>
      </c>
      <c r="H759" s="168">
        <f>SUMIFS(Таблица1[[#This Row],[8]:[19]],$I$5:$T$5,"Аренда")</f>
        <v>0</v>
      </c>
      <c r="I759" s="169">
        <v>54.1</v>
      </c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70"/>
      <c r="V759" s="171"/>
    </row>
    <row r="760" spans="1:22" hidden="1" outlineLevel="2" x14ac:dyDescent="0.25">
      <c r="A760" s="186">
        <f>SUMIFS(МКД!$A$6:$A$389,МКД!$D$6:$D$389,Таблица1[[#This Row],[2]])</f>
        <v>130</v>
      </c>
      <c r="B760" s="168"/>
      <c r="C760" s="182" t="s">
        <v>662</v>
      </c>
      <c r="D760" s="167" t="s">
        <v>2137</v>
      </c>
      <c r="E760" s="167" t="s">
        <v>1188</v>
      </c>
      <c r="F760" s="167">
        <v>1</v>
      </c>
      <c r="G760" s="168">
        <f>SUMIFS(Таблица1[[#This Row],[8]:[19]],$I$5:$T$5,"Выкуп")</f>
        <v>107.3</v>
      </c>
      <c r="H760" s="168">
        <f>SUMIFS(Таблица1[[#This Row],[8]:[19]],$I$5:$T$5,"Аренда")</f>
        <v>0</v>
      </c>
      <c r="I760" s="169">
        <v>107.3</v>
      </c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70"/>
      <c r="V760" s="171"/>
    </row>
    <row r="761" spans="1:22" ht="15" outlineLevel="1" collapsed="1" x14ac:dyDescent="0.25">
      <c r="A761" s="186">
        <f>SUMIFS(МКД!$A$6:$A$389,МКД!$D$6:$D$389,Таблица1[[#This Row],[2]])</f>
        <v>131</v>
      </c>
      <c r="B761" s="194">
        <f>SUMIFS(Таблица1[6],Таблица1[2],Таблица1[[#This Row],[2]])+SUMIFS(Таблица1[7],Таблица1[2],Таблица1[[#This Row],[2]])</f>
        <v>545.4</v>
      </c>
      <c r="C761" s="185" t="s">
        <v>461</v>
      </c>
      <c r="D761" s="196"/>
      <c r="E761" s="196"/>
      <c r="F761" s="196"/>
      <c r="G761" s="168"/>
      <c r="H761" s="197"/>
      <c r="I761" s="196"/>
      <c r="J761" s="196"/>
      <c r="K761" s="196"/>
      <c r="L761" s="196"/>
      <c r="M761" s="196"/>
      <c r="N761" s="196"/>
      <c r="O761" s="196"/>
      <c r="P761" s="196"/>
      <c r="Q761" s="196"/>
      <c r="R761" s="196"/>
      <c r="S761" s="196"/>
      <c r="T761" s="196"/>
      <c r="U761" s="196"/>
      <c r="V761" s="198"/>
    </row>
    <row r="762" spans="1:22" hidden="1" outlineLevel="2" x14ac:dyDescent="0.25">
      <c r="A762" s="186">
        <f>SUMIFS(МКД!$A$6:$A$389,МКД!$D$6:$D$389,Таблица1[[#This Row],[2]])</f>
        <v>131</v>
      </c>
      <c r="B762" s="170"/>
      <c r="C762" s="182" t="s">
        <v>461</v>
      </c>
      <c r="D762" s="167" t="s">
        <v>1850</v>
      </c>
      <c r="E762" s="167" t="s">
        <v>1852</v>
      </c>
      <c r="F762" s="167">
        <v>1</v>
      </c>
      <c r="G762" s="168">
        <f>SUMIFS(Таблица1[[#This Row],[8]:[19]],$I$5:$T$5,"Выкуп")</f>
        <v>201.2</v>
      </c>
      <c r="H762" s="168">
        <f>SUMIFS(Таблица1[[#This Row],[8]:[19]],$I$5:$T$5,"Аренда")</f>
        <v>0</v>
      </c>
      <c r="I762" s="169">
        <v>201.2</v>
      </c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70"/>
      <c r="V762" s="171"/>
    </row>
    <row r="763" spans="1:22" hidden="1" outlineLevel="2" x14ac:dyDescent="0.25">
      <c r="A763" s="186">
        <f>SUMIFS(МКД!$A$6:$A$389,МКД!$D$6:$D$389,Таблица1[[#This Row],[2]])</f>
        <v>131</v>
      </c>
      <c r="B763" s="168"/>
      <c r="C763" s="182" t="s">
        <v>461</v>
      </c>
      <c r="D763" s="167" t="s">
        <v>2138</v>
      </c>
      <c r="E763" s="167" t="s">
        <v>2139</v>
      </c>
      <c r="F763" s="167">
        <v>1</v>
      </c>
      <c r="G763" s="168">
        <f>SUMIFS(Таблица1[[#This Row],[8]:[19]],$I$5:$T$5,"Выкуп")</f>
        <v>101.8</v>
      </c>
      <c r="H763" s="168">
        <f>SUMIFS(Таблица1[[#This Row],[8]:[19]],$I$5:$T$5,"Аренда")</f>
        <v>0</v>
      </c>
      <c r="I763" s="169">
        <v>101.8</v>
      </c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70"/>
      <c r="V763" s="171"/>
    </row>
    <row r="764" spans="1:22" hidden="1" outlineLevel="2" x14ac:dyDescent="0.25">
      <c r="A764" s="186">
        <f>SUMIFS(МКД!$A$6:$A$389,МКД!$D$6:$D$389,Таблица1[[#This Row],[2]])</f>
        <v>131</v>
      </c>
      <c r="B764" s="168"/>
      <c r="C764" s="182" t="s">
        <v>461</v>
      </c>
      <c r="D764" s="167" t="s">
        <v>1394</v>
      </c>
      <c r="E764" s="167" t="s">
        <v>2752</v>
      </c>
      <c r="F764" s="167">
        <v>1</v>
      </c>
      <c r="G764" s="168">
        <f>SUMIFS(Таблица1[[#This Row],[8]:[19]],$I$5:$T$5,"Выкуп")</f>
        <v>242.4</v>
      </c>
      <c r="H764" s="168">
        <f>SUMIFS(Таблица1[[#This Row],[8]:[19]],$I$5:$T$5,"Аренда")</f>
        <v>0</v>
      </c>
      <c r="I764" s="169"/>
      <c r="J764" s="169"/>
      <c r="K764" s="169"/>
      <c r="L764" s="169"/>
      <c r="M764" s="169">
        <v>242.4</v>
      </c>
      <c r="N764" s="169"/>
      <c r="O764" s="169"/>
      <c r="P764" s="169"/>
      <c r="Q764" s="169"/>
      <c r="R764" s="169"/>
      <c r="S764" s="169"/>
      <c r="T764" s="169"/>
      <c r="U764" s="170"/>
      <c r="V764" s="171"/>
    </row>
    <row r="765" spans="1:22" ht="15" outlineLevel="1" collapsed="1" x14ac:dyDescent="0.25">
      <c r="A765" s="186">
        <f>SUMIFS(МКД!$A$6:$A$389,МКД!$D$6:$D$389,Таблица1[[#This Row],[2]])</f>
        <v>132</v>
      </c>
      <c r="B765" s="194">
        <f>SUMIFS(Таблица1[6],Таблица1[2],Таблица1[[#This Row],[2]])+SUMIFS(Таблица1[7],Таблица1[2],Таблица1[[#This Row],[2]])</f>
        <v>1422.2</v>
      </c>
      <c r="C765" s="185" t="s">
        <v>663</v>
      </c>
      <c r="D765" s="196"/>
      <c r="E765" s="196"/>
      <c r="F765" s="196"/>
      <c r="G765" s="168"/>
      <c r="H765" s="197"/>
      <c r="I765" s="196"/>
      <c r="J765" s="196"/>
      <c r="K765" s="196"/>
      <c r="L765" s="196"/>
      <c r="M765" s="196"/>
      <c r="N765" s="196"/>
      <c r="O765" s="196"/>
      <c r="P765" s="196"/>
      <c r="Q765" s="196"/>
      <c r="R765" s="196"/>
      <c r="S765" s="196"/>
      <c r="T765" s="196"/>
      <c r="U765" s="196"/>
      <c r="V765" s="198"/>
    </row>
    <row r="766" spans="1:22" hidden="1" outlineLevel="2" x14ac:dyDescent="0.25">
      <c r="A766" s="186">
        <f>SUMIFS(МКД!$A$6:$A$389,МКД!$D$6:$D$389,Таблица1[[#This Row],[2]])</f>
        <v>132</v>
      </c>
      <c r="B766" s="170"/>
      <c r="C766" s="182" t="s">
        <v>663</v>
      </c>
      <c r="D766" s="167" t="s">
        <v>176</v>
      </c>
      <c r="E766" s="167"/>
      <c r="F766" s="167">
        <v>1</v>
      </c>
      <c r="G766" s="168">
        <f>SUMIFS(Таблица1[[#This Row],[8]:[19]],$I$5:$T$5,"Выкуп")</f>
        <v>159.19999999999999</v>
      </c>
      <c r="H766" s="168">
        <f>SUMIFS(Таблица1[[#This Row],[8]:[19]],$I$5:$T$5,"Аренда")</f>
        <v>0</v>
      </c>
      <c r="I766" s="169">
        <v>159.19999999999999</v>
      </c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70"/>
      <c r="V766" s="171"/>
    </row>
    <row r="767" spans="1:22" hidden="1" outlineLevel="2" x14ac:dyDescent="0.25">
      <c r="A767" s="186">
        <f>SUMIFS(МКД!$A$6:$A$389,МКД!$D$6:$D$389,Таблица1[[#This Row],[2]])</f>
        <v>132</v>
      </c>
      <c r="B767" s="168"/>
      <c r="C767" s="182" t="s">
        <v>663</v>
      </c>
      <c r="D767" s="167" t="s">
        <v>177</v>
      </c>
      <c r="E767" s="167" t="s">
        <v>1381</v>
      </c>
      <c r="F767" s="167">
        <v>1</v>
      </c>
      <c r="G767" s="168">
        <f>SUMIFS(Таблица1[[#This Row],[8]:[19]],$I$5:$T$5,"Выкуп")</f>
        <v>154.69999999999999</v>
      </c>
      <c r="H767" s="168">
        <f>SUMIFS(Таблица1[[#This Row],[8]:[19]],$I$5:$T$5,"Аренда")</f>
        <v>0</v>
      </c>
      <c r="I767" s="169">
        <v>154.69999999999999</v>
      </c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70"/>
      <c r="V767" s="171"/>
    </row>
    <row r="768" spans="1:22" hidden="1" outlineLevel="2" x14ac:dyDescent="0.25">
      <c r="A768" s="186">
        <f>SUMIFS(МКД!$A$6:$A$389,МКД!$D$6:$D$389,Таблица1[[#This Row],[2]])</f>
        <v>132</v>
      </c>
      <c r="B768" s="168"/>
      <c r="C768" s="182" t="s">
        <v>663</v>
      </c>
      <c r="D768" s="167" t="s">
        <v>1701</v>
      </c>
      <c r="E768" s="167" t="s">
        <v>835</v>
      </c>
      <c r="F768" s="167">
        <v>1</v>
      </c>
      <c r="G768" s="168">
        <f>SUMIFS(Таблица1[[#This Row],[8]:[19]],$I$5:$T$5,"Выкуп")</f>
        <v>915.1</v>
      </c>
      <c r="H768" s="168">
        <f>SUMIFS(Таблица1[[#This Row],[8]:[19]],$I$5:$T$5,"Аренда")</f>
        <v>0</v>
      </c>
      <c r="I768" s="169">
        <v>407.8</v>
      </c>
      <c r="J768" s="169"/>
      <c r="K768" s="169">
        <v>453.3</v>
      </c>
      <c r="L768" s="169"/>
      <c r="M768" s="169"/>
      <c r="N768" s="169"/>
      <c r="O768" s="169"/>
      <c r="P768" s="169"/>
      <c r="Q768" s="169"/>
      <c r="R768" s="169"/>
      <c r="S768" s="169">
        <v>54</v>
      </c>
      <c r="T768" s="169"/>
      <c r="U768" s="170"/>
      <c r="V768" s="171"/>
    </row>
    <row r="769" spans="1:22" hidden="1" outlineLevel="2" x14ac:dyDescent="0.25">
      <c r="A769" s="186">
        <f>SUMIFS(МКД!$A$6:$A$389,МКД!$D$6:$D$389,Таблица1[[#This Row],[2]])</f>
        <v>132</v>
      </c>
      <c r="B769" s="168"/>
      <c r="C769" s="182" t="s">
        <v>663</v>
      </c>
      <c r="D769" s="167" t="s">
        <v>103</v>
      </c>
      <c r="E769" s="167" t="s">
        <v>731</v>
      </c>
      <c r="F769" s="167">
        <v>1</v>
      </c>
      <c r="G769" s="168">
        <f>SUMIFS(Таблица1[[#This Row],[8]:[19]],$I$5:$T$5,"Выкуп")</f>
        <v>111.2</v>
      </c>
      <c r="H769" s="168">
        <f>SUMIFS(Таблица1[[#This Row],[8]:[19]],$I$5:$T$5,"Аренда")</f>
        <v>0</v>
      </c>
      <c r="I769" s="169">
        <v>111.2</v>
      </c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70"/>
      <c r="V769" s="171"/>
    </row>
    <row r="770" spans="1:22" hidden="1" outlineLevel="2" x14ac:dyDescent="0.25">
      <c r="A770" s="186">
        <f>SUMIFS(МКД!$A$6:$A$389,МКД!$D$6:$D$389,Таблица1[[#This Row],[2]])</f>
        <v>132</v>
      </c>
      <c r="B770" s="168"/>
      <c r="C770" s="182" t="s">
        <v>663</v>
      </c>
      <c r="D770" s="167" t="s">
        <v>66</v>
      </c>
      <c r="E770" s="167" t="s">
        <v>67</v>
      </c>
      <c r="F770" s="167">
        <v>1</v>
      </c>
      <c r="G770" s="168">
        <f>SUMIFS(Таблица1[[#This Row],[8]:[19]],$I$5:$T$5,"Выкуп")</f>
        <v>82</v>
      </c>
      <c r="H770" s="168">
        <f>SUMIFS(Таблица1[[#This Row],[8]:[19]],$I$5:$T$5,"Аренда")</f>
        <v>0</v>
      </c>
      <c r="I770" s="169">
        <v>82</v>
      </c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70"/>
      <c r="V770" s="171"/>
    </row>
    <row r="771" spans="1:22" hidden="1" outlineLevel="2" x14ac:dyDescent="0.25">
      <c r="A771" s="186">
        <f>SUMIFS(МКД!$A$6:$A$389,МКД!$D$6:$D$389,Таблица1[[#This Row],[2]])</f>
        <v>132</v>
      </c>
      <c r="B771" s="168"/>
      <c r="C771" s="182" t="s">
        <v>663</v>
      </c>
      <c r="D771" s="167" t="s">
        <v>104</v>
      </c>
      <c r="E771" s="167" t="s">
        <v>211</v>
      </c>
      <c r="F771" s="167"/>
      <c r="G771" s="168">
        <f>SUMIFS(Таблица1[[#This Row],[8]:[19]],$I$5:$T$5,"Выкуп")</f>
        <v>0</v>
      </c>
      <c r="H771" s="168">
        <f>SUMIFS(Таблица1[[#This Row],[8]:[19]],$I$5:$T$5,"Аренда")</f>
        <v>0</v>
      </c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70"/>
      <c r="V771" s="171"/>
    </row>
    <row r="772" spans="1:22" ht="15" outlineLevel="1" collapsed="1" x14ac:dyDescent="0.25">
      <c r="A772" s="186">
        <f>SUMIFS(МКД!$A$6:$A$389,МКД!$D$6:$D$389,Таблица1[[#This Row],[2]])</f>
        <v>133</v>
      </c>
      <c r="B772" s="194">
        <f>SUMIFS(Таблица1[6],Таблица1[2],Таблица1[[#This Row],[2]])+SUMIFS(Таблица1[7],Таблица1[2],Таблица1[[#This Row],[2]])</f>
        <v>0</v>
      </c>
      <c r="C772" s="185" t="s">
        <v>664</v>
      </c>
      <c r="D772" s="196"/>
      <c r="E772" s="196"/>
      <c r="F772" s="196"/>
      <c r="G772" s="168"/>
      <c r="H772" s="197"/>
      <c r="I772" s="196"/>
      <c r="J772" s="196"/>
      <c r="K772" s="196"/>
      <c r="L772" s="196"/>
      <c r="M772" s="196"/>
      <c r="N772" s="196"/>
      <c r="O772" s="196"/>
      <c r="P772" s="196"/>
      <c r="Q772" s="196"/>
      <c r="R772" s="196"/>
      <c r="S772" s="196"/>
      <c r="T772" s="196"/>
      <c r="U772" s="196"/>
      <c r="V772" s="198"/>
    </row>
    <row r="773" spans="1:22" ht="15" hidden="1" outlineLevel="2" x14ac:dyDescent="0.25">
      <c r="A773" s="186">
        <f>SUMIFS(МКД!$A$6:$A$389,МКД!$D$6:$D$389,Таблица1[[#This Row],[2]])</f>
        <v>133</v>
      </c>
      <c r="B773" s="196"/>
      <c r="C773" s="182" t="s">
        <v>664</v>
      </c>
      <c r="D773" s="196"/>
      <c r="E773" s="196"/>
      <c r="F773" s="196"/>
      <c r="G773" s="168">
        <f>SUMIFS(Таблица1[[#This Row],[8]:[19]],$I$5:$T$5,"Выкуп")</f>
        <v>0</v>
      </c>
      <c r="H773" s="168">
        <f>SUMIFS(Таблица1[[#This Row],[8]:[19]],$I$5:$T$5,"Аренда")</f>
        <v>0</v>
      </c>
      <c r="I773" s="196"/>
      <c r="J773" s="196"/>
      <c r="K773" s="196"/>
      <c r="L773" s="196"/>
      <c r="M773" s="196"/>
      <c r="N773" s="196"/>
      <c r="O773" s="196"/>
      <c r="P773" s="196"/>
      <c r="Q773" s="196"/>
      <c r="R773" s="196"/>
      <c r="S773" s="196"/>
      <c r="T773" s="196"/>
      <c r="U773" s="196"/>
      <c r="V773" s="198"/>
    </row>
    <row r="774" spans="1:22" ht="15" outlineLevel="1" collapsed="1" x14ac:dyDescent="0.25">
      <c r="A774" s="186">
        <f>SUMIFS(МКД!$A$6:$A$389,МКД!$D$6:$D$389,Таблица1[[#This Row],[2]])</f>
        <v>134</v>
      </c>
      <c r="B774" s="194">
        <f>SUMIFS(Таблица1[6],Таблица1[2],Таблица1[[#This Row],[2]])+SUMIFS(Таблица1[7],Таблица1[2],Таблица1[[#This Row],[2]])</f>
        <v>1799.8000000000002</v>
      </c>
      <c r="C774" s="185" t="s">
        <v>462</v>
      </c>
      <c r="D774" s="196"/>
      <c r="E774" s="196"/>
      <c r="F774" s="196"/>
      <c r="G774" s="168"/>
      <c r="H774" s="197"/>
      <c r="I774" s="196"/>
      <c r="J774" s="196"/>
      <c r="K774" s="196"/>
      <c r="L774" s="196"/>
      <c r="M774" s="196"/>
      <c r="N774" s="196"/>
      <c r="O774" s="196"/>
      <c r="P774" s="196"/>
      <c r="Q774" s="196"/>
      <c r="R774" s="196"/>
      <c r="S774" s="196"/>
      <c r="T774" s="196"/>
      <c r="U774" s="196"/>
      <c r="V774" s="198"/>
    </row>
    <row r="775" spans="1:22" hidden="1" outlineLevel="2" x14ac:dyDescent="0.25">
      <c r="A775" s="186">
        <f>SUMIFS(МКД!$A$6:$A$389,МКД!$D$6:$D$389,Таблица1[[#This Row],[2]])</f>
        <v>134</v>
      </c>
      <c r="B775" s="170"/>
      <c r="C775" s="182" t="s">
        <v>462</v>
      </c>
      <c r="D775" s="167" t="s">
        <v>1850</v>
      </c>
      <c r="E775" s="167" t="s">
        <v>1232</v>
      </c>
      <c r="F775" s="167">
        <v>1</v>
      </c>
      <c r="G775" s="168">
        <f>SUMIFS(Таблица1[[#This Row],[8]:[19]],$I$5:$T$5,"Выкуп")</f>
        <v>79.599999999999994</v>
      </c>
      <c r="H775" s="168">
        <f>SUMIFS(Таблица1[[#This Row],[8]:[19]],$I$5:$T$5,"Аренда")</f>
        <v>0</v>
      </c>
      <c r="I775" s="169">
        <v>79.599999999999994</v>
      </c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70"/>
      <c r="V775" s="171"/>
    </row>
    <row r="776" spans="1:22" hidden="1" outlineLevel="2" x14ac:dyDescent="0.25">
      <c r="A776" s="186">
        <f>SUMIFS(МКД!$A$6:$A$389,МКД!$D$6:$D$389,Таблица1[[#This Row],[2]])</f>
        <v>134</v>
      </c>
      <c r="B776" s="168"/>
      <c r="C776" s="182" t="s">
        <v>462</v>
      </c>
      <c r="D776" s="167" t="s">
        <v>178</v>
      </c>
      <c r="E776" s="167" t="s">
        <v>1801</v>
      </c>
      <c r="F776" s="167">
        <v>1</v>
      </c>
      <c r="G776" s="168">
        <f>SUMIFS(Таблица1[[#This Row],[8]:[19]],$I$5:$T$5,"Выкуп")</f>
        <v>881.2</v>
      </c>
      <c r="H776" s="168">
        <f>SUMIFS(Таблица1[[#This Row],[8]:[19]],$I$5:$T$5,"Аренда")</f>
        <v>0</v>
      </c>
      <c r="I776" s="169">
        <v>628.20000000000005</v>
      </c>
      <c r="J776" s="169"/>
      <c r="K776" s="169">
        <v>253</v>
      </c>
      <c r="L776" s="169"/>
      <c r="M776" s="169"/>
      <c r="N776" s="169"/>
      <c r="O776" s="169"/>
      <c r="P776" s="169"/>
      <c r="Q776" s="169"/>
      <c r="R776" s="169"/>
      <c r="S776" s="169"/>
      <c r="T776" s="169"/>
      <c r="U776" s="170"/>
      <c r="V776" s="171"/>
    </row>
    <row r="777" spans="1:22" hidden="1" outlineLevel="2" x14ac:dyDescent="0.25">
      <c r="A777" s="186">
        <f>SUMIFS(МКД!$A$6:$A$389,МКД!$D$6:$D$389,Таблица1[[#This Row],[2]])</f>
        <v>134</v>
      </c>
      <c r="B777" s="168"/>
      <c r="C777" s="182" t="s">
        <v>462</v>
      </c>
      <c r="D777" s="167" t="s">
        <v>1466</v>
      </c>
      <c r="E777" s="167" t="s">
        <v>109</v>
      </c>
      <c r="F777" s="167">
        <v>1</v>
      </c>
      <c r="G777" s="168">
        <f>SUMIFS(Таблица1[[#This Row],[8]:[19]],$I$5:$T$5,"Выкуп")</f>
        <v>121.9</v>
      </c>
      <c r="H777" s="168">
        <f>SUMIFS(Таблица1[[#This Row],[8]:[19]],$I$5:$T$5,"Аренда")</f>
        <v>0</v>
      </c>
      <c r="I777" s="169">
        <v>121.9</v>
      </c>
      <c r="J777" s="169"/>
      <c r="K777" s="167"/>
      <c r="L777" s="167"/>
      <c r="M777" s="167"/>
      <c r="N777" s="167"/>
      <c r="O777" s="169"/>
      <c r="P777" s="169"/>
      <c r="Q777" s="169"/>
      <c r="R777" s="169"/>
      <c r="S777" s="169"/>
      <c r="T777" s="169"/>
      <c r="U777" s="170"/>
      <c r="V777" s="171"/>
    </row>
    <row r="778" spans="1:22" hidden="1" outlineLevel="2" x14ac:dyDescent="0.25">
      <c r="A778" s="186">
        <f>SUMIFS(МКД!$A$6:$A$389,МКД!$D$6:$D$389,Таблица1[[#This Row],[2]])</f>
        <v>134</v>
      </c>
      <c r="B778" s="168"/>
      <c r="C778" s="182" t="s">
        <v>462</v>
      </c>
      <c r="D778" s="167" t="s">
        <v>179</v>
      </c>
      <c r="E778" s="167" t="s">
        <v>2140</v>
      </c>
      <c r="F778" s="167">
        <v>1</v>
      </c>
      <c r="G778" s="168">
        <f>SUMIFS(Таблица1[[#This Row],[8]:[19]],$I$5:$T$5,"Выкуп")</f>
        <v>77.7</v>
      </c>
      <c r="H778" s="168">
        <f>SUMIFS(Таблица1[[#This Row],[8]:[19]],$I$5:$T$5,"Аренда")</f>
        <v>0</v>
      </c>
      <c r="I778" s="169">
        <v>77.7</v>
      </c>
      <c r="J778" s="169"/>
      <c r="K778" s="167"/>
      <c r="L778" s="167"/>
      <c r="M778" s="167"/>
      <c r="N778" s="167"/>
      <c r="O778" s="169"/>
      <c r="P778" s="169"/>
      <c r="Q778" s="169"/>
      <c r="R778" s="169"/>
      <c r="S778" s="169"/>
      <c r="T778" s="169"/>
      <c r="U778" s="170"/>
      <c r="V778" s="171"/>
    </row>
    <row r="779" spans="1:22" s="157" customFormat="1" hidden="1" outlineLevel="2" x14ac:dyDescent="0.25">
      <c r="A779" s="186">
        <f>SUMIFS(МКД!$A$6:$A$389,МКД!$D$6:$D$389,Таблица1[[#This Row],[2]])</f>
        <v>134</v>
      </c>
      <c r="B779" s="168"/>
      <c r="C779" s="182" t="s">
        <v>462</v>
      </c>
      <c r="D779" s="167" t="s">
        <v>179</v>
      </c>
      <c r="E779" s="167" t="s">
        <v>2141</v>
      </c>
      <c r="F779" s="167">
        <v>1</v>
      </c>
      <c r="G779" s="168">
        <f>SUMIFS(Таблица1[[#This Row],[8]:[19]],$I$5:$T$5,"Выкуп")</f>
        <v>240.8</v>
      </c>
      <c r="H779" s="168">
        <f>SUMIFS(Таблица1[[#This Row],[8]:[19]],$I$5:$T$5,"Аренда")</f>
        <v>0</v>
      </c>
      <c r="I779" s="169">
        <v>240.8</v>
      </c>
      <c r="J779" s="169"/>
      <c r="K779" s="167"/>
      <c r="L779" s="167"/>
      <c r="M779" s="167"/>
      <c r="N779" s="167"/>
      <c r="O779" s="169"/>
      <c r="P779" s="169"/>
      <c r="Q779" s="169"/>
      <c r="R779" s="169"/>
      <c r="S779" s="169"/>
      <c r="T779" s="169"/>
      <c r="U779" s="170"/>
      <c r="V779" s="171"/>
    </row>
    <row r="780" spans="1:22" hidden="1" outlineLevel="2" x14ac:dyDescent="0.25">
      <c r="A780" s="186">
        <f>SUMIFS(МКД!$A$6:$A$389,МКД!$D$6:$D$389,Таблица1[[#This Row],[2]])</f>
        <v>134</v>
      </c>
      <c r="B780" s="168"/>
      <c r="C780" s="182" t="s">
        <v>462</v>
      </c>
      <c r="D780" s="167" t="s">
        <v>1394</v>
      </c>
      <c r="E780" s="167" t="s">
        <v>2752</v>
      </c>
      <c r="F780" s="167">
        <v>1</v>
      </c>
      <c r="G780" s="168">
        <f>SUMIFS(Таблица1[[#This Row],[8]:[19]],$I$5:$T$5,"Выкуп")</f>
        <v>398.6</v>
      </c>
      <c r="H780" s="168">
        <f>SUMIFS(Таблица1[[#This Row],[8]:[19]],$I$5:$T$5,"Аренда")</f>
        <v>0</v>
      </c>
      <c r="I780" s="169"/>
      <c r="J780" s="169"/>
      <c r="K780" s="169"/>
      <c r="L780" s="169"/>
      <c r="M780" s="169">
        <v>398.6</v>
      </c>
      <c r="N780" s="169"/>
      <c r="O780" s="169"/>
      <c r="P780" s="169"/>
      <c r="Q780" s="169"/>
      <c r="R780" s="169"/>
      <c r="S780" s="169"/>
      <c r="T780" s="169"/>
      <c r="U780" s="170"/>
      <c r="V780" s="171"/>
    </row>
    <row r="781" spans="1:22" ht="15" outlineLevel="1" collapsed="1" x14ac:dyDescent="0.25">
      <c r="A781" s="186">
        <f>SUMIFS(МКД!$A$6:$A$389,МКД!$D$6:$D$389,Таблица1[[#This Row],[2]])</f>
        <v>135</v>
      </c>
      <c r="B781" s="194">
        <f>SUMIFS(Таблица1[6],Таблица1[2],Таблица1[[#This Row],[2]])+SUMIFS(Таблица1[7],Таблица1[2],Таблица1[[#This Row],[2]])</f>
        <v>147</v>
      </c>
      <c r="C781" s="185" t="s">
        <v>463</v>
      </c>
      <c r="D781" s="196"/>
      <c r="E781" s="196"/>
      <c r="F781" s="196"/>
      <c r="G781" s="168"/>
      <c r="H781" s="197"/>
      <c r="I781" s="196"/>
      <c r="J781" s="196"/>
      <c r="K781" s="196"/>
      <c r="L781" s="196"/>
      <c r="M781" s="196"/>
      <c r="N781" s="196"/>
      <c r="O781" s="196"/>
      <c r="P781" s="196"/>
      <c r="Q781" s="196"/>
      <c r="R781" s="196"/>
      <c r="S781" s="196"/>
      <c r="T781" s="196"/>
      <c r="U781" s="196"/>
      <c r="V781" s="198"/>
    </row>
    <row r="782" spans="1:22" ht="15" hidden="1" outlineLevel="2" x14ac:dyDescent="0.25">
      <c r="A782" s="186">
        <f>SUMIFS(МКД!$A$6:$A$389,МКД!$D$6:$D$389,Таблица1[[#This Row],[2]])</f>
        <v>135</v>
      </c>
      <c r="B782" s="196"/>
      <c r="C782" s="182" t="s">
        <v>463</v>
      </c>
      <c r="D782" s="373" t="s">
        <v>1053</v>
      </c>
      <c r="E782" s="167" t="s">
        <v>2827</v>
      </c>
      <c r="F782" s="196"/>
      <c r="G782" s="168">
        <f>SUMIFS(Таблица1[[#This Row],[8]:[19]],$I$5:$T$5,"Выкуп")</f>
        <v>147</v>
      </c>
      <c r="H782" s="168">
        <f>SUMIFS(Таблица1[[#This Row],[8]:[19]],$I$5:$T$5,"Аренда")</f>
        <v>0</v>
      </c>
      <c r="I782" s="196"/>
      <c r="J782" s="196"/>
      <c r="K782" s="196"/>
      <c r="L782" s="196"/>
      <c r="M782" s="276">
        <v>147</v>
      </c>
      <c r="N782" s="196"/>
      <c r="O782" s="196"/>
      <c r="P782" s="196"/>
      <c r="Q782" s="196"/>
      <c r="R782" s="196"/>
      <c r="S782" s="196"/>
      <c r="T782" s="196"/>
      <c r="U782" s="196"/>
      <c r="V782" s="198"/>
    </row>
    <row r="783" spans="1:22" ht="15" outlineLevel="1" collapsed="1" x14ac:dyDescent="0.25">
      <c r="A783" s="186">
        <f>SUMIFS(МКД!$A$6:$A$389,МКД!$D$6:$D$389,Таблица1[[#This Row],[2]])</f>
        <v>136</v>
      </c>
      <c r="B783" s="194">
        <f>SUMIFS(Таблица1[6],Таблица1[2],Таблица1[[#This Row],[2]])+SUMIFS(Таблица1[7],Таблица1[2],Таблица1[[#This Row],[2]])</f>
        <v>743.10000000000014</v>
      </c>
      <c r="C783" s="185" t="s">
        <v>665</v>
      </c>
      <c r="D783" s="196"/>
      <c r="E783" s="196"/>
      <c r="F783" s="196"/>
      <c r="G783" s="168"/>
      <c r="H783" s="197"/>
      <c r="I783" s="196"/>
      <c r="J783" s="196"/>
      <c r="K783" s="196"/>
      <c r="L783" s="196"/>
      <c r="M783" s="196"/>
      <c r="N783" s="196"/>
      <c r="O783" s="196"/>
      <c r="P783" s="196"/>
      <c r="Q783" s="196"/>
      <c r="R783" s="196"/>
      <c r="S783" s="196"/>
      <c r="T783" s="196"/>
      <c r="U783" s="196"/>
      <c r="V783" s="198"/>
    </row>
    <row r="784" spans="1:22" hidden="1" outlineLevel="2" x14ac:dyDescent="0.25">
      <c r="A784" s="186">
        <f>SUMIFS(МКД!$A$6:$A$389,МКД!$D$6:$D$389,Таблица1[[#This Row],[2]])</f>
        <v>136</v>
      </c>
      <c r="B784" s="170"/>
      <c r="C784" s="182" t="s">
        <v>665</v>
      </c>
      <c r="D784" s="167" t="s">
        <v>2495</v>
      </c>
      <c r="E784" s="167" t="s">
        <v>1361</v>
      </c>
      <c r="F784" s="167">
        <v>1</v>
      </c>
      <c r="G784" s="168">
        <f>SUMIFS(Таблица1[[#This Row],[8]:[19]],$I$5:$T$5,"Выкуп")</f>
        <v>196.9</v>
      </c>
      <c r="H784" s="168">
        <f>SUMIFS(Таблица1[[#This Row],[8]:[19]],$I$5:$T$5,"Аренда")</f>
        <v>0</v>
      </c>
      <c r="I784" s="169">
        <v>196.9</v>
      </c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70"/>
      <c r="V784" s="171"/>
    </row>
    <row r="785" spans="1:22" hidden="1" outlineLevel="2" x14ac:dyDescent="0.25">
      <c r="A785" s="186">
        <f>SUMIFS(МКД!$A$6:$A$389,МКД!$D$6:$D$389,Таблица1[[#This Row],[2]])</f>
        <v>136</v>
      </c>
      <c r="B785" s="168"/>
      <c r="C785" s="182" t="s">
        <v>665</v>
      </c>
      <c r="D785" s="167" t="s">
        <v>2496</v>
      </c>
      <c r="E785" s="167" t="s">
        <v>1386</v>
      </c>
      <c r="F785" s="167">
        <v>1</v>
      </c>
      <c r="G785" s="168">
        <f>SUMIFS(Таблица1[[#This Row],[8]:[19]],$I$5:$T$5,"Выкуп")</f>
        <v>93.8</v>
      </c>
      <c r="H785" s="168">
        <f>SUMIFS(Таблица1[[#This Row],[8]:[19]],$I$5:$T$5,"Аренда")</f>
        <v>0</v>
      </c>
      <c r="I785" s="169">
        <v>93.8</v>
      </c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70"/>
      <c r="V785" s="171"/>
    </row>
    <row r="786" spans="1:22" hidden="1" outlineLevel="2" x14ac:dyDescent="0.25">
      <c r="A786" s="186">
        <f>SUMIFS(МКД!$A$6:$A$389,МКД!$D$6:$D$389,Таблица1[[#This Row],[2]])</f>
        <v>136</v>
      </c>
      <c r="B786" s="168"/>
      <c r="C786" s="182" t="s">
        <v>665</v>
      </c>
      <c r="D786" s="167" t="s">
        <v>796</v>
      </c>
      <c r="E786" s="167" t="s">
        <v>2497</v>
      </c>
      <c r="F786" s="167">
        <v>1</v>
      </c>
      <c r="G786" s="168">
        <f>SUMIFS(Таблица1[[#This Row],[8]:[19]],$I$5:$T$5,"Выкуп")</f>
        <v>93.4</v>
      </c>
      <c r="H786" s="168">
        <f>SUMIFS(Таблица1[[#This Row],[8]:[19]],$I$5:$T$5,"Аренда")</f>
        <v>0</v>
      </c>
      <c r="I786" s="169">
        <v>93.4</v>
      </c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70"/>
      <c r="V786" s="171"/>
    </row>
    <row r="787" spans="1:22" hidden="1" outlineLevel="2" x14ac:dyDescent="0.25">
      <c r="A787" s="186">
        <f>SUMIFS(МКД!$A$6:$A$389,МКД!$D$6:$D$389,Таблица1[[#This Row],[2]])</f>
        <v>136</v>
      </c>
      <c r="B787" s="168"/>
      <c r="C787" s="182" t="s">
        <v>665</v>
      </c>
      <c r="D787" s="167" t="s">
        <v>2175</v>
      </c>
      <c r="E787" s="167" t="s">
        <v>2498</v>
      </c>
      <c r="F787" s="167">
        <v>1</v>
      </c>
      <c r="G787" s="168">
        <f>SUMIFS(Таблица1[[#This Row],[8]:[19]],$I$5:$T$5,"Выкуп")</f>
        <v>149.6</v>
      </c>
      <c r="H787" s="168">
        <f>SUMIFS(Таблица1[[#This Row],[8]:[19]],$I$5:$T$5,"Аренда")</f>
        <v>0</v>
      </c>
      <c r="I787" s="169">
        <v>149.6</v>
      </c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70"/>
      <c r="V787" s="171"/>
    </row>
    <row r="788" spans="1:22" hidden="1" outlineLevel="2" x14ac:dyDescent="0.25">
      <c r="A788" s="186">
        <f>SUMIFS(МКД!$A$6:$A$389,МКД!$D$6:$D$389,Таблица1[[#This Row],[2]])</f>
        <v>136</v>
      </c>
      <c r="B788" s="168"/>
      <c r="C788" s="182" t="s">
        <v>665</v>
      </c>
      <c r="D788" s="167" t="s">
        <v>2054</v>
      </c>
      <c r="E788" s="167" t="s">
        <v>1063</v>
      </c>
      <c r="F788" s="167">
        <v>1</v>
      </c>
      <c r="G788" s="168">
        <f>SUMIFS(Таблица1[[#This Row],[8]:[19]],$I$5:$T$5,"Выкуп")</f>
        <v>101.2</v>
      </c>
      <c r="H788" s="168">
        <f>SUMIFS(Таблица1[[#This Row],[8]:[19]],$I$5:$T$5,"Аренда")</f>
        <v>0</v>
      </c>
      <c r="I788" s="169">
        <v>101.2</v>
      </c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70"/>
      <c r="V788" s="171"/>
    </row>
    <row r="789" spans="1:22" hidden="1" outlineLevel="2" x14ac:dyDescent="0.25">
      <c r="A789" s="186">
        <f>SUMIFS(МКД!$A$6:$A$389,МКД!$D$6:$D$389,Таблица1[[#This Row],[2]])</f>
        <v>136</v>
      </c>
      <c r="B789" s="168"/>
      <c r="C789" s="182" t="s">
        <v>665</v>
      </c>
      <c r="D789" s="167" t="s">
        <v>845</v>
      </c>
      <c r="E789" s="167" t="s">
        <v>1791</v>
      </c>
      <c r="F789" s="167">
        <v>1</v>
      </c>
      <c r="G789" s="168">
        <f>SUMIFS(Таблица1[[#This Row],[8]:[19]],$I$5:$T$5,"Выкуп")</f>
        <v>108.2</v>
      </c>
      <c r="H789" s="168">
        <f>SUMIFS(Таблица1[[#This Row],[8]:[19]],$I$5:$T$5,"Аренда")</f>
        <v>0</v>
      </c>
      <c r="I789" s="169">
        <v>108.2</v>
      </c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70"/>
      <c r="V789" s="171"/>
    </row>
    <row r="790" spans="1:22" hidden="1" outlineLevel="2" x14ac:dyDescent="0.25">
      <c r="A790" s="186">
        <f>SUMIFS(МКД!$A$6:$A$389,МКД!$D$6:$D$389,Таблица1[[#This Row],[2]])</f>
        <v>136</v>
      </c>
      <c r="B790" s="168"/>
      <c r="C790" s="182" t="s">
        <v>665</v>
      </c>
      <c r="D790" s="167" t="s">
        <v>189</v>
      </c>
      <c r="E790" s="167" t="s">
        <v>122</v>
      </c>
      <c r="F790" s="167"/>
      <c r="G790" s="168">
        <f>SUMIFS(Таблица1[[#This Row],[8]:[19]],$I$5:$T$5,"Выкуп")</f>
        <v>0</v>
      </c>
      <c r="H790" s="168">
        <f>SUMIFS(Таблица1[[#This Row],[8]:[19]],$I$5:$T$5,"Аренда")</f>
        <v>0</v>
      </c>
      <c r="I790" s="169"/>
      <c r="J790" s="169"/>
      <c r="K790" s="167"/>
      <c r="L790" s="169"/>
      <c r="M790" s="169"/>
      <c r="N790" s="169"/>
      <c r="O790" s="169"/>
      <c r="P790" s="169"/>
      <c r="Q790" s="169"/>
      <c r="R790" s="169"/>
      <c r="S790" s="169"/>
      <c r="T790" s="169"/>
      <c r="U790" s="170"/>
      <c r="V790" s="171"/>
    </row>
    <row r="791" spans="1:22" ht="15" outlineLevel="1" collapsed="1" x14ac:dyDescent="0.25">
      <c r="A791" s="186">
        <f>SUMIFS(МКД!$A$6:$A$389,МКД!$D$6:$D$389,Таблица1[[#This Row],[2]])</f>
        <v>137</v>
      </c>
      <c r="B791" s="194">
        <f>SUMIFS(Таблица1[6],Таблица1[2],Таблица1[[#This Row],[2]])+SUMIFS(Таблица1[7],Таблица1[2],Таблица1[[#This Row],[2]])</f>
        <v>259</v>
      </c>
      <c r="C791" s="185" t="s">
        <v>666</v>
      </c>
      <c r="D791" s="196"/>
      <c r="E791" s="196"/>
      <c r="F791" s="196"/>
      <c r="G791" s="168"/>
      <c r="H791" s="197"/>
      <c r="I791" s="196"/>
      <c r="J791" s="196"/>
      <c r="K791" s="196"/>
      <c r="L791" s="196"/>
      <c r="M791" s="196"/>
      <c r="N791" s="196"/>
      <c r="O791" s="196"/>
      <c r="P791" s="196"/>
      <c r="Q791" s="196"/>
      <c r="R791" s="196"/>
      <c r="S791" s="196"/>
      <c r="T791" s="196"/>
      <c r="U791" s="196"/>
      <c r="V791" s="198"/>
    </row>
    <row r="792" spans="1:22" hidden="1" outlineLevel="2" x14ac:dyDescent="0.25">
      <c r="A792" s="186">
        <f>SUMIFS(МКД!$A$6:$A$389,МКД!$D$6:$D$389,Таблица1[[#This Row],[2]])</f>
        <v>137</v>
      </c>
      <c r="B792" s="170"/>
      <c r="C792" s="182" t="s">
        <v>666</v>
      </c>
      <c r="D792" s="167" t="s">
        <v>1053</v>
      </c>
      <c r="E792" s="167" t="s">
        <v>1856</v>
      </c>
      <c r="F792" s="167">
        <v>1</v>
      </c>
      <c r="G792" s="168">
        <f>SUMIFS(Таблица1[[#This Row],[8]:[19]],$I$5:$T$5,"Выкуп")</f>
        <v>39.1</v>
      </c>
      <c r="H792" s="168">
        <f>SUMIFS(Таблица1[[#This Row],[8]:[19]],$I$5:$T$5,"Аренда")</f>
        <v>0</v>
      </c>
      <c r="I792" s="169"/>
      <c r="J792" s="169"/>
      <c r="K792" s="169">
        <v>39.1</v>
      </c>
      <c r="L792" s="169"/>
      <c r="M792" s="169"/>
      <c r="N792" s="169"/>
      <c r="O792" s="169"/>
      <c r="P792" s="169"/>
      <c r="Q792" s="169"/>
      <c r="R792" s="169"/>
      <c r="S792" s="169"/>
      <c r="T792" s="169"/>
      <c r="U792" s="170"/>
      <c r="V792" s="171"/>
    </row>
    <row r="793" spans="1:22" hidden="1" outlineLevel="2" x14ac:dyDescent="0.25">
      <c r="A793" s="186">
        <f>SUMIFS(МКД!$A$6:$A$389,МКД!$D$6:$D$389,Таблица1[[#This Row],[2]])</f>
        <v>137</v>
      </c>
      <c r="B793" s="168"/>
      <c r="C793" s="182" t="s">
        <v>666</v>
      </c>
      <c r="D793" s="167" t="s">
        <v>180</v>
      </c>
      <c r="E793" s="167" t="s">
        <v>878</v>
      </c>
      <c r="F793" s="167">
        <v>1</v>
      </c>
      <c r="G793" s="168">
        <f>SUMIFS(Таблица1[[#This Row],[8]:[19]],$I$5:$T$5,"Выкуп")</f>
        <v>0</v>
      </c>
      <c r="H793" s="168">
        <f>SUMIFS(Таблица1[[#This Row],[8]:[19]],$I$5:$T$5,"Аренда")</f>
        <v>15.8</v>
      </c>
      <c r="I793" s="169"/>
      <c r="J793" s="169"/>
      <c r="K793" s="169"/>
      <c r="L793" s="169"/>
      <c r="M793" s="169"/>
      <c r="N793" s="169"/>
      <c r="O793" s="167"/>
      <c r="P793" s="169">
        <v>15.8</v>
      </c>
      <c r="Q793" s="169"/>
      <c r="R793" s="169"/>
      <c r="S793" s="169"/>
      <c r="T793" s="169"/>
      <c r="U793" s="170"/>
      <c r="V793" s="171"/>
    </row>
    <row r="794" spans="1:22" hidden="1" outlineLevel="2" x14ac:dyDescent="0.25">
      <c r="A794" s="186">
        <f>SUMIFS(МКД!$A$6:$A$389,МКД!$D$6:$D$389,Таблица1[[#This Row],[2]])</f>
        <v>137</v>
      </c>
      <c r="B794" s="168"/>
      <c r="C794" s="182" t="s">
        <v>666</v>
      </c>
      <c r="D794" s="167" t="s">
        <v>1593</v>
      </c>
      <c r="E794" s="273" t="s">
        <v>1745</v>
      </c>
      <c r="F794" s="167">
        <v>1</v>
      </c>
      <c r="G794" s="168">
        <f>SUMIFS(Таблица1[[#This Row],[8]:[19]],$I$5:$T$5,"Выкуп")</f>
        <v>85.5</v>
      </c>
      <c r="H794" s="168">
        <f>SUMIFS(Таблица1[[#This Row],[8]:[19]],$I$5:$T$5,"Аренда")</f>
        <v>0</v>
      </c>
      <c r="I794" s="169"/>
      <c r="J794" s="169"/>
      <c r="K794" s="169">
        <v>85.5</v>
      </c>
      <c r="L794" s="169"/>
      <c r="M794" s="169"/>
      <c r="N794" s="169"/>
      <c r="O794" s="169"/>
      <c r="P794" s="169"/>
      <c r="Q794" s="169"/>
      <c r="R794" s="169"/>
      <c r="S794" s="169"/>
      <c r="T794" s="169"/>
      <c r="U794" s="170"/>
      <c r="V794" s="171"/>
    </row>
    <row r="795" spans="1:22" hidden="1" outlineLevel="2" x14ac:dyDescent="0.25">
      <c r="A795" s="186">
        <f>SUMIFS(МКД!$A$6:$A$389,МКД!$D$6:$D$389,Таблица1[[#This Row],[2]])</f>
        <v>137</v>
      </c>
      <c r="B795" s="168"/>
      <c r="C795" s="182" t="s">
        <v>666</v>
      </c>
      <c r="D795" s="167" t="s">
        <v>189</v>
      </c>
      <c r="E795" s="167" t="s">
        <v>123</v>
      </c>
      <c r="F795" s="167">
        <v>1</v>
      </c>
      <c r="G795" s="168">
        <f>SUMIFS(Таблица1[[#This Row],[8]:[19]],$I$5:$T$5,"Выкуп")</f>
        <v>118.6</v>
      </c>
      <c r="H795" s="168">
        <f>SUMIFS(Таблица1[[#This Row],[8]:[19]],$I$5:$T$5,"Аренда")</f>
        <v>0</v>
      </c>
      <c r="I795" s="169"/>
      <c r="J795" s="169"/>
      <c r="K795" s="169">
        <v>118.6</v>
      </c>
      <c r="L795" s="169"/>
      <c r="M795" s="169"/>
      <c r="N795" s="169"/>
      <c r="O795" s="169"/>
      <c r="P795" s="169"/>
      <c r="Q795" s="169"/>
      <c r="R795" s="169"/>
      <c r="S795" s="169"/>
      <c r="T795" s="169"/>
      <c r="U795" s="170"/>
      <c r="V795" s="171"/>
    </row>
    <row r="796" spans="1:22" ht="15" outlineLevel="1" collapsed="1" x14ac:dyDescent="0.25">
      <c r="A796" s="186">
        <f>SUMIFS(МКД!$A$6:$A$389,МКД!$D$6:$D$389,Таблица1[[#This Row],[2]])</f>
        <v>138</v>
      </c>
      <c r="B796" s="194">
        <f>SUMIFS(Таблица1[6],Таблица1[2],Таблица1[[#This Row],[2]])+SUMIFS(Таблица1[7],Таблица1[2],Таблица1[[#This Row],[2]])</f>
        <v>0</v>
      </c>
      <c r="C796" s="185" t="s">
        <v>667</v>
      </c>
      <c r="D796" s="196"/>
      <c r="E796" s="196"/>
      <c r="F796" s="196"/>
      <c r="G796" s="168"/>
      <c r="H796" s="197"/>
      <c r="I796" s="196"/>
      <c r="J796" s="196"/>
      <c r="K796" s="196"/>
      <c r="L796" s="196"/>
      <c r="M796" s="196"/>
      <c r="N796" s="196"/>
      <c r="O796" s="196"/>
      <c r="P796" s="196"/>
      <c r="Q796" s="196"/>
      <c r="R796" s="196"/>
      <c r="S796" s="196"/>
      <c r="T796" s="196"/>
      <c r="U796" s="196"/>
      <c r="V796" s="198"/>
    </row>
    <row r="797" spans="1:22" ht="15" hidden="1" outlineLevel="2" x14ac:dyDescent="0.25">
      <c r="A797" s="186">
        <f>SUMIFS(МКД!$A$6:$A$389,МКД!$D$6:$D$389,Таблица1[[#This Row],[2]])</f>
        <v>138</v>
      </c>
      <c r="B797" s="196"/>
      <c r="C797" s="182" t="s">
        <v>667</v>
      </c>
      <c r="D797" s="196"/>
      <c r="E797" s="196"/>
      <c r="F797" s="196"/>
      <c r="G797" s="168">
        <f>SUMIFS(Таблица1[[#This Row],[8]:[19]],$I$5:$T$5,"Выкуп")</f>
        <v>0</v>
      </c>
      <c r="H797" s="168">
        <f>SUMIFS(Таблица1[[#This Row],[8]:[19]],$I$5:$T$5,"Аренда")</f>
        <v>0</v>
      </c>
      <c r="I797" s="196"/>
      <c r="J797" s="196"/>
      <c r="K797" s="196"/>
      <c r="L797" s="196"/>
      <c r="M797" s="196"/>
      <c r="N797" s="196"/>
      <c r="O797" s="196"/>
      <c r="P797" s="196"/>
      <c r="Q797" s="196"/>
      <c r="R797" s="196"/>
      <c r="S797" s="196"/>
      <c r="T797" s="196"/>
      <c r="U797" s="196"/>
      <c r="V797" s="198"/>
    </row>
    <row r="798" spans="1:22" ht="15" outlineLevel="1" collapsed="1" x14ac:dyDescent="0.25">
      <c r="A798" s="186">
        <f>SUMIFS(МКД!$A$6:$A$389,МКД!$D$6:$D$389,Таблица1[[#This Row],[2]])</f>
        <v>139</v>
      </c>
      <c r="B798" s="194">
        <f>SUMIFS(Таблица1[6],Таблица1[2],Таблица1[[#This Row],[2]])+SUMIFS(Таблица1[7],Таблица1[2],Таблица1[[#This Row],[2]])</f>
        <v>1352.6000000000001</v>
      </c>
      <c r="C798" s="185" t="s">
        <v>688</v>
      </c>
      <c r="D798" s="196"/>
      <c r="E798" s="196"/>
      <c r="F798" s="196"/>
      <c r="G798" s="168"/>
      <c r="H798" s="197"/>
      <c r="I798" s="196"/>
      <c r="J798" s="196"/>
      <c r="K798" s="196"/>
      <c r="L798" s="196"/>
      <c r="M798" s="196"/>
      <c r="N798" s="196"/>
      <c r="O798" s="196"/>
      <c r="P798" s="196"/>
      <c r="Q798" s="196"/>
      <c r="R798" s="196"/>
      <c r="S798" s="196"/>
      <c r="T798" s="196"/>
      <c r="U798" s="196"/>
      <c r="V798" s="198"/>
    </row>
    <row r="799" spans="1:22" hidden="1" outlineLevel="2" x14ac:dyDescent="0.25">
      <c r="A799" s="186">
        <f>SUMIFS(МКД!$A$6:$A$389,МКД!$D$6:$D$389,Таблица1[[#This Row],[2]])</f>
        <v>139</v>
      </c>
      <c r="B799" s="170"/>
      <c r="C799" s="182" t="s">
        <v>688</v>
      </c>
      <c r="D799" s="167" t="s">
        <v>181</v>
      </c>
      <c r="E799" s="167"/>
      <c r="F799" s="167">
        <v>1</v>
      </c>
      <c r="G799" s="168">
        <f>SUMIFS(Таблица1[[#This Row],[8]:[19]],$I$5:$T$5,"Выкуп")</f>
        <v>139</v>
      </c>
      <c r="H799" s="168">
        <f>SUMIFS(Таблица1[[#This Row],[8]:[19]],$I$5:$T$5,"Аренда")</f>
        <v>0</v>
      </c>
      <c r="I799" s="169">
        <v>139</v>
      </c>
      <c r="J799" s="169"/>
      <c r="K799" s="169"/>
      <c r="L799" s="169"/>
      <c r="M799" s="169"/>
      <c r="N799" s="169"/>
      <c r="O799" s="169"/>
      <c r="P799" s="169"/>
      <c r="Q799" s="169"/>
      <c r="R799" s="169"/>
      <c r="S799" s="169"/>
      <c r="T799" s="169"/>
      <c r="U799" s="170"/>
      <c r="V799" s="171"/>
    </row>
    <row r="800" spans="1:22" hidden="1" outlineLevel="2" x14ac:dyDescent="0.25">
      <c r="A800" s="186">
        <f>SUMIFS(МКД!$A$6:$A$389,МКД!$D$6:$D$389,Таблица1[[#This Row],[2]])</f>
        <v>139</v>
      </c>
      <c r="B800" s="168"/>
      <c r="C800" s="182" t="s">
        <v>688</v>
      </c>
      <c r="D800" s="167" t="s">
        <v>1522</v>
      </c>
      <c r="E800" s="167" t="s">
        <v>828</v>
      </c>
      <c r="F800" s="167">
        <v>1</v>
      </c>
      <c r="G800" s="168">
        <f>SUMIFS(Таблица1[[#This Row],[8]:[19]],$I$5:$T$5,"Выкуп")</f>
        <v>220.8</v>
      </c>
      <c r="H800" s="168">
        <f>SUMIFS(Таблица1[[#This Row],[8]:[19]],$I$5:$T$5,"Аренда")</f>
        <v>0</v>
      </c>
      <c r="I800" s="169">
        <v>220.8</v>
      </c>
      <c r="J800" s="169"/>
      <c r="K800" s="169"/>
      <c r="L800" s="169"/>
      <c r="M800" s="169"/>
      <c r="N800" s="169"/>
      <c r="O800" s="169"/>
      <c r="P800" s="169"/>
      <c r="Q800" s="169"/>
      <c r="R800" s="169"/>
      <c r="S800" s="169"/>
      <c r="T800" s="169"/>
      <c r="U800" s="170"/>
      <c r="V800" s="171"/>
    </row>
    <row r="801" spans="1:22" hidden="1" outlineLevel="2" x14ac:dyDescent="0.25">
      <c r="A801" s="186">
        <f>SUMIFS(МКД!$A$6:$A$389,МКД!$D$6:$D$389,Таблица1[[#This Row],[2]])</f>
        <v>139</v>
      </c>
      <c r="B801" s="168"/>
      <c r="C801" s="182" t="s">
        <v>688</v>
      </c>
      <c r="D801" s="167" t="s">
        <v>1522</v>
      </c>
      <c r="E801" s="167" t="s">
        <v>1523</v>
      </c>
      <c r="F801" s="167">
        <v>1</v>
      </c>
      <c r="G801" s="168">
        <f>SUMIFS(Таблица1[[#This Row],[8]:[19]],$I$5:$T$5,"Выкуп")</f>
        <v>394.2</v>
      </c>
      <c r="H801" s="168">
        <f>SUMIFS(Таблица1[[#This Row],[8]:[19]],$I$5:$T$5,"Аренда")</f>
        <v>0</v>
      </c>
      <c r="I801" s="169"/>
      <c r="J801" s="169"/>
      <c r="K801" s="169">
        <v>394.2</v>
      </c>
      <c r="L801" s="169"/>
      <c r="M801" s="169"/>
      <c r="N801" s="169"/>
      <c r="O801" s="169"/>
      <c r="P801" s="169"/>
      <c r="Q801" s="169"/>
      <c r="R801" s="169"/>
      <c r="S801" s="169"/>
      <c r="T801" s="169"/>
      <c r="U801" s="170"/>
      <c r="V801" s="171"/>
    </row>
    <row r="802" spans="1:22" hidden="1" outlineLevel="2" x14ac:dyDescent="0.25">
      <c r="A802" s="186">
        <f>SUMIFS(МКД!$A$6:$A$389,МКД!$D$6:$D$389,Таблица1[[#This Row],[2]])</f>
        <v>139</v>
      </c>
      <c r="B802" s="168"/>
      <c r="C802" s="182" t="s">
        <v>688</v>
      </c>
      <c r="D802" s="167" t="s">
        <v>182</v>
      </c>
      <c r="E802" s="167" t="s">
        <v>330</v>
      </c>
      <c r="F802" s="167">
        <v>1</v>
      </c>
      <c r="G802" s="168">
        <f>SUMIFS(Таблица1[[#This Row],[8]:[19]],$I$5:$T$5,"Выкуп")</f>
        <v>130.30000000000001</v>
      </c>
      <c r="H802" s="168">
        <f>SUMIFS(Таблица1[[#This Row],[8]:[19]],$I$5:$T$5,"Аренда")</f>
        <v>0</v>
      </c>
      <c r="I802" s="169">
        <v>130.30000000000001</v>
      </c>
      <c r="J802" s="169"/>
      <c r="K802" s="169"/>
      <c r="L802" s="169"/>
      <c r="M802" s="169"/>
      <c r="N802" s="169"/>
      <c r="O802" s="169"/>
      <c r="P802" s="169"/>
      <c r="Q802" s="169"/>
      <c r="R802" s="169"/>
      <c r="S802" s="169"/>
      <c r="T802" s="169"/>
      <c r="U802" s="170"/>
      <c r="V802" s="171"/>
    </row>
    <row r="803" spans="1:22" hidden="1" outlineLevel="2" x14ac:dyDescent="0.25">
      <c r="A803" s="186">
        <f>SUMIFS(МКД!$A$6:$A$389,МКД!$D$6:$D$389,Таблица1[[#This Row],[2]])</f>
        <v>139</v>
      </c>
      <c r="B803" s="168"/>
      <c r="C803" s="182" t="s">
        <v>688</v>
      </c>
      <c r="D803" s="167" t="s">
        <v>183</v>
      </c>
      <c r="E803" s="167"/>
      <c r="F803" s="167">
        <v>1</v>
      </c>
      <c r="G803" s="168">
        <f>SUMIFS(Таблица1[[#This Row],[8]:[19]],$I$5:$T$5,"Выкуп")</f>
        <v>71.2</v>
      </c>
      <c r="H803" s="168">
        <f>SUMIFS(Таблица1[[#This Row],[8]:[19]],$I$5:$T$5,"Аренда")</f>
        <v>0</v>
      </c>
      <c r="I803" s="169">
        <v>71.2</v>
      </c>
      <c r="J803" s="169"/>
      <c r="K803" s="169"/>
      <c r="L803" s="169"/>
      <c r="M803" s="169"/>
      <c r="N803" s="169"/>
      <c r="O803" s="169"/>
      <c r="P803" s="169"/>
      <c r="Q803" s="169"/>
      <c r="R803" s="169"/>
      <c r="S803" s="169"/>
      <c r="T803" s="169"/>
      <c r="U803" s="170"/>
      <c r="V803" s="171"/>
    </row>
    <row r="804" spans="1:22" hidden="1" outlineLevel="2" x14ac:dyDescent="0.25">
      <c r="A804" s="186">
        <f>SUMIFS(МКД!$A$6:$A$389,МКД!$D$6:$D$389,Таблица1[[#This Row],[2]])</f>
        <v>139</v>
      </c>
      <c r="B804" s="168"/>
      <c r="C804" s="182" t="s">
        <v>688</v>
      </c>
      <c r="D804" s="167" t="s">
        <v>1522</v>
      </c>
      <c r="E804" s="167" t="s">
        <v>1667</v>
      </c>
      <c r="F804" s="167">
        <v>1</v>
      </c>
      <c r="G804" s="168">
        <f>SUMIFS(Таблица1[[#This Row],[8]:[19]],$I$5:$T$5,"Выкуп")</f>
        <v>76.5</v>
      </c>
      <c r="H804" s="168">
        <f>SUMIFS(Таблица1[[#This Row],[8]:[19]],$I$5:$T$5,"Аренда")</f>
        <v>0</v>
      </c>
      <c r="I804" s="169">
        <v>76.5</v>
      </c>
      <c r="J804" s="169"/>
      <c r="K804" s="169"/>
      <c r="L804" s="169"/>
      <c r="M804" s="169"/>
      <c r="N804" s="169"/>
      <c r="O804" s="169"/>
      <c r="P804" s="169"/>
      <c r="Q804" s="169"/>
      <c r="R804" s="169"/>
      <c r="S804" s="169"/>
      <c r="T804" s="169"/>
      <c r="U804" s="170"/>
      <c r="V804" s="171"/>
    </row>
    <row r="805" spans="1:22" hidden="1" outlineLevel="2" x14ac:dyDescent="0.25">
      <c r="A805" s="186">
        <f>SUMIFS(МКД!$A$6:$A$389,МКД!$D$6:$D$389,Таблица1[[#This Row],[2]])</f>
        <v>139</v>
      </c>
      <c r="B805" s="168"/>
      <c r="C805" s="182" t="s">
        <v>688</v>
      </c>
      <c r="D805" s="167" t="s">
        <v>184</v>
      </c>
      <c r="E805" s="167"/>
      <c r="F805" s="167">
        <v>1</v>
      </c>
      <c r="G805" s="168">
        <f>SUMIFS(Таблица1[[#This Row],[8]:[19]],$I$5:$T$5,"Выкуп")</f>
        <v>130.80000000000001</v>
      </c>
      <c r="H805" s="168">
        <f>SUMIFS(Таблица1[[#This Row],[8]:[19]],$I$5:$T$5,"Аренда")</f>
        <v>0</v>
      </c>
      <c r="I805" s="169">
        <v>130.80000000000001</v>
      </c>
      <c r="J805" s="169"/>
      <c r="K805" s="169"/>
      <c r="L805" s="169"/>
      <c r="M805" s="169"/>
      <c r="N805" s="169"/>
      <c r="O805" s="169"/>
      <c r="P805" s="169"/>
      <c r="Q805" s="169"/>
      <c r="R805" s="169"/>
      <c r="S805" s="169"/>
      <c r="T805" s="169"/>
      <c r="U805" s="170"/>
      <c r="V805" s="171"/>
    </row>
    <row r="806" spans="1:22" hidden="1" outlineLevel="2" x14ac:dyDescent="0.25">
      <c r="A806" s="186">
        <f>SUMIFS(МКД!$A$6:$A$389,МКД!$D$6:$D$389,Таблица1[[#This Row],[2]])</f>
        <v>139</v>
      </c>
      <c r="B806" s="168"/>
      <c r="C806" s="182" t="s">
        <v>688</v>
      </c>
      <c r="D806" s="167" t="s">
        <v>185</v>
      </c>
      <c r="E806" s="167" t="s">
        <v>954</v>
      </c>
      <c r="F806" s="167">
        <v>1</v>
      </c>
      <c r="G806" s="168">
        <f>SUMIFS(Таблица1[[#This Row],[8]:[19]],$I$5:$T$5,"Выкуп")</f>
        <v>130.9</v>
      </c>
      <c r="H806" s="168">
        <f>SUMIFS(Таблица1[[#This Row],[8]:[19]],$I$5:$T$5,"Аренда")</f>
        <v>0</v>
      </c>
      <c r="I806" s="169">
        <v>121.8</v>
      </c>
      <c r="J806" s="169"/>
      <c r="K806" s="169"/>
      <c r="L806" s="169"/>
      <c r="M806" s="169"/>
      <c r="N806" s="169"/>
      <c r="O806" s="169"/>
      <c r="P806" s="169"/>
      <c r="Q806" s="169"/>
      <c r="R806" s="169"/>
      <c r="S806" s="169">
        <v>9.1</v>
      </c>
      <c r="T806" s="169"/>
      <c r="U806" s="170"/>
      <c r="V806" s="171"/>
    </row>
    <row r="807" spans="1:22" hidden="1" outlineLevel="2" x14ac:dyDescent="0.25">
      <c r="A807" s="186">
        <f>SUMIFS(МКД!$A$6:$A$389,МКД!$D$6:$D$389,Таблица1[[#This Row],[2]])</f>
        <v>139</v>
      </c>
      <c r="B807" s="168"/>
      <c r="C807" s="182" t="s">
        <v>688</v>
      </c>
      <c r="D807" s="167" t="s">
        <v>186</v>
      </c>
      <c r="E807" s="167"/>
      <c r="F807" s="167">
        <v>1</v>
      </c>
      <c r="G807" s="168">
        <f>SUMIFS(Таблица1[[#This Row],[8]:[19]],$I$5:$T$5,"Выкуп")</f>
        <v>58.9</v>
      </c>
      <c r="H807" s="168">
        <f>SUMIFS(Таблица1[[#This Row],[8]:[19]],$I$5:$T$5,"Аренда")</f>
        <v>0</v>
      </c>
      <c r="I807" s="169">
        <v>58.9</v>
      </c>
      <c r="J807" s="169"/>
      <c r="K807" s="169"/>
      <c r="L807" s="169"/>
      <c r="M807" s="169"/>
      <c r="N807" s="169"/>
      <c r="O807" s="169"/>
      <c r="P807" s="169"/>
      <c r="Q807" s="169"/>
      <c r="R807" s="169"/>
      <c r="S807" s="169"/>
      <c r="T807" s="169"/>
      <c r="U807" s="170"/>
      <c r="V807" s="171"/>
    </row>
    <row r="808" spans="1:22" ht="15" outlineLevel="1" collapsed="1" x14ac:dyDescent="0.25">
      <c r="A808" s="186">
        <f>SUMIFS(МКД!$A$6:$A$389,МКД!$D$6:$D$389,Таблица1[[#This Row],[2]])</f>
        <v>140</v>
      </c>
      <c r="B808" s="194">
        <f>SUMIFS(Таблица1[6],Таблица1[2],Таблица1[[#This Row],[2]])+SUMIFS(Таблица1[7],Таблица1[2],Таблица1[[#This Row],[2]])</f>
        <v>43.3</v>
      </c>
      <c r="C808" s="185" t="s">
        <v>689</v>
      </c>
      <c r="D808" s="196"/>
      <c r="E808" s="196"/>
      <c r="F808" s="196"/>
      <c r="G808" s="168"/>
      <c r="H808" s="197"/>
      <c r="I808" s="196"/>
      <c r="J808" s="196"/>
      <c r="K808" s="196"/>
      <c r="L808" s="196"/>
      <c r="M808" s="196"/>
      <c r="N808" s="196"/>
      <c r="O808" s="196"/>
      <c r="P808" s="196"/>
      <c r="Q808" s="196"/>
      <c r="R808" s="196"/>
      <c r="S808" s="196"/>
      <c r="T808" s="196"/>
      <c r="U808" s="196"/>
      <c r="V808" s="198"/>
    </row>
    <row r="809" spans="1:22" hidden="1" outlineLevel="2" x14ac:dyDescent="0.25">
      <c r="A809" s="186">
        <f>SUMIFS(МКД!$A$6:$A$389,МКД!$D$6:$D$389,Таблица1[[#This Row],[2]])</f>
        <v>140</v>
      </c>
      <c r="B809" s="170"/>
      <c r="C809" s="182" t="s">
        <v>689</v>
      </c>
      <c r="D809" s="167" t="s">
        <v>1792</v>
      </c>
      <c r="E809" s="167" t="s">
        <v>1246</v>
      </c>
      <c r="F809" s="167">
        <v>1</v>
      </c>
      <c r="G809" s="168">
        <f>SUMIFS(Таблица1[[#This Row],[8]:[19]],$I$5:$T$5,"Выкуп")</f>
        <v>43.3</v>
      </c>
      <c r="H809" s="168">
        <f>SUMIFS(Таблица1[[#This Row],[8]:[19]],$I$5:$T$5,"Аренда")</f>
        <v>0</v>
      </c>
      <c r="I809" s="169">
        <v>43.3</v>
      </c>
      <c r="J809" s="169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70"/>
      <c r="V809" s="171"/>
    </row>
    <row r="810" spans="1:22" ht="15" outlineLevel="1" collapsed="1" x14ac:dyDescent="0.25">
      <c r="A810" s="186">
        <f>SUMIFS(МКД!$A$6:$A$389,МКД!$D$6:$D$389,Таблица1[[#This Row],[2]])</f>
        <v>141</v>
      </c>
      <c r="B810" s="194">
        <f>SUMIFS(Таблица1[6],Таблица1[2],Таблица1[[#This Row],[2]])+SUMIFS(Таблица1[7],Таблица1[2],Таблица1[[#This Row],[2]])</f>
        <v>727.9</v>
      </c>
      <c r="C810" s="185" t="s">
        <v>668</v>
      </c>
      <c r="D810" s="196"/>
      <c r="E810" s="196"/>
      <c r="F810" s="196"/>
      <c r="G810" s="168"/>
      <c r="H810" s="197"/>
      <c r="I810" s="196"/>
      <c r="J810" s="196"/>
      <c r="K810" s="196"/>
      <c r="L810" s="196"/>
      <c r="M810" s="196"/>
      <c r="N810" s="196"/>
      <c r="O810" s="196"/>
      <c r="P810" s="196"/>
      <c r="Q810" s="196"/>
      <c r="R810" s="196"/>
      <c r="S810" s="196"/>
      <c r="T810" s="196"/>
      <c r="U810" s="196"/>
      <c r="V810" s="198"/>
    </row>
    <row r="811" spans="1:22" hidden="1" outlineLevel="2" x14ac:dyDescent="0.25">
      <c r="A811" s="186">
        <f>SUMIFS(МКД!$A$6:$A$389,МКД!$D$6:$D$389,Таблица1[[#This Row],[2]])</f>
        <v>141</v>
      </c>
      <c r="B811" s="170"/>
      <c r="C811" s="182" t="s">
        <v>668</v>
      </c>
      <c r="D811" s="167" t="s">
        <v>187</v>
      </c>
      <c r="E811" s="167" t="s">
        <v>926</v>
      </c>
      <c r="F811" s="167">
        <v>1</v>
      </c>
      <c r="G811" s="168">
        <f>SUMIFS(Таблица1[[#This Row],[8]:[19]],$I$5:$T$5,"Выкуп")</f>
        <v>70.400000000000006</v>
      </c>
      <c r="H811" s="168">
        <f>SUMIFS(Таблица1[[#This Row],[8]:[19]],$I$5:$T$5,"Аренда")</f>
        <v>0</v>
      </c>
      <c r="I811" s="169">
        <v>70.400000000000006</v>
      </c>
      <c r="J811" s="169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70"/>
      <c r="V811" s="171"/>
    </row>
    <row r="812" spans="1:22" hidden="1" outlineLevel="2" x14ac:dyDescent="0.25">
      <c r="A812" s="186">
        <f>SUMIFS(МКД!$A$6:$A$389,МКД!$D$6:$D$389,Таблица1[[#This Row],[2]])</f>
        <v>141</v>
      </c>
      <c r="B812" s="168"/>
      <c r="C812" s="182" t="s">
        <v>668</v>
      </c>
      <c r="D812" s="167" t="s">
        <v>2138</v>
      </c>
      <c r="E812" s="167" t="s">
        <v>2142</v>
      </c>
      <c r="F812" s="167">
        <v>1</v>
      </c>
      <c r="G812" s="168">
        <f>SUMIFS(Таблица1[[#This Row],[8]:[19]],$I$5:$T$5,"Выкуп")</f>
        <v>91.9</v>
      </c>
      <c r="H812" s="168">
        <f>SUMIFS(Таблица1[[#This Row],[8]:[19]],$I$5:$T$5,"Аренда")</f>
        <v>0</v>
      </c>
      <c r="I812" s="169">
        <v>91.9</v>
      </c>
      <c r="J812" s="169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70"/>
      <c r="V812" s="171"/>
    </row>
    <row r="813" spans="1:22" hidden="1" outlineLevel="2" x14ac:dyDescent="0.25">
      <c r="A813" s="186">
        <f>SUMIFS(МКД!$A$6:$A$389,МКД!$D$6:$D$389,Таблица1[[#This Row],[2]])</f>
        <v>141</v>
      </c>
      <c r="B813" s="168"/>
      <c r="C813" s="182" t="s">
        <v>668</v>
      </c>
      <c r="D813" s="167" t="s">
        <v>188</v>
      </c>
      <c r="E813" s="167" t="s">
        <v>1362</v>
      </c>
      <c r="F813" s="167">
        <v>1</v>
      </c>
      <c r="G813" s="168">
        <f>SUMIFS(Таблица1[[#This Row],[8]:[19]],$I$5:$T$5,"Выкуп")</f>
        <v>92.3</v>
      </c>
      <c r="H813" s="168">
        <f>SUMIFS(Таблица1[[#This Row],[8]:[19]],$I$5:$T$5,"Аренда")</f>
        <v>0</v>
      </c>
      <c r="I813" s="169">
        <v>92.3</v>
      </c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70"/>
      <c r="V813" s="171"/>
    </row>
    <row r="814" spans="1:22" hidden="1" outlineLevel="2" x14ac:dyDescent="0.25">
      <c r="A814" s="186">
        <f>SUMIFS(МКД!$A$6:$A$389,МКД!$D$6:$D$389,Таблица1[[#This Row],[2]])</f>
        <v>141</v>
      </c>
      <c r="B814" s="168"/>
      <c r="C814" s="182" t="s">
        <v>668</v>
      </c>
      <c r="D814" s="167" t="s">
        <v>2144</v>
      </c>
      <c r="E814" s="167" t="s">
        <v>2143</v>
      </c>
      <c r="F814" s="167">
        <v>1</v>
      </c>
      <c r="G814" s="168">
        <f>SUMIFS(Таблица1[[#This Row],[8]:[19]],$I$5:$T$5,"Выкуп")</f>
        <v>90.5</v>
      </c>
      <c r="H814" s="168">
        <f>SUMIFS(Таблица1[[#This Row],[8]:[19]],$I$5:$T$5,"Аренда")</f>
        <v>0</v>
      </c>
      <c r="I814" s="169">
        <v>90.5</v>
      </c>
      <c r="J814" s="169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70"/>
      <c r="V814" s="171"/>
    </row>
    <row r="815" spans="1:22" hidden="1" outlineLevel="2" x14ac:dyDescent="0.25">
      <c r="A815" s="186">
        <f>SUMIFS(МКД!$A$6:$A$389,МКД!$D$6:$D$389,Таблица1[[#This Row],[2]])</f>
        <v>141</v>
      </c>
      <c r="B815" s="168"/>
      <c r="C815" s="182" t="s">
        <v>668</v>
      </c>
      <c r="D815" s="167" t="s">
        <v>6</v>
      </c>
      <c r="E815" s="167" t="s">
        <v>1238</v>
      </c>
      <c r="F815" s="167">
        <v>1</v>
      </c>
      <c r="G815" s="168">
        <f>SUMIFS(Таблица1[[#This Row],[8]:[19]],$I$5:$T$5,"Выкуп")</f>
        <v>99.7</v>
      </c>
      <c r="H815" s="168">
        <f>SUMIFS(Таблица1[[#This Row],[8]:[19]],$I$5:$T$5,"Аренда")</f>
        <v>0</v>
      </c>
      <c r="I815" s="169">
        <v>99.7</v>
      </c>
      <c r="J815" s="169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70"/>
      <c r="V815" s="171"/>
    </row>
    <row r="816" spans="1:22" hidden="1" outlineLevel="2" x14ac:dyDescent="0.25">
      <c r="A816" s="186">
        <f>SUMIFS(МКД!$A$6:$A$389,МКД!$D$6:$D$389,Таблица1[[#This Row],[2]])</f>
        <v>141</v>
      </c>
      <c r="B816" s="168"/>
      <c r="C816" s="182" t="s">
        <v>668</v>
      </c>
      <c r="D816" s="167" t="s">
        <v>2146</v>
      </c>
      <c r="E816" s="167" t="s">
        <v>1063</v>
      </c>
      <c r="F816" s="167">
        <v>1</v>
      </c>
      <c r="G816" s="168">
        <f>SUMIFS(Таблица1[[#This Row],[8]:[19]],$I$5:$T$5,"Выкуп")</f>
        <v>54.2</v>
      </c>
      <c r="H816" s="168">
        <f>SUMIFS(Таблица1[[#This Row],[8]:[19]],$I$5:$T$5,"Аренда")</f>
        <v>0</v>
      </c>
      <c r="I816" s="169">
        <v>54.2</v>
      </c>
      <c r="J816" s="169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70"/>
      <c r="V816" s="171"/>
    </row>
    <row r="817" spans="1:22" hidden="1" outlineLevel="2" x14ac:dyDescent="0.25">
      <c r="A817" s="186">
        <f>SUMIFS(МКД!$A$6:$A$389,МКД!$D$6:$D$389,Таблица1[[#This Row],[2]])</f>
        <v>141</v>
      </c>
      <c r="B817" s="168"/>
      <c r="C817" s="182" t="s">
        <v>668</v>
      </c>
      <c r="D817" s="167" t="s">
        <v>1639</v>
      </c>
      <c r="E817" s="167" t="s">
        <v>1638</v>
      </c>
      <c r="F817" s="167">
        <v>1</v>
      </c>
      <c r="G817" s="168">
        <f>SUMIFS(Таблица1[[#This Row],[8]:[19]],$I$5:$T$5,"Выкуп")</f>
        <v>73.400000000000006</v>
      </c>
      <c r="H817" s="168">
        <f>SUMIFS(Таблица1[[#This Row],[8]:[19]],$I$5:$T$5,"Аренда")</f>
        <v>0</v>
      </c>
      <c r="I817" s="169">
        <v>73.400000000000006</v>
      </c>
      <c r="J817" s="169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70"/>
      <c r="V817" s="171"/>
    </row>
    <row r="818" spans="1:22" hidden="1" outlineLevel="2" x14ac:dyDescent="0.25">
      <c r="A818" s="186">
        <f>SUMIFS(МКД!$A$6:$A$389,МКД!$D$6:$D$389,Таблица1[[#This Row],[2]])</f>
        <v>141</v>
      </c>
      <c r="B818" s="168"/>
      <c r="C818" s="182" t="s">
        <v>668</v>
      </c>
      <c r="D818" s="167" t="s">
        <v>2147</v>
      </c>
      <c r="E818" s="167" t="s">
        <v>2148</v>
      </c>
      <c r="F818" s="167">
        <v>1</v>
      </c>
      <c r="G818" s="168">
        <f>SUMIFS(Таблица1[[#This Row],[8]:[19]],$I$5:$T$5,"Выкуп")</f>
        <v>56.6</v>
      </c>
      <c r="H818" s="168">
        <f>SUMIFS(Таблица1[[#This Row],[8]:[19]],$I$5:$T$5,"Аренда")</f>
        <v>0</v>
      </c>
      <c r="I818" s="169">
        <v>56.6</v>
      </c>
      <c r="J818" s="169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70"/>
      <c r="V818" s="171"/>
    </row>
    <row r="819" spans="1:22" hidden="1" outlineLevel="2" x14ac:dyDescent="0.25">
      <c r="A819" s="186">
        <f>SUMIFS(МКД!$A$6:$A$389,МКД!$D$6:$D$389,Таблица1[[#This Row],[2]])</f>
        <v>141</v>
      </c>
      <c r="B819" s="168"/>
      <c r="C819" s="182" t="s">
        <v>668</v>
      </c>
      <c r="D819" s="167" t="s">
        <v>2673</v>
      </c>
      <c r="E819" s="167" t="s">
        <v>2145</v>
      </c>
      <c r="F819" s="167">
        <v>1</v>
      </c>
      <c r="G819" s="168">
        <f>SUMIFS(Таблица1[[#This Row],[8]:[19]],$I$5:$T$5,"Выкуп")</f>
        <v>98.9</v>
      </c>
      <c r="H819" s="168">
        <f>SUMIFS(Таблица1[[#This Row],[8]:[19]],$I$5:$T$5,"Аренда")</f>
        <v>0</v>
      </c>
      <c r="I819" s="169">
        <v>98.9</v>
      </c>
      <c r="J819" s="169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70"/>
      <c r="V819" s="171"/>
    </row>
    <row r="820" spans="1:22" ht="15" outlineLevel="1" collapsed="1" x14ac:dyDescent="0.25">
      <c r="A820" s="186">
        <f>SUMIFS(МКД!$A$6:$A$389,МКД!$D$6:$D$389,Таблица1[[#This Row],[2]])</f>
        <v>142</v>
      </c>
      <c r="B820" s="194">
        <f>SUMIFS(Таблица1[6],Таблица1[2],Таблица1[[#This Row],[2]])+SUMIFS(Таблица1[7],Таблица1[2],Таблица1[[#This Row],[2]])</f>
        <v>362.29999999999995</v>
      </c>
      <c r="C820" s="185" t="s">
        <v>669</v>
      </c>
      <c r="D820" s="196"/>
      <c r="E820" s="196"/>
      <c r="F820" s="196"/>
      <c r="G820" s="168"/>
      <c r="H820" s="197"/>
      <c r="I820" s="196"/>
      <c r="J820" s="196"/>
      <c r="K820" s="196"/>
      <c r="L820" s="196"/>
      <c r="M820" s="196"/>
      <c r="N820" s="196"/>
      <c r="O820" s="196"/>
      <c r="P820" s="196"/>
      <c r="Q820" s="196"/>
      <c r="R820" s="196"/>
      <c r="S820" s="196"/>
      <c r="T820" s="196"/>
      <c r="U820" s="196"/>
      <c r="V820" s="198"/>
    </row>
    <row r="821" spans="1:22" hidden="1" outlineLevel="2" x14ac:dyDescent="0.25">
      <c r="A821" s="186">
        <f>SUMIFS(МКД!$A$6:$A$389,МКД!$D$6:$D$389,Таблица1[[#This Row],[2]])</f>
        <v>142</v>
      </c>
      <c r="B821" s="170"/>
      <c r="C821" s="182" t="s">
        <v>669</v>
      </c>
      <c r="D821" s="167" t="s">
        <v>189</v>
      </c>
      <c r="E821" s="167" t="s">
        <v>91</v>
      </c>
      <c r="F821" s="167">
        <v>1</v>
      </c>
      <c r="G821" s="168">
        <f>SUMIFS(Таблица1[[#This Row],[8]:[19]],$I$5:$T$5,"Выкуп")</f>
        <v>63.6</v>
      </c>
      <c r="H821" s="168">
        <f>SUMIFS(Таблица1[[#This Row],[8]:[19]],$I$5:$T$5,"Аренда")</f>
        <v>0</v>
      </c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9">
        <v>63.6</v>
      </c>
      <c r="T821" s="169"/>
      <c r="U821" s="170"/>
      <c r="V821" s="171"/>
    </row>
    <row r="822" spans="1:22" hidden="1" outlineLevel="2" x14ac:dyDescent="0.25">
      <c r="A822" s="186">
        <f>SUMIFS(МКД!$A$6:$A$389,МКД!$D$6:$D$389,Таблица1[[#This Row],[2]])</f>
        <v>142</v>
      </c>
      <c r="B822" s="168"/>
      <c r="C822" s="182" t="s">
        <v>669</v>
      </c>
      <c r="D822" s="167" t="s">
        <v>190</v>
      </c>
      <c r="E822" s="167" t="s">
        <v>2150</v>
      </c>
      <c r="F822" s="167">
        <v>1</v>
      </c>
      <c r="G822" s="168">
        <f>SUMIFS(Таблица1[[#This Row],[8]:[19]],$I$5:$T$5,"Выкуп")</f>
        <v>54.1</v>
      </c>
      <c r="H822" s="168">
        <f>SUMIFS(Таблица1[[#This Row],[8]:[19]],$I$5:$T$5,"Аренда")</f>
        <v>0</v>
      </c>
      <c r="I822" s="169">
        <v>54.1</v>
      </c>
      <c r="J822" s="169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70"/>
      <c r="V822" s="171"/>
    </row>
    <row r="823" spans="1:22" hidden="1" outlineLevel="2" x14ac:dyDescent="0.25">
      <c r="A823" s="186">
        <f>SUMIFS(МКД!$A$6:$A$389,МКД!$D$6:$D$389,Таблица1[[#This Row],[2]])</f>
        <v>142</v>
      </c>
      <c r="B823" s="168"/>
      <c r="C823" s="182" t="s">
        <v>669</v>
      </c>
      <c r="D823" s="167" t="s">
        <v>2149</v>
      </c>
      <c r="E823" s="167" t="s">
        <v>1376</v>
      </c>
      <c r="F823" s="167">
        <v>1</v>
      </c>
      <c r="G823" s="168">
        <f>SUMIFS(Таблица1[[#This Row],[8]:[19]],$I$5:$T$5,"Выкуп")</f>
        <v>95</v>
      </c>
      <c r="H823" s="168">
        <f>SUMIFS(Таблица1[[#This Row],[8]:[19]],$I$5:$T$5,"Аренда")</f>
        <v>0</v>
      </c>
      <c r="I823" s="169">
        <v>95</v>
      </c>
      <c r="J823" s="169"/>
      <c r="K823" s="169"/>
      <c r="L823" s="169"/>
      <c r="M823" s="169"/>
      <c r="N823" s="169"/>
      <c r="O823" s="169"/>
      <c r="P823" s="169"/>
      <c r="Q823" s="169"/>
      <c r="R823" s="169"/>
      <c r="S823" s="169"/>
      <c r="T823" s="169"/>
      <c r="U823" s="170"/>
      <c r="V823" s="171"/>
    </row>
    <row r="824" spans="1:22" hidden="1" outlineLevel="2" x14ac:dyDescent="0.25">
      <c r="A824" s="186">
        <f>SUMIFS(МКД!$A$6:$A$389,МКД!$D$6:$D$389,Таблица1[[#This Row],[2]])</f>
        <v>142</v>
      </c>
      <c r="B824" s="168"/>
      <c r="C824" s="182" t="s">
        <v>669</v>
      </c>
      <c r="D824" s="167" t="s">
        <v>1593</v>
      </c>
      <c r="E824" s="273" t="s">
        <v>1746</v>
      </c>
      <c r="F824" s="167">
        <v>1</v>
      </c>
      <c r="G824" s="168">
        <f>SUMIFS(Таблица1[[#This Row],[8]:[19]],$I$5:$T$5,"Выкуп")</f>
        <v>76</v>
      </c>
      <c r="H824" s="168">
        <f>SUMIFS(Таблица1[[#This Row],[8]:[19]],$I$5:$T$5,"Аренда")</f>
        <v>0</v>
      </c>
      <c r="I824" s="169"/>
      <c r="J824" s="169"/>
      <c r="K824" s="169">
        <v>76</v>
      </c>
      <c r="L824" s="169"/>
      <c r="M824" s="169"/>
      <c r="N824" s="169"/>
      <c r="O824" s="169"/>
      <c r="P824" s="169"/>
      <c r="Q824" s="169"/>
      <c r="R824" s="169"/>
      <c r="S824" s="169"/>
      <c r="T824" s="169"/>
      <c r="U824" s="170"/>
      <c r="V824" s="171"/>
    </row>
    <row r="825" spans="1:22" hidden="1" outlineLevel="2" x14ac:dyDescent="0.25">
      <c r="A825" s="186">
        <f>SUMIFS(МКД!$A$6:$A$389,МКД!$D$6:$D$389,Таблица1[[#This Row],[2]])</f>
        <v>142</v>
      </c>
      <c r="B825" s="168"/>
      <c r="C825" s="182" t="s">
        <v>669</v>
      </c>
      <c r="D825" s="167" t="s">
        <v>1821</v>
      </c>
      <c r="E825" s="167" t="s">
        <v>1820</v>
      </c>
      <c r="F825" s="167">
        <v>2</v>
      </c>
      <c r="G825" s="168">
        <f>SUMIFS(Таблица1[[#This Row],[8]:[19]],$I$5:$T$5,"Выкуп")</f>
        <v>73.599999999999994</v>
      </c>
      <c r="H825" s="168">
        <f>SUMIFS(Таблица1[[#This Row],[8]:[19]],$I$5:$T$5,"Аренда")</f>
        <v>0</v>
      </c>
      <c r="I825" s="169">
        <v>73.599999999999994</v>
      </c>
      <c r="J825" s="169"/>
      <c r="K825" s="169"/>
      <c r="L825" s="169"/>
      <c r="M825" s="169"/>
      <c r="N825" s="169"/>
      <c r="O825" s="169"/>
      <c r="P825" s="169"/>
      <c r="Q825" s="169"/>
      <c r="R825" s="169"/>
      <c r="S825" s="169"/>
      <c r="T825" s="169"/>
      <c r="U825" s="170"/>
      <c r="V825" s="171"/>
    </row>
    <row r="826" spans="1:22" ht="15" outlineLevel="1" collapsed="1" x14ac:dyDescent="0.25">
      <c r="A826" s="186">
        <f>SUMIFS(МКД!$A$6:$A$389,МКД!$D$6:$D$389,Таблица1[[#This Row],[2]])</f>
        <v>143</v>
      </c>
      <c r="B826" s="194">
        <f>SUMIFS(Таблица1[6],Таблица1[2],Таблица1[[#This Row],[2]])+SUMIFS(Таблица1[7],Таблица1[2],Таблица1[[#This Row],[2]])</f>
        <v>651.5</v>
      </c>
      <c r="C826" s="185" t="s">
        <v>690</v>
      </c>
      <c r="D826" s="196"/>
      <c r="E826" s="196"/>
      <c r="F826" s="196"/>
      <c r="G826" s="168"/>
      <c r="H826" s="197"/>
      <c r="I826" s="196"/>
      <c r="J826" s="196"/>
      <c r="K826" s="196"/>
      <c r="L826" s="196"/>
      <c r="M826" s="196"/>
      <c r="N826" s="196"/>
      <c r="O826" s="196"/>
      <c r="P826" s="196"/>
      <c r="Q826" s="196"/>
      <c r="R826" s="196"/>
      <c r="S826" s="196"/>
      <c r="T826" s="196"/>
      <c r="U826" s="196"/>
      <c r="V826" s="198"/>
    </row>
    <row r="827" spans="1:22" hidden="1" outlineLevel="2" x14ac:dyDescent="0.25">
      <c r="A827" s="186">
        <f>SUMIFS(МКД!$A$6:$A$389,МКД!$D$6:$D$389,Таблица1[[#This Row],[2]])</f>
        <v>143</v>
      </c>
      <c r="B827" s="170"/>
      <c r="C827" s="182" t="s">
        <v>690</v>
      </c>
      <c r="D827" s="167" t="s">
        <v>1904</v>
      </c>
      <c r="E827" s="167" t="s">
        <v>892</v>
      </c>
      <c r="F827" s="167">
        <v>1</v>
      </c>
      <c r="G827" s="168">
        <f>SUMIFS(Таблица1[[#This Row],[8]:[19]],$I$5:$T$5,"Выкуп")</f>
        <v>76.900000000000006</v>
      </c>
      <c r="H827" s="168">
        <f>SUMIFS(Таблица1[[#This Row],[8]:[19]],$I$5:$T$5,"Аренда")</f>
        <v>0</v>
      </c>
      <c r="I827" s="169">
        <v>76.900000000000006</v>
      </c>
      <c r="J827" s="169"/>
      <c r="K827" s="169"/>
      <c r="L827" s="169"/>
      <c r="M827" s="169"/>
      <c r="N827" s="169"/>
      <c r="O827" s="169"/>
      <c r="P827" s="169"/>
      <c r="Q827" s="169"/>
      <c r="R827" s="169"/>
      <c r="S827" s="169"/>
      <c r="T827" s="169"/>
      <c r="U827" s="170"/>
      <c r="V827" s="171"/>
    </row>
    <row r="828" spans="1:22" hidden="1" outlineLevel="2" x14ac:dyDescent="0.25">
      <c r="A828" s="186">
        <f>SUMIFS(МКД!$A$6:$A$389,МКД!$D$6:$D$389,Таблица1[[#This Row],[2]])</f>
        <v>143</v>
      </c>
      <c r="B828" s="168"/>
      <c r="C828" s="182" t="s">
        <v>690</v>
      </c>
      <c r="D828" s="167" t="s">
        <v>2516</v>
      </c>
      <c r="E828" s="167" t="s">
        <v>1257</v>
      </c>
      <c r="F828" s="167">
        <v>1</v>
      </c>
      <c r="G828" s="168">
        <f>SUMIFS(Таблица1[[#This Row],[8]:[19]],$I$5:$T$5,"Выкуп")</f>
        <v>33.799999999999997</v>
      </c>
      <c r="H828" s="168">
        <f>SUMIFS(Таблица1[[#This Row],[8]:[19]],$I$5:$T$5,"Аренда")</f>
        <v>0</v>
      </c>
      <c r="I828" s="169">
        <v>33.799999999999997</v>
      </c>
      <c r="J828" s="169"/>
      <c r="K828" s="169"/>
      <c r="L828" s="169"/>
      <c r="M828" s="169"/>
      <c r="N828" s="169"/>
      <c r="O828" s="169"/>
      <c r="P828" s="169"/>
      <c r="Q828" s="169"/>
      <c r="R828" s="169"/>
      <c r="S828" s="169"/>
      <c r="T828" s="169"/>
      <c r="U828" s="170"/>
      <c r="V828" s="171"/>
    </row>
    <row r="829" spans="1:22" hidden="1" outlineLevel="2" x14ac:dyDescent="0.25">
      <c r="A829" s="186">
        <f>SUMIFS(МКД!$A$6:$A$389,МКД!$D$6:$D$389,Таблица1[[#This Row],[2]])</f>
        <v>143</v>
      </c>
      <c r="B829" s="168"/>
      <c r="C829" s="182" t="s">
        <v>690</v>
      </c>
      <c r="D829" s="167" t="s">
        <v>2726</v>
      </c>
      <c r="E829" s="167" t="s">
        <v>1303</v>
      </c>
      <c r="F829" s="167">
        <v>1</v>
      </c>
      <c r="G829" s="168">
        <f>SUMIFS(Таблица1[[#This Row],[8]:[19]],$I$5:$T$5,"Выкуп")</f>
        <v>75.7</v>
      </c>
      <c r="H829" s="168">
        <f>SUMIFS(Таблица1[[#This Row],[8]:[19]],$I$5:$T$5,"Аренда")</f>
        <v>0</v>
      </c>
      <c r="I829" s="169">
        <v>75.7</v>
      </c>
      <c r="J829" s="169"/>
      <c r="K829" s="169"/>
      <c r="L829" s="169"/>
      <c r="M829" s="169"/>
      <c r="N829" s="169"/>
      <c r="O829" s="169"/>
      <c r="P829" s="169"/>
      <c r="Q829" s="169"/>
      <c r="R829" s="169"/>
      <c r="S829" s="169"/>
      <c r="T829" s="169"/>
      <c r="U829" s="170"/>
      <c r="V829" s="171"/>
    </row>
    <row r="830" spans="1:22" hidden="1" outlineLevel="2" x14ac:dyDescent="0.25">
      <c r="A830" s="186">
        <f>SUMIFS(МКД!$A$6:$A$389,МКД!$D$6:$D$389,Таблица1[[#This Row],[2]])</f>
        <v>143</v>
      </c>
      <c r="B830" s="168"/>
      <c r="C830" s="182" t="s">
        <v>690</v>
      </c>
      <c r="D830" s="167" t="s">
        <v>2490</v>
      </c>
      <c r="E830" s="167" t="s">
        <v>2518</v>
      </c>
      <c r="F830" s="167">
        <v>1</v>
      </c>
      <c r="G830" s="168">
        <f>SUMIFS(Таблица1[[#This Row],[8]:[19]],$I$5:$T$5,"Выкуп")</f>
        <v>69.7</v>
      </c>
      <c r="H830" s="168">
        <f>SUMIFS(Таблица1[[#This Row],[8]:[19]],$I$5:$T$5,"Аренда")</f>
        <v>0</v>
      </c>
      <c r="I830" s="169">
        <v>69.7</v>
      </c>
      <c r="J830" s="169"/>
      <c r="K830" s="169"/>
      <c r="L830" s="169"/>
      <c r="M830" s="169"/>
      <c r="N830" s="169"/>
      <c r="O830" s="169"/>
      <c r="P830" s="169"/>
      <c r="Q830" s="169"/>
      <c r="R830" s="169"/>
      <c r="S830" s="169"/>
      <c r="T830" s="169"/>
      <c r="U830" s="170"/>
      <c r="V830" s="171"/>
    </row>
    <row r="831" spans="1:22" hidden="1" outlineLevel="2" x14ac:dyDescent="0.25">
      <c r="A831" s="186">
        <f>SUMIFS(МКД!$A$6:$A$389,МКД!$D$6:$D$389,Таблица1[[#This Row],[2]])</f>
        <v>143</v>
      </c>
      <c r="B831" s="168"/>
      <c r="C831" s="182" t="s">
        <v>690</v>
      </c>
      <c r="D831" s="167" t="s">
        <v>2517</v>
      </c>
      <c r="E831" s="167" t="s">
        <v>1054</v>
      </c>
      <c r="F831" s="167">
        <v>1</v>
      </c>
      <c r="G831" s="168">
        <f>SUMIFS(Таблица1[[#This Row],[8]:[19]],$I$5:$T$5,"Выкуп")</f>
        <v>56.3</v>
      </c>
      <c r="H831" s="168">
        <f>SUMIFS(Таблица1[[#This Row],[8]:[19]],$I$5:$T$5,"Аренда")</f>
        <v>0</v>
      </c>
      <c r="I831" s="169">
        <v>56.3</v>
      </c>
      <c r="J831" s="169"/>
      <c r="K831" s="169"/>
      <c r="L831" s="169"/>
      <c r="M831" s="169"/>
      <c r="N831" s="169"/>
      <c r="O831" s="169"/>
      <c r="P831" s="169"/>
      <c r="Q831" s="169"/>
      <c r="R831" s="169"/>
      <c r="S831" s="169"/>
      <c r="T831" s="169"/>
      <c r="U831" s="170"/>
      <c r="V831" s="171"/>
    </row>
    <row r="832" spans="1:22" hidden="1" outlineLevel="2" x14ac:dyDescent="0.25">
      <c r="A832" s="186">
        <f>SUMIFS(МКД!$A$6:$A$389,МКД!$D$6:$D$389,Таблица1[[#This Row],[2]])</f>
        <v>143</v>
      </c>
      <c r="B832" s="168"/>
      <c r="C832" s="182" t="s">
        <v>690</v>
      </c>
      <c r="D832" s="167" t="s">
        <v>191</v>
      </c>
      <c r="E832" s="167" t="s">
        <v>2519</v>
      </c>
      <c r="F832" s="167">
        <v>1</v>
      </c>
      <c r="G832" s="168">
        <f>SUMIFS(Таблица1[[#This Row],[8]:[19]],$I$5:$T$5,"Выкуп")</f>
        <v>92</v>
      </c>
      <c r="H832" s="168">
        <f>SUMIFS(Таблица1[[#This Row],[8]:[19]],$I$5:$T$5,"Аренда")</f>
        <v>0</v>
      </c>
      <c r="I832" s="169">
        <f>34.3+57.7</f>
        <v>92</v>
      </c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70"/>
      <c r="V832" s="171"/>
    </row>
    <row r="833" spans="1:22" hidden="1" outlineLevel="2" x14ac:dyDescent="0.25">
      <c r="A833" s="186">
        <f>SUMIFS(МКД!$A$6:$A$389,МКД!$D$6:$D$389,Таблица1[[#This Row],[2]])</f>
        <v>143</v>
      </c>
      <c r="B833" s="168"/>
      <c r="C833" s="182" t="s">
        <v>690</v>
      </c>
      <c r="D833" s="167" t="s">
        <v>192</v>
      </c>
      <c r="E833" s="167" t="s">
        <v>1063</v>
      </c>
      <c r="F833" s="167">
        <v>1</v>
      </c>
      <c r="G833" s="168">
        <f>SUMIFS(Таблица1[[#This Row],[8]:[19]],$I$5:$T$5,"Выкуп")</f>
        <v>53.9</v>
      </c>
      <c r="H833" s="168">
        <f>SUMIFS(Таблица1[[#This Row],[8]:[19]],$I$5:$T$5,"Аренда")</f>
        <v>0</v>
      </c>
      <c r="I833" s="169">
        <v>53.9</v>
      </c>
      <c r="J833" s="169"/>
      <c r="K833" s="169"/>
      <c r="L833" s="169"/>
      <c r="M833" s="169"/>
      <c r="N833" s="169"/>
      <c r="O833" s="169"/>
      <c r="P833" s="169"/>
      <c r="Q833" s="169"/>
      <c r="R833" s="169"/>
      <c r="S833" s="169"/>
      <c r="T833" s="169"/>
      <c r="U833" s="170"/>
      <c r="V833" s="171"/>
    </row>
    <row r="834" spans="1:22" hidden="1" outlineLevel="2" x14ac:dyDescent="0.25">
      <c r="A834" s="186">
        <f>SUMIFS(МКД!$A$6:$A$389,МКД!$D$6:$D$389,Таблица1[[#This Row],[2]])</f>
        <v>143</v>
      </c>
      <c r="B834" s="168"/>
      <c r="C834" s="182" t="s">
        <v>690</v>
      </c>
      <c r="D834" s="167" t="s">
        <v>111</v>
      </c>
      <c r="E834" s="167" t="s">
        <v>2520</v>
      </c>
      <c r="F834" s="167">
        <v>1</v>
      </c>
      <c r="G834" s="168">
        <f>SUMIFS(Таблица1[[#This Row],[8]:[19]],$I$5:$T$5,"Выкуп")</f>
        <v>86.6</v>
      </c>
      <c r="H834" s="168">
        <f>SUMIFS(Таблица1[[#This Row],[8]:[19]],$I$5:$T$5,"Аренда")</f>
        <v>0</v>
      </c>
      <c r="I834" s="169">
        <v>86.6</v>
      </c>
      <c r="J834" s="169"/>
      <c r="K834" s="169"/>
      <c r="L834" s="169"/>
      <c r="M834" s="169"/>
      <c r="N834" s="169"/>
      <c r="O834" s="169"/>
      <c r="P834" s="169"/>
      <c r="Q834" s="169"/>
      <c r="R834" s="169"/>
      <c r="S834" s="169"/>
      <c r="T834" s="169"/>
      <c r="U834" s="170"/>
      <c r="V834" s="171"/>
    </row>
    <row r="835" spans="1:22" hidden="1" outlineLevel="2" x14ac:dyDescent="0.25">
      <c r="A835" s="186">
        <f>SUMIFS(МКД!$A$6:$A$389,МКД!$D$6:$D$389,Таблица1[[#This Row],[2]])</f>
        <v>143</v>
      </c>
      <c r="B835" s="168"/>
      <c r="C835" s="182" t="s">
        <v>690</v>
      </c>
      <c r="D835" s="167" t="s">
        <v>2175</v>
      </c>
      <c r="E835" s="167" t="s">
        <v>1169</v>
      </c>
      <c r="F835" s="167">
        <v>1</v>
      </c>
      <c r="G835" s="168">
        <f>SUMIFS(Таблица1[[#This Row],[8]:[19]],$I$5:$T$5,"Выкуп")</f>
        <v>73.7</v>
      </c>
      <c r="H835" s="168">
        <f>SUMIFS(Таблица1[[#This Row],[8]:[19]],$I$5:$T$5,"Аренда")</f>
        <v>0</v>
      </c>
      <c r="I835" s="169">
        <v>73.7</v>
      </c>
      <c r="J835" s="169"/>
      <c r="K835" s="169"/>
      <c r="L835" s="169"/>
      <c r="M835" s="169"/>
      <c r="N835" s="169"/>
      <c r="O835" s="169"/>
      <c r="P835" s="169"/>
      <c r="Q835" s="169"/>
      <c r="R835" s="169"/>
      <c r="S835" s="169"/>
      <c r="T835" s="169"/>
      <c r="U835" s="170"/>
      <c r="V835" s="171"/>
    </row>
    <row r="836" spans="1:22" hidden="1" outlineLevel="2" x14ac:dyDescent="0.25">
      <c r="A836" s="186">
        <f>SUMIFS(МКД!$A$6:$A$389,МКД!$D$6:$D$389,Таблица1[[#This Row],[2]])</f>
        <v>143</v>
      </c>
      <c r="B836" s="168"/>
      <c r="C836" s="182" t="s">
        <v>690</v>
      </c>
      <c r="D836" s="167" t="s">
        <v>2522</v>
      </c>
      <c r="E836" s="167" t="s">
        <v>2521</v>
      </c>
      <c r="F836" s="167">
        <v>1</v>
      </c>
      <c r="G836" s="168">
        <f>SUMIFS(Таблица1[[#This Row],[8]:[19]],$I$5:$T$5,"Выкуп")</f>
        <v>32.9</v>
      </c>
      <c r="H836" s="168">
        <f>SUMIFS(Таблица1[[#This Row],[8]:[19]],$I$5:$T$5,"Аренда")</f>
        <v>0</v>
      </c>
      <c r="I836" s="169">
        <v>32.9</v>
      </c>
      <c r="J836" s="169"/>
      <c r="K836" s="169"/>
      <c r="L836" s="169"/>
      <c r="M836" s="169"/>
      <c r="N836" s="169"/>
      <c r="O836" s="169"/>
      <c r="P836" s="169"/>
      <c r="Q836" s="169"/>
      <c r="R836" s="169"/>
      <c r="S836" s="169"/>
      <c r="T836" s="169"/>
      <c r="U836" s="170"/>
      <c r="V836" s="171"/>
    </row>
    <row r="837" spans="1:22" ht="15" outlineLevel="1" collapsed="1" x14ac:dyDescent="0.25">
      <c r="A837" s="186">
        <f>SUMIFS(МКД!$A$6:$A$389,МКД!$D$6:$D$389,Таблица1[[#This Row],[2]])</f>
        <v>144</v>
      </c>
      <c r="B837" s="194">
        <f>SUMIFS(Таблица1[6],Таблица1[2],Таблица1[[#This Row],[2]])+SUMIFS(Таблица1[7],Таблица1[2],Таблица1[[#This Row],[2]])</f>
        <v>0</v>
      </c>
      <c r="C837" s="185" t="s">
        <v>691</v>
      </c>
      <c r="D837" s="196"/>
      <c r="E837" s="196"/>
      <c r="F837" s="196"/>
      <c r="G837" s="168"/>
      <c r="H837" s="197"/>
      <c r="I837" s="196"/>
      <c r="J837" s="196"/>
      <c r="K837" s="196"/>
      <c r="L837" s="196"/>
      <c r="M837" s="196"/>
      <c r="N837" s="196"/>
      <c r="O837" s="196"/>
      <c r="P837" s="196"/>
      <c r="Q837" s="196"/>
      <c r="R837" s="196"/>
      <c r="S837" s="196"/>
      <c r="T837" s="196"/>
      <c r="U837" s="196"/>
      <c r="V837" s="198"/>
    </row>
    <row r="838" spans="1:22" ht="15" hidden="1" outlineLevel="2" x14ac:dyDescent="0.25">
      <c r="A838" s="186">
        <f>SUMIFS(МКД!$A$6:$A$389,МКД!$D$6:$D$389,Таблица1[[#This Row],[2]])</f>
        <v>144</v>
      </c>
      <c r="B838" s="196"/>
      <c r="C838" s="182" t="s">
        <v>691</v>
      </c>
      <c r="D838" s="196"/>
      <c r="E838" s="196"/>
      <c r="F838" s="196"/>
      <c r="G838" s="168">
        <f>SUMIFS(Таблица1[[#This Row],[8]:[19]],$I$5:$T$5,"Выкуп")</f>
        <v>0</v>
      </c>
      <c r="H838" s="168">
        <f>SUMIFS(Таблица1[[#This Row],[8]:[19]],$I$5:$T$5,"Аренда")</f>
        <v>0</v>
      </c>
      <c r="I838" s="196"/>
      <c r="J838" s="196"/>
      <c r="K838" s="196"/>
      <c r="L838" s="196"/>
      <c r="M838" s="196"/>
      <c r="N838" s="196"/>
      <c r="O838" s="196"/>
      <c r="P838" s="196"/>
      <c r="Q838" s="196"/>
      <c r="R838" s="196"/>
      <c r="S838" s="196"/>
      <c r="T838" s="196"/>
      <c r="U838" s="196"/>
      <c r="V838" s="198"/>
    </row>
    <row r="839" spans="1:22" ht="15" outlineLevel="1" collapsed="1" x14ac:dyDescent="0.25">
      <c r="A839" s="186">
        <f>SUMIFS(МКД!$A$6:$A$389,МКД!$D$6:$D$389,Таблица1[[#This Row],[2]])</f>
        <v>145</v>
      </c>
      <c r="B839" s="194">
        <f>SUMIFS(Таблица1[6],Таблица1[2],Таблица1[[#This Row],[2]])+SUMIFS(Таблица1[7],Таблица1[2],Таблица1[[#This Row],[2]])</f>
        <v>891.9</v>
      </c>
      <c r="C839" s="185" t="s">
        <v>670</v>
      </c>
      <c r="D839" s="196"/>
      <c r="E839" s="196"/>
      <c r="F839" s="196"/>
      <c r="G839" s="168"/>
      <c r="H839" s="197"/>
      <c r="I839" s="196"/>
      <c r="J839" s="196"/>
      <c r="K839" s="196"/>
      <c r="L839" s="196"/>
      <c r="M839" s="196"/>
      <c r="N839" s="196"/>
      <c r="O839" s="196"/>
      <c r="P839" s="196"/>
      <c r="Q839" s="196"/>
      <c r="R839" s="196"/>
      <c r="S839" s="196"/>
      <c r="T839" s="196"/>
      <c r="U839" s="196"/>
      <c r="V839" s="198"/>
    </row>
    <row r="840" spans="1:22" hidden="1" outlineLevel="2" x14ac:dyDescent="0.25">
      <c r="A840" s="186">
        <f>SUMIFS(МКД!$A$6:$A$389,МКД!$D$6:$D$389,Таблица1[[#This Row],[2]])</f>
        <v>145</v>
      </c>
      <c r="B840" s="170"/>
      <c r="C840" s="182" t="s">
        <v>670</v>
      </c>
      <c r="D840" s="167" t="s">
        <v>193</v>
      </c>
      <c r="E840" s="167"/>
      <c r="F840" s="167">
        <v>1</v>
      </c>
      <c r="G840" s="168">
        <f>SUMIFS(Таблица1[[#This Row],[8]:[19]],$I$5:$T$5,"Выкуп")</f>
        <v>636.29999999999995</v>
      </c>
      <c r="H840" s="168">
        <f>SUMIFS(Таблица1[[#This Row],[8]:[19]],$I$5:$T$5,"Аренда")</f>
        <v>0</v>
      </c>
      <c r="I840" s="169">
        <v>405.9</v>
      </c>
      <c r="J840" s="169"/>
      <c r="K840" s="169">
        <v>230.4</v>
      </c>
      <c r="L840" s="169"/>
      <c r="M840" s="169"/>
      <c r="N840" s="169"/>
      <c r="O840" s="169"/>
      <c r="P840" s="169"/>
      <c r="Q840" s="169"/>
      <c r="R840" s="169"/>
      <c r="S840" s="169"/>
      <c r="T840" s="169"/>
      <c r="U840" s="170"/>
      <c r="V840" s="171"/>
    </row>
    <row r="841" spans="1:22" hidden="1" outlineLevel="2" x14ac:dyDescent="0.25">
      <c r="A841" s="186">
        <f>SUMIFS(МКД!$A$6:$A$389,МКД!$D$6:$D$389,Таблица1[[#This Row],[2]])</f>
        <v>145</v>
      </c>
      <c r="B841" s="168"/>
      <c r="C841" s="182" t="s">
        <v>670</v>
      </c>
      <c r="D841" s="167" t="s">
        <v>194</v>
      </c>
      <c r="E841" s="167"/>
      <c r="F841" s="167">
        <v>1</v>
      </c>
      <c r="G841" s="168">
        <f>SUMIFS(Таблица1[[#This Row],[8]:[19]],$I$5:$T$5,"Выкуп")</f>
        <v>255.60000000000002</v>
      </c>
      <c r="H841" s="168">
        <f>SUMIFS(Таблица1[[#This Row],[8]:[19]],$I$5:$T$5,"Аренда")</f>
        <v>0</v>
      </c>
      <c r="I841" s="169">
        <v>172.3</v>
      </c>
      <c r="J841" s="169"/>
      <c r="K841" s="169">
        <v>83.3</v>
      </c>
      <c r="L841" s="169"/>
      <c r="M841" s="169"/>
      <c r="N841" s="169"/>
      <c r="O841" s="169"/>
      <c r="P841" s="169"/>
      <c r="Q841" s="169"/>
      <c r="R841" s="169"/>
      <c r="S841" s="169"/>
      <c r="T841" s="169"/>
      <c r="U841" s="170"/>
      <c r="V841" s="171"/>
    </row>
    <row r="842" spans="1:22" ht="15" outlineLevel="1" collapsed="1" x14ac:dyDescent="0.25">
      <c r="A842" s="186">
        <f>SUMIFS(МКД!$A$6:$A$389,МКД!$D$6:$D$389,Таблица1[[#This Row],[2]])</f>
        <v>146</v>
      </c>
      <c r="B842" s="194">
        <f>SUMIFS(Таблица1[6],Таблица1[2],Таблица1[[#This Row],[2]])+SUMIFS(Таблица1[7],Таблица1[2],Таблица1[[#This Row],[2]])</f>
        <v>648</v>
      </c>
      <c r="C842" s="185" t="s">
        <v>692</v>
      </c>
      <c r="D842" s="196"/>
      <c r="E842" s="196"/>
      <c r="F842" s="196"/>
      <c r="G842" s="168"/>
      <c r="H842" s="197"/>
      <c r="I842" s="196"/>
      <c r="J842" s="196"/>
      <c r="K842" s="196"/>
      <c r="L842" s="196"/>
      <c r="M842" s="196"/>
      <c r="N842" s="196"/>
      <c r="O842" s="196"/>
      <c r="P842" s="196"/>
      <c r="Q842" s="196"/>
      <c r="R842" s="196"/>
      <c r="S842" s="196"/>
      <c r="T842" s="196"/>
      <c r="U842" s="196"/>
      <c r="V842" s="198"/>
    </row>
    <row r="843" spans="1:22" hidden="1" outlineLevel="2" x14ac:dyDescent="0.25">
      <c r="A843" s="186">
        <f>SUMIFS(МКД!$A$6:$A$389,МКД!$D$6:$D$389,Таблица1[[#This Row],[2]])</f>
        <v>146</v>
      </c>
      <c r="B843" s="170"/>
      <c r="C843" s="182" t="s">
        <v>692</v>
      </c>
      <c r="D843" s="167" t="s">
        <v>1053</v>
      </c>
      <c r="E843" s="167"/>
      <c r="F843" s="167">
        <v>1</v>
      </c>
      <c r="G843" s="168">
        <f>SUMIFS(Таблица1[[#This Row],[8]:[19]],$I$5:$T$5,"Выкуп")</f>
        <v>401.7</v>
      </c>
      <c r="H843" s="168">
        <f>SUMIFS(Таблица1[[#This Row],[8]:[19]],$I$5:$T$5,"Аренда")</f>
        <v>0</v>
      </c>
      <c r="I843" s="169">
        <v>232</v>
      </c>
      <c r="J843" s="169"/>
      <c r="K843" s="169">
        <v>169.7</v>
      </c>
      <c r="L843" s="169"/>
      <c r="M843" s="169"/>
      <c r="N843" s="169"/>
      <c r="O843" s="169"/>
      <c r="P843" s="169"/>
      <c r="Q843" s="169"/>
      <c r="R843" s="169"/>
      <c r="S843" s="169"/>
      <c r="T843" s="169"/>
      <c r="U843" s="170"/>
      <c r="V843" s="171"/>
    </row>
    <row r="844" spans="1:22" hidden="1" outlineLevel="2" x14ac:dyDescent="0.25">
      <c r="A844" s="186">
        <f>SUMIFS(МКД!$A$6:$A$389,МКД!$D$6:$D$389,Таблица1[[#This Row],[2]])</f>
        <v>146</v>
      </c>
      <c r="B844" s="168"/>
      <c r="C844" s="182" t="s">
        <v>692</v>
      </c>
      <c r="D844" s="167" t="s">
        <v>195</v>
      </c>
      <c r="E844" s="167" t="s">
        <v>2151</v>
      </c>
      <c r="F844" s="167">
        <v>1</v>
      </c>
      <c r="G844" s="168">
        <f>SUMIFS(Таблица1[[#This Row],[8]:[19]],$I$5:$T$5,"Выкуп")</f>
        <v>89.8</v>
      </c>
      <c r="H844" s="168">
        <f>SUMIFS(Таблица1[[#This Row],[8]:[19]],$I$5:$T$5,"Аренда")</f>
        <v>0</v>
      </c>
      <c r="I844" s="169">
        <v>89.8</v>
      </c>
      <c r="J844" s="169"/>
      <c r="K844" s="169"/>
      <c r="L844" s="169"/>
      <c r="M844" s="169"/>
      <c r="N844" s="169"/>
      <c r="O844" s="169"/>
      <c r="P844" s="169"/>
      <c r="Q844" s="169"/>
      <c r="R844" s="169"/>
      <c r="S844" s="169"/>
      <c r="T844" s="169"/>
      <c r="U844" s="170"/>
      <c r="V844" s="171"/>
    </row>
    <row r="845" spans="1:22" hidden="1" outlineLevel="2" x14ac:dyDescent="0.25">
      <c r="A845" s="186">
        <f>SUMIFS(МКД!$A$6:$A$389,МКД!$D$6:$D$389,Таблица1[[#This Row],[2]])</f>
        <v>146</v>
      </c>
      <c r="B845" s="168"/>
      <c r="C845" s="182" t="s">
        <v>692</v>
      </c>
      <c r="D845" s="167" t="s">
        <v>195</v>
      </c>
      <c r="E845" s="167" t="s">
        <v>2152</v>
      </c>
      <c r="F845" s="167"/>
      <c r="G845" s="168">
        <f>SUMIFS(Таблица1[[#This Row],[8]:[19]],$I$5:$T$5,"Выкуп")</f>
        <v>72.900000000000006</v>
      </c>
      <c r="H845" s="168">
        <f>SUMIFS(Таблица1[[#This Row],[8]:[19]],$I$5:$T$5,"Аренда")</f>
        <v>0</v>
      </c>
      <c r="I845" s="169">
        <v>72.900000000000006</v>
      </c>
      <c r="J845" s="169"/>
      <c r="K845" s="169"/>
      <c r="L845" s="169"/>
      <c r="M845" s="169"/>
      <c r="N845" s="169"/>
      <c r="O845" s="169"/>
      <c r="P845" s="169"/>
      <c r="Q845" s="169"/>
      <c r="R845" s="169"/>
      <c r="S845" s="169"/>
      <c r="T845" s="169"/>
      <c r="U845" s="170"/>
      <c r="V845" s="171"/>
    </row>
    <row r="846" spans="1:22" hidden="1" outlineLevel="2" x14ac:dyDescent="0.25">
      <c r="A846" s="186">
        <f>SUMIFS(МКД!$A$6:$A$389,МКД!$D$6:$D$389,Таблица1[[#This Row],[2]])</f>
        <v>146</v>
      </c>
      <c r="B846" s="168"/>
      <c r="C846" s="182" t="s">
        <v>692</v>
      </c>
      <c r="D846" s="167" t="s">
        <v>195</v>
      </c>
      <c r="E846" s="167" t="s">
        <v>764</v>
      </c>
      <c r="F846" s="167"/>
      <c r="G846" s="168">
        <f>SUMIFS(Таблица1[[#This Row],[8]:[19]],$I$5:$T$5,"Выкуп")</f>
        <v>83.6</v>
      </c>
      <c r="H846" s="168">
        <f>SUMIFS(Таблица1[[#This Row],[8]:[19]],$I$5:$T$5,"Аренда")</f>
        <v>0</v>
      </c>
      <c r="I846" s="169">
        <v>83.6</v>
      </c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  <c r="T846" s="169"/>
      <c r="U846" s="170"/>
      <c r="V846" s="171"/>
    </row>
    <row r="847" spans="1:22" ht="15" outlineLevel="1" collapsed="1" x14ac:dyDescent="0.25">
      <c r="A847" s="186">
        <f>SUMIFS(МКД!$A$6:$A$389,МКД!$D$6:$D$389,Таблица1[[#This Row],[2]])</f>
        <v>147</v>
      </c>
      <c r="B847" s="194">
        <f>SUMIFS(Таблица1[6],Таблица1[2],Таблица1[[#This Row],[2]])+SUMIFS(Таблица1[7],Таблица1[2],Таблица1[[#This Row],[2]])</f>
        <v>0</v>
      </c>
      <c r="C847" s="185" t="s">
        <v>693</v>
      </c>
      <c r="D847" s="196"/>
      <c r="E847" s="196"/>
      <c r="F847" s="196"/>
      <c r="G847" s="168"/>
      <c r="H847" s="197"/>
      <c r="I847" s="196"/>
      <c r="J847" s="196"/>
      <c r="K847" s="196"/>
      <c r="L847" s="196"/>
      <c r="M847" s="196"/>
      <c r="N847" s="196"/>
      <c r="O847" s="196"/>
      <c r="P847" s="196"/>
      <c r="Q847" s="196"/>
      <c r="R847" s="196"/>
      <c r="S847" s="196"/>
      <c r="T847" s="196"/>
      <c r="U847" s="196"/>
      <c r="V847" s="198"/>
    </row>
    <row r="848" spans="1:22" ht="15" hidden="1" outlineLevel="2" x14ac:dyDescent="0.25">
      <c r="A848" s="186">
        <f>SUMIFS(МКД!$A$6:$A$389,МКД!$D$6:$D$389,Таблица1[[#This Row],[2]])</f>
        <v>147</v>
      </c>
      <c r="B848" s="196"/>
      <c r="C848" s="182" t="s">
        <v>693</v>
      </c>
      <c r="D848" s="196"/>
      <c r="E848" s="196"/>
      <c r="F848" s="196"/>
      <c r="G848" s="168">
        <f>SUMIFS(Таблица1[[#This Row],[8]:[19]],$I$5:$T$5,"Выкуп")</f>
        <v>0</v>
      </c>
      <c r="H848" s="168">
        <f>SUMIFS(Таблица1[[#This Row],[8]:[19]],$I$5:$T$5,"Аренда")</f>
        <v>0</v>
      </c>
      <c r="I848" s="196"/>
      <c r="J848" s="196"/>
      <c r="K848" s="196"/>
      <c r="L848" s="196"/>
      <c r="M848" s="196"/>
      <c r="N848" s="196"/>
      <c r="O848" s="196"/>
      <c r="P848" s="196"/>
      <c r="Q848" s="196"/>
      <c r="R848" s="196"/>
      <c r="S848" s="196"/>
      <c r="T848" s="196"/>
      <c r="U848" s="196"/>
      <c r="V848" s="198"/>
    </row>
    <row r="849" spans="1:22" ht="15" outlineLevel="1" collapsed="1" x14ac:dyDescent="0.25">
      <c r="A849" s="186">
        <f>SUMIFS(МКД!$A$6:$A$389,МКД!$D$6:$D$389,Таблица1[[#This Row],[2]])</f>
        <v>148</v>
      </c>
      <c r="B849" s="194">
        <f>SUMIFS(Таблица1[6],Таблица1[2],Таблица1[[#This Row],[2]])+SUMIFS(Таблица1[7],Таблица1[2],Таблица1[[#This Row],[2]])</f>
        <v>793.8</v>
      </c>
      <c r="C849" s="185" t="s">
        <v>671</v>
      </c>
      <c r="D849" s="196"/>
      <c r="E849" s="196"/>
      <c r="F849" s="196"/>
      <c r="G849" s="168"/>
      <c r="H849" s="197"/>
      <c r="I849" s="196"/>
      <c r="J849" s="196"/>
      <c r="K849" s="196"/>
      <c r="L849" s="196"/>
      <c r="M849" s="196"/>
      <c r="N849" s="196"/>
      <c r="O849" s="196"/>
      <c r="P849" s="196"/>
      <c r="Q849" s="196"/>
      <c r="R849" s="196"/>
      <c r="S849" s="196"/>
      <c r="T849" s="196"/>
      <c r="U849" s="196"/>
      <c r="V849" s="198"/>
    </row>
    <row r="850" spans="1:22" hidden="1" outlineLevel="2" x14ac:dyDescent="0.25">
      <c r="A850" s="186">
        <f>SUMIFS(МКД!$A$6:$A$389,МКД!$D$6:$D$389,Таблица1[[#This Row],[2]])</f>
        <v>148</v>
      </c>
      <c r="B850" s="170"/>
      <c r="C850" s="182" t="s">
        <v>671</v>
      </c>
      <c r="D850" s="167" t="s">
        <v>1639</v>
      </c>
      <c r="E850" s="167" t="s">
        <v>1640</v>
      </c>
      <c r="F850" s="167">
        <v>1</v>
      </c>
      <c r="G850" s="168">
        <f>SUMIFS(Таблица1[[#This Row],[8]:[19]],$I$5:$T$5,"Выкуп")</f>
        <v>75.400000000000006</v>
      </c>
      <c r="H850" s="168">
        <f>SUMIFS(Таблица1[[#This Row],[8]:[19]],$I$5:$T$5,"Аренда")</f>
        <v>0</v>
      </c>
      <c r="I850" s="169">
        <v>75.400000000000006</v>
      </c>
      <c r="J850" s="169"/>
      <c r="K850" s="169"/>
      <c r="L850" s="169"/>
      <c r="M850" s="169"/>
      <c r="N850" s="169"/>
      <c r="O850" s="169"/>
      <c r="P850" s="169"/>
      <c r="Q850" s="169"/>
      <c r="R850" s="169"/>
      <c r="S850" s="169"/>
      <c r="T850" s="169"/>
      <c r="U850" s="170"/>
      <c r="V850" s="171"/>
    </row>
    <row r="851" spans="1:22" hidden="1" outlineLevel="2" x14ac:dyDescent="0.25">
      <c r="A851" s="186">
        <f>SUMIFS(МКД!$A$6:$A$389,МКД!$D$6:$D$389,Таблица1[[#This Row],[2]])</f>
        <v>148</v>
      </c>
      <c r="B851" s="168"/>
      <c r="C851" s="182" t="s">
        <v>671</v>
      </c>
      <c r="D851" s="167" t="s">
        <v>104</v>
      </c>
      <c r="E851" s="167" t="s">
        <v>2735</v>
      </c>
      <c r="F851" s="167">
        <v>1</v>
      </c>
      <c r="G851" s="168">
        <f>SUMIFS(Таблица1[[#This Row],[8]:[19]],$I$5:$T$5,"Выкуп")</f>
        <v>0</v>
      </c>
      <c r="H851" s="168">
        <f>SUMIFS(Таблица1[[#This Row],[8]:[19]],$I$5:$T$5,"Аренда")</f>
        <v>0</v>
      </c>
      <c r="I851" s="169"/>
      <c r="J851" s="169"/>
      <c r="K851" s="167"/>
      <c r="L851" s="169">
        <f>46*0</f>
        <v>0</v>
      </c>
      <c r="M851" s="169"/>
      <c r="N851" s="169"/>
      <c r="O851" s="169"/>
      <c r="P851" s="169"/>
      <c r="Q851" s="169"/>
      <c r="R851" s="169"/>
      <c r="S851" s="169"/>
      <c r="T851" s="169"/>
      <c r="U851" s="170"/>
      <c r="V851" s="171"/>
    </row>
    <row r="852" spans="1:22" hidden="1" outlineLevel="2" x14ac:dyDescent="0.25">
      <c r="A852" s="186">
        <f>SUMIFS(МКД!$A$6:$A$389,МКД!$D$6:$D$389,Таблица1[[#This Row],[2]])</f>
        <v>148</v>
      </c>
      <c r="B852" s="168"/>
      <c r="C852" s="182" t="s">
        <v>671</v>
      </c>
      <c r="D852" s="167" t="s">
        <v>196</v>
      </c>
      <c r="E852" s="167" t="s">
        <v>991</v>
      </c>
      <c r="F852" s="167">
        <v>1</v>
      </c>
      <c r="G852" s="168">
        <f>SUMIFS(Таблица1[[#This Row],[8]:[19]],$I$5:$T$5,"Выкуп")</f>
        <v>131.1</v>
      </c>
      <c r="H852" s="168">
        <f>SUMIFS(Таблица1[[#This Row],[8]:[19]],$I$5:$T$5,"Аренда")</f>
        <v>0</v>
      </c>
      <c r="I852" s="169">
        <v>131.1</v>
      </c>
      <c r="J852" s="169"/>
      <c r="K852" s="169"/>
      <c r="L852" s="169"/>
      <c r="M852" s="169"/>
      <c r="N852" s="169"/>
      <c r="O852" s="169"/>
      <c r="P852" s="169"/>
      <c r="Q852" s="169"/>
      <c r="R852" s="169"/>
      <c r="S852" s="169"/>
      <c r="T852" s="169"/>
      <c r="U852" s="170"/>
      <c r="V852" s="171"/>
    </row>
    <row r="853" spans="1:22" hidden="1" outlineLevel="2" x14ac:dyDescent="0.25">
      <c r="A853" s="186">
        <f>SUMIFS(МКД!$A$6:$A$389,МКД!$D$6:$D$389,Таблица1[[#This Row],[2]])</f>
        <v>148</v>
      </c>
      <c r="B853" s="168"/>
      <c r="C853" s="182" t="s">
        <v>671</v>
      </c>
      <c r="D853" s="167" t="s">
        <v>1053</v>
      </c>
      <c r="E853" s="167" t="s">
        <v>1595</v>
      </c>
      <c r="F853" s="167">
        <v>1</v>
      </c>
      <c r="G853" s="168">
        <f>SUMIFS(Таблица1[[#This Row],[8]:[19]],$I$5:$T$5,"Выкуп")</f>
        <v>153.5</v>
      </c>
      <c r="H853" s="168">
        <f>SUMIFS(Таблица1[[#This Row],[8]:[19]],$I$5:$T$5,"Аренда")</f>
        <v>0</v>
      </c>
      <c r="I853" s="169"/>
      <c r="J853" s="169"/>
      <c r="K853" s="169">
        <v>153.5</v>
      </c>
      <c r="L853" s="169"/>
      <c r="M853" s="169"/>
      <c r="N853" s="169"/>
      <c r="O853" s="169"/>
      <c r="P853" s="169"/>
      <c r="Q853" s="169"/>
      <c r="R853" s="169"/>
      <c r="S853" s="169"/>
      <c r="T853" s="169"/>
      <c r="U853" s="170"/>
      <c r="V853" s="171"/>
    </row>
    <row r="854" spans="1:22" hidden="1" outlineLevel="2" x14ac:dyDescent="0.25">
      <c r="A854" s="186">
        <f>SUMIFS(МКД!$A$6:$A$389,МКД!$D$6:$D$389,Таблица1[[#This Row],[2]])</f>
        <v>148</v>
      </c>
      <c r="B854" s="168"/>
      <c r="C854" s="182" t="s">
        <v>671</v>
      </c>
      <c r="D854" s="167" t="s">
        <v>2492</v>
      </c>
      <c r="E854" s="167" t="s">
        <v>2491</v>
      </c>
      <c r="F854" s="167">
        <v>1</v>
      </c>
      <c r="G854" s="168">
        <f>SUMIFS(Таблица1[[#This Row],[8]:[19]],$I$5:$T$5,"Выкуп")</f>
        <v>110.6</v>
      </c>
      <c r="H854" s="168">
        <f>SUMIFS(Таблица1[[#This Row],[8]:[19]],$I$5:$T$5,"Аренда")</f>
        <v>50.3</v>
      </c>
      <c r="I854" s="169">
        <v>110.6</v>
      </c>
      <c r="J854" s="169"/>
      <c r="K854" s="167"/>
      <c r="L854" s="169">
        <v>50.3</v>
      </c>
      <c r="M854" s="169"/>
      <c r="N854" s="169"/>
      <c r="O854" s="169"/>
      <c r="P854" s="169"/>
      <c r="Q854" s="169"/>
      <c r="R854" s="169"/>
      <c r="S854" s="169"/>
      <c r="T854" s="169"/>
      <c r="U854" s="170"/>
      <c r="V854" s="171"/>
    </row>
    <row r="855" spans="1:22" hidden="1" outlineLevel="2" x14ac:dyDescent="0.25">
      <c r="A855" s="186">
        <f>SUMIFS(МКД!$A$6:$A$389,МКД!$D$6:$D$389,Таблица1[[#This Row],[2]])</f>
        <v>148</v>
      </c>
      <c r="B855" s="168"/>
      <c r="C855" s="182" t="s">
        <v>671</v>
      </c>
      <c r="D855" s="167" t="s">
        <v>2733</v>
      </c>
      <c r="E855" s="167" t="s">
        <v>2494</v>
      </c>
      <c r="F855" s="167">
        <v>1</v>
      </c>
      <c r="G855" s="168">
        <f>SUMIFS(Таблица1[[#This Row],[8]:[19]],$I$5:$T$5,"Выкуп")</f>
        <v>130.69999999999999</v>
      </c>
      <c r="H855" s="168">
        <f>SUMIFS(Таблица1[[#This Row],[8]:[19]],$I$5:$T$5,"Аренда")</f>
        <v>0</v>
      </c>
      <c r="I855" s="169">
        <v>130.69999999999999</v>
      </c>
      <c r="J855" s="169"/>
      <c r="K855" s="167"/>
      <c r="L855" s="169"/>
      <c r="M855" s="169"/>
      <c r="N855" s="169"/>
      <c r="O855" s="169"/>
      <c r="P855" s="169"/>
      <c r="Q855" s="169"/>
      <c r="R855" s="169"/>
      <c r="S855" s="169"/>
      <c r="T855" s="169"/>
      <c r="U855" s="170"/>
      <c r="V855" s="171"/>
    </row>
    <row r="856" spans="1:22" hidden="1" outlineLevel="2" x14ac:dyDescent="0.25">
      <c r="A856" s="186">
        <f>SUMIFS(МКД!$A$6:$A$389,МКД!$D$6:$D$389,Таблица1[[#This Row],[2]])</f>
        <v>148</v>
      </c>
      <c r="B856" s="168"/>
      <c r="C856" s="182" t="s">
        <v>671</v>
      </c>
      <c r="D856" s="167" t="s">
        <v>2733</v>
      </c>
      <c r="E856" s="167" t="s">
        <v>2734</v>
      </c>
      <c r="F856" s="167">
        <v>1</v>
      </c>
      <c r="G856" s="168">
        <f>SUMIFS(Таблица1[[#This Row],[8]:[19]],$I$5:$T$5,"Выкуп")</f>
        <v>0</v>
      </c>
      <c r="H856" s="168">
        <f>SUMIFS(Таблица1[[#This Row],[8]:[19]],$I$5:$T$5,"Аренда")</f>
        <v>74.099999999999994</v>
      </c>
      <c r="I856" s="169"/>
      <c r="J856" s="169"/>
      <c r="K856" s="167"/>
      <c r="L856" s="169">
        <v>74.099999999999994</v>
      </c>
      <c r="M856" s="169"/>
      <c r="N856" s="169"/>
      <c r="O856" s="169"/>
      <c r="P856" s="169"/>
      <c r="Q856" s="169"/>
      <c r="R856" s="169"/>
      <c r="S856" s="169"/>
      <c r="T856" s="169"/>
      <c r="U856" s="170"/>
      <c r="V856" s="171"/>
    </row>
    <row r="857" spans="1:22" hidden="1" outlineLevel="2" x14ac:dyDescent="0.25">
      <c r="A857" s="186">
        <f>SUMIFS(МКД!$A$6:$A$389,МКД!$D$6:$D$389,Таблица1[[#This Row],[2]])</f>
        <v>148</v>
      </c>
      <c r="B857" s="168"/>
      <c r="C857" s="182" t="s">
        <v>671</v>
      </c>
      <c r="D857" s="167" t="s">
        <v>197</v>
      </c>
      <c r="E857" s="167" t="s">
        <v>2493</v>
      </c>
      <c r="F857" s="167">
        <v>1</v>
      </c>
      <c r="G857" s="168">
        <f>SUMIFS(Таблица1[[#This Row],[8]:[19]],$I$5:$T$5,"Выкуп")</f>
        <v>68.099999999999994</v>
      </c>
      <c r="H857" s="168">
        <f>SUMIFS(Таблица1[[#This Row],[8]:[19]],$I$5:$T$5,"Аренда")</f>
        <v>0</v>
      </c>
      <c r="I857" s="169">
        <v>68.099999999999994</v>
      </c>
      <c r="J857" s="169"/>
      <c r="K857" s="169"/>
      <c r="L857" s="169"/>
      <c r="M857" s="169"/>
      <c r="N857" s="169"/>
      <c r="O857" s="169"/>
      <c r="P857" s="169"/>
      <c r="Q857" s="169"/>
      <c r="R857" s="169"/>
      <c r="S857" s="169"/>
      <c r="T857" s="169"/>
      <c r="U857" s="170"/>
      <c r="V857" s="171"/>
    </row>
    <row r="858" spans="1:22" ht="15" outlineLevel="1" collapsed="1" x14ac:dyDescent="0.25">
      <c r="A858" s="186">
        <f>SUMIFS(МКД!$A$6:$A$389,МКД!$D$6:$D$389,Таблица1[[#This Row],[2]])</f>
        <v>149</v>
      </c>
      <c r="B858" s="194">
        <f>SUMIFS(Таблица1[6],Таблица1[2],Таблица1[[#This Row],[2]])+SUMIFS(Таблица1[7],Таблица1[2],Таблица1[[#This Row],[2]])</f>
        <v>0</v>
      </c>
      <c r="C858" s="185" t="s">
        <v>672</v>
      </c>
      <c r="D858" s="196"/>
      <c r="E858" s="196"/>
      <c r="F858" s="196"/>
      <c r="G858" s="168"/>
      <c r="H858" s="197"/>
      <c r="I858" s="196"/>
      <c r="J858" s="196"/>
      <c r="K858" s="196"/>
      <c r="L858" s="196"/>
      <c r="M858" s="196"/>
      <c r="N858" s="196"/>
      <c r="O858" s="196"/>
      <c r="P858" s="196"/>
      <c r="Q858" s="196"/>
      <c r="R858" s="196"/>
      <c r="S858" s="196"/>
      <c r="T858" s="196"/>
      <c r="U858" s="196"/>
      <c r="V858" s="198"/>
    </row>
    <row r="859" spans="1:22" ht="15" hidden="1" outlineLevel="2" x14ac:dyDescent="0.25">
      <c r="A859" s="186">
        <f>SUMIFS(МКД!$A$6:$A$389,МКД!$D$6:$D$389,Таблица1[[#This Row],[2]])</f>
        <v>149</v>
      </c>
      <c r="B859" s="196"/>
      <c r="C859" s="182" t="s">
        <v>672</v>
      </c>
      <c r="D859" s="196"/>
      <c r="E859" s="196"/>
      <c r="F859" s="196"/>
      <c r="G859" s="168">
        <f>SUMIFS(Таблица1[[#This Row],[8]:[19]],$I$5:$T$5,"Выкуп")</f>
        <v>0</v>
      </c>
      <c r="H859" s="168">
        <f>SUMIFS(Таблица1[[#This Row],[8]:[19]],$I$5:$T$5,"Аренда")</f>
        <v>0</v>
      </c>
      <c r="I859" s="196"/>
      <c r="J859" s="196"/>
      <c r="K859" s="196"/>
      <c r="L859" s="196"/>
      <c r="M859" s="196"/>
      <c r="N859" s="196"/>
      <c r="O859" s="196"/>
      <c r="P859" s="196"/>
      <c r="Q859" s="196"/>
      <c r="R859" s="196"/>
      <c r="S859" s="196"/>
      <c r="T859" s="196"/>
      <c r="U859" s="196"/>
      <c r="V859" s="198"/>
    </row>
    <row r="860" spans="1:22" ht="15" outlineLevel="1" collapsed="1" x14ac:dyDescent="0.25">
      <c r="A860" s="186">
        <f>SUMIFS(МКД!$A$6:$A$389,МКД!$D$6:$D$389,Таблица1[[#This Row],[2]])</f>
        <v>150</v>
      </c>
      <c r="B860" s="194">
        <f>SUMIFS(Таблица1[6],Таблица1[2],Таблица1[[#This Row],[2]])+SUMIFS(Таблица1[7],Таблица1[2],Таблица1[[#This Row],[2]])</f>
        <v>574.5</v>
      </c>
      <c r="C860" s="185" t="s">
        <v>673</v>
      </c>
      <c r="D860" s="196"/>
      <c r="E860" s="196"/>
      <c r="F860" s="196"/>
      <c r="G860" s="168"/>
      <c r="H860" s="197"/>
      <c r="I860" s="196"/>
      <c r="J860" s="196"/>
      <c r="K860" s="196"/>
      <c r="L860" s="196"/>
      <c r="M860" s="196"/>
      <c r="N860" s="196"/>
      <c r="O860" s="196"/>
      <c r="P860" s="196"/>
      <c r="Q860" s="196"/>
      <c r="R860" s="196"/>
      <c r="S860" s="196"/>
      <c r="T860" s="196"/>
      <c r="U860" s="196"/>
      <c r="V860" s="198"/>
    </row>
    <row r="861" spans="1:22" hidden="1" outlineLevel="2" x14ac:dyDescent="0.25">
      <c r="A861" s="186">
        <f>SUMIFS(МКД!$A$6:$A$389,МКД!$D$6:$D$389,Таблица1[[#This Row],[2]])</f>
        <v>150</v>
      </c>
      <c r="B861" s="170"/>
      <c r="C861" s="182" t="s">
        <v>673</v>
      </c>
      <c r="D861" s="167" t="s">
        <v>2154</v>
      </c>
      <c r="E861" s="167" t="s">
        <v>2153</v>
      </c>
      <c r="F861" s="167">
        <v>1</v>
      </c>
      <c r="G861" s="168">
        <f>SUMIFS(Таблица1[[#This Row],[8]:[19]],$I$5:$T$5,"Выкуп")</f>
        <v>132.5</v>
      </c>
      <c r="H861" s="168">
        <f>SUMIFS(Таблица1[[#This Row],[8]:[19]],$I$5:$T$5,"Аренда")</f>
        <v>0</v>
      </c>
      <c r="I861" s="169">
        <v>132.5</v>
      </c>
      <c r="J861" s="169"/>
      <c r="K861" s="169"/>
      <c r="L861" s="169"/>
      <c r="M861" s="169"/>
      <c r="N861" s="169"/>
      <c r="O861" s="169"/>
      <c r="P861" s="169"/>
      <c r="Q861" s="169"/>
      <c r="R861" s="169"/>
      <c r="S861" s="169"/>
      <c r="T861" s="169"/>
      <c r="U861" s="170"/>
      <c r="V861" s="171"/>
    </row>
    <row r="862" spans="1:22" hidden="1" outlineLevel="2" x14ac:dyDescent="0.25">
      <c r="A862" s="186">
        <f>SUMIFS(МКД!$A$6:$A$389,МКД!$D$6:$D$389,Таблица1[[#This Row],[2]])</f>
        <v>150</v>
      </c>
      <c r="B862" s="168"/>
      <c r="C862" s="182" t="s">
        <v>673</v>
      </c>
      <c r="D862" s="167" t="s">
        <v>2154</v>
      </c>
      <c r="E862" s="167" t="s">
        <v>1747</v>
      </c>
      <c r="F862" s="167">
        <v>1</v>
      </c>
      <c r="G862" s="168">
        <f>SUMIFS(Таблица1[[#This Row],[8]:[19]],$I$5:$T$5,"Выкуп")</f>
        <v>0</v>
      </c>
      <c r="H862" s="168">
        <f>SUMIFS(Таблица1[[#This Row],[8]:[19]],$I$5:$T$5,"Аренда")</f>
        <v>54.8</v>
      </c>
      <c r="I862" s="169"/>
      <c r="J862" s="169"/>
      <c r="K862" s="169"/>
      <c r="L862" s="169">
        <v>54.8</v>
      </c>
      <c r="M862" s="169"/>
      <c r="N862" s="169"/>
      <c r="O862" s="169"/>
      <c r="P862" s="169"/>
      <c r="Q862" s="169"/>
      <c r="R862" s="169"/>
      <c r="S862" s="169"/>
      <c r="T862" s="169"/>
      <c r="U862" s="170"/>
      <c r="V862" s="171"/>
    </row>
    <row r="863" spans="1:22" hidden="1" outlineLevel="2" x14ac:dyDescent="0.25">
      <c r="A863" s="186">
        <f>SUMIFS(МКД!$A$6:$A$389,МКД!$D$6:$D$389,Таблица1[[#This Row],[2]])</f>
        <v>150</v>
      </c>
      <c r="B863" s="168"/>
      <c r="C863" s="182" t="s">
        <v>673</v>
      </c>
      <c r="D863" s="167" t="s">
        <v>2155</v>
      </c>
      <c r="E863" s="167" t="s">
        <v>1303</v>
      </c>
      <c r="F863" s="167">
        <v>1</v>
      </c>
      <c r="G863" s="168">
        <f>SUMIFS(Таблица1[[#This Row],[8]:[19]],$I$5:$T$5,"Выкуп")</f>
        <v>69</v>
      </c>
      <c r="H863" s="168">
        <f>SUMIFS(Таблица1[[#This Row],[8]:[19]],$I$5:$T$5,"Аренда")</f>
        <v>0</v>
      </c>
      <c r="I863" s="169">
        <v>69</v>
      </c>
      <c r="J863" s="169"/>
      <c r="K863" s="169"/>
      <c r="L863" s="169"/>
      <c r="M863" s="169"/>
      <c r="N863" s="169"/>
      <c r="O863" s="169"/>
      <c r="P863" s="169"/>
      <c r="Q863" s="169"/>
      <c r="R863" s="169"/>
      <c r="S863" s="169"/>
      <c r="T863" s="169"/>
      <c r="U863" s="170"/>
      <c r="V863" s="171"/>
    </row>
    <row r="864" spans="1:22" hidden="1" outlineLevel="2" x14ac:dyDescent="0.25">
      <c r="A864" s="186">
        <f>SUMIFS(МКД!$A$6:$A$389,МКД!$D$6:$D$389,Таблица1[[#This Row],[2]])</f>
        <v>150</v>
      </c>
      <c r="B864" s="168"/>
      <c r="C864" s="182" t="s">
        <v>673</v>
      </c>
      <c r="D864" s="167" t="s">
        <v>2156</v>
      </c>
      <c r="E864" s="167" t="s">
        <v>2157</v>
      </c>
      <c r="F864" s="167">
        <v>1</v>
      </c>
      <c r="G864" s="168">
        <f>SUMIFS(Таблица1[[#This Row],[8]:[19]],$I$5:$T$5,"Выкуп")</f>
        <v>69</v>
      </c>
      <c r="H864" s="168">
        <f>SUMIFS(Таблица1[[#This Row],[8]:[19]],$I$5:$T$5,"Аренда")</f>
        <v>0</v>
      </c>
      <c r="I864" s="169">
        <v>69</v>
      </c>
      <c r="J864" s="169"/>
      <c r="K864" s="169"/>
      <c r="L864" s="169"/>
      <c r="M864" s="169"/>
      <c r="N864" s="169"/>
      <c r="O864" s="169"/>
      <c r="P864" s="169"/>
      <c r="Q864" s="169"/>
      <c r="R864" s="169"/>
      <c r="S864" s="169"/>
      <c r="T864" s="169"/>
      <c r="U864" s="170"/>
      <c r="V864" s="171"/>
    </row>
    <row r="865" spans="1:22" hidden="1" outlineLevel="2" x14ac:dyDescent="0.25">
      <c r="A865" s="186">
        <f>SUMIFS(МКД!$A$6:$A$389,МКД!$D$6:$D$389,Таблица1[[#This Row],[2]])</f>
        <v>150</v>
      </c>
      <c r="B865" s="168"/>
      <c r="C865" s="182" t="s">
        <v>673</v>
      </c>
      <c r="D865" s="167" t="s">
        <v>2159</v>
      </c>
      <c r="E865" s="167" t="s">
        <v>2158</v>
      </c>
      <c r="F865" s="167">
        <v>1</v>
      </c>
      <c r="G865" s="168">
        <f>SUMIFS(Таблица1[[#This Row],[8]:[19]],$I$5:$T$5,"Выкуп")</f>
        <v>110</v>
      </c>
      <c r="H865" s="168">
        <f>SUMIFS(Таблица1[[#This Row],[8]:[19]],$I$5:$T$5,"Аренда")</f>
        <v>0</v>
      </c>
      <c r="I865" s="169">
        <v>110</v>
      </c>
      <c r="J865" s="169"/>
      <c r="K865" s="169"/>
      <c r="L865" s="169"/>
      <c r="M865" s="169"/>
      <c r="N865" s="169"/>
      <c r="O865" s="169"/>
      <c r="P865" s="169"/>
      <c r="Q865" s="169"/>
      <c r="R865" s="169"/>
      <c r="S865" s="169"/>
      <c r="T865" s="169"/>
      <c r="U865" s="170"/>
      <c r="V865" s="171"/>
    </row>
    <row r="866" spans="1:22" hidden="1" outlineLevel="2" x14ac:dyDescent="0.25">
      <c r="A866" s="186">
        <f>SUMIFS(МКД!$A$6:$A$389,МКД!$D$6:$D$389,Таблица1[[#This Row],[2]])</f>
        <v>150</v>
      </c>
      <c r="B866" s="168"/>
      <c r="C866" s="182" t="s">
        <v>673</v>
      </c>
      <c r="D866" s="167" t="s">
        <v>198</v>
      </c>
      <c r="E866" s="167" t="s">
        <v>1245</v>
      </c>
      <c r="F866" s="167">
        <v>1</v>
      </c>
      <c r="G866" s="168">
        <f>SUMIFS(Таблица1[[#This Row],[8]:[19]],$I$5:$T$5,"Выкуп")</f>
        <v>54.2</v>
      </c>
      <c r="H866" s="168">
        <f>SUMIFS(Таблица1[[#This Row],[8]:[19]],$I$5:$T$5,"Аренда")</f>
        <v>0</v>
      </c>
      <c r="I866" s="169">
        <v>54.2</v>
      </c>
      <c r="J866" s="169"/>
      <c r="K866" s="169"/>
      <c r="L866" s="169"/>
      <c r="M866" s="169"/>
      <c r="N866" s="169"/>
      <c r="O866" s="169"/>
      <c r="P866" s="169"/>
      <c r="Q866" s="169"/>
      <c r="R866" s="169"/>
      <c r="S866" s="169"/>
      <c r="T866" s="169"/>
      <c r="U866" s="170"/>
      <c r="V866" s="171"/>
    </row>
    <row r="867" spans="1:22" hidden="1" outlineLevel="2" x14ac:dyDescent="0.25">
      <c r="A867" s="186">
        <f>SUMIFS(МКД!$A$6:$A$389,МКД!$D$6:$D$389,Таблица1[[#This Row],[2]])</f>
        <v>150</v>
      </c>
      <c r="B867" s="168"/>
      <c r="C867" s="182" t="s">
        <v>673</v>
      </c>
      <c r="D867" s="167" t="s">
        <v>1593</v>
      </c>
      <c r="E867" s="273" t="s">
        <v>1748</v>
      </c>
      <c r="F867" s="167">
        <v>1</v>
      </c>
      <c r="G867" s="168">
        <f>SUMIFS(Таблица1[[#This Row],[8]:[19]],$I$5:$T$5,"Выкуп")</f>
        <v>85</v>
      </c>
      <c r="H867" s="168">
        <f>SUMIFS(Таблица1[[#This Row],[8]:[19]],$I$5:$T$5,"Аренда")</f>
        <v>0</v>
      </c>
      <c r="I867" s="169"/>
      <c r="J867" s="169"/>
      <c r="K867" s="169">
        <v>85</v>
      </c>
      <c r="L867" s="169"/>
      <c r="M867" s="169"/>
      <c r="N867" s="169"/>
      <c r="O867" s="169"/>
      <c r="P867" s="169"/>
      <c r="Q867" s="169"/>
      <c r="R867" s="169"/>
      <c r="S867" s="169"/>
      <c r="T867" s="169"/>
      <c r="U867" s="170"/>
      <c r="V867" s="171"/>
    </row>
    <row r="868" spans="1:22" ht="15" outlineLevel="1" collapsed="1" x14ac:dyDescent="0.25">
      <c r="A868" s="186">
        <f>SUMIFS(МКД!$A$6:$A$389,МКД!$D$6:$D$389,Таблица1[[#This Row],[2]])</f>
        <v>151</v>
      </c>
      <c r="B868" s="194">
        <f>SUMIFS(Таблица1[6],Таблица1[2],Таблица1[[#This Row],[2]])+SUMIFS(Таблица1[7],Таблица1[2],Таблица1[[#This Row],[2]])</f>
        <v>0</v>
      </c>
      <c r="C868" s="185" t="s">
        <v>674</v>
      </c>
      <c r="D868" s="196"/>
      <c r="E868" s="196"/>
      <c r="F868" s="196"/>
      <c r="G868" s="168"/>
      <c r="H868" s="197"/>
      <c r="I868" s="196"/>
      <c r="J868" s="196"/>
      <c r="K868" s="196"/>
      <c r="L868" s="196"/>
      <c r="M868" s="196"/>
      <c r="N868" s="196"/>
      <c r="O868" s="196"/>
      <c r="P868" s="196"/>
      <c r="Q868" s="196"/>
      <c r="R868" s="196"/>
      <c r="S868" s="196"/>
      <c r="T868" s="196"/>
      <c r="U868" s="196"/>
      <c r="V868" s="198"/>
    </row>
    <row r="869" spans="1:22" ht="15" hidden="1" outlineLevel="2" x14ac:dyDescent="0.25">
      <c r="A869" s="186">
        <f>SUMIFS(МКД!$A$6:$A$389,МКД!$D$6:$D$389,Таблица1[[#This Row],[2]])</f>
        <v>151</v>
      </c>
      <c r="B869" s="196"/>
      <c r="C869" s="182" t="s">
        <v>674</v>
      </c>
      <c r="D869" s="196"/>
      <c r="E869" s="196"/>
      <c r="F869" s="196"/>
      <c r="G869" s="168">
        <f>SUMIFS(Таблица1[[#This Row],[8]:[19]],$I$5:$T$5,"Выкуп")</f>
        <v>0</v>
      </c>
      <c r="H869" s="168">
        <f>SUMIFS(Таблица1[[#This Row],[8]:[19]],$I$5:$T$5,"Аренда")</f>
        <v>0</v>
      </c>
      <c r="I869" s="196"/>
      <c r="J869" s="196"/>
      <c r="K869" s="196"/>
      <c r="L869" s="196"/>
      <c r="M869" s="196"/>
      <c r="N869" s="196"/>
      <c r="O869" s="196"/>
      <c r="P869" s="196"/>
      <c r="Q869" s="196"/>
      <c r="R869" s="196"/>
      <c r="S869" s="196"/>
      <c r="T869" s="196"/>
      <c r="U869" s="196"/>
      <c r="V869" s="198"/>
    </row>
    <row r="870" spans="1:22" ht="15" outlineLevel="1" collapsed="1" x14ac:dyDescent="0.25">
      <c r="A870" s="186">
        <f>SUMIFS(МКД!$A$6:$A$389,МКД!$D$6:$D$389,Таблица1[[#This Row],[2]])</f>
        <v>152</v>
      </c>
      <c r="B870" s="194">
        <f>SUMIFS(Таблица1[6],Таблица1[2],Таблица1[[#This Row],[2]])+SUMIFS(Таблица1[7],Таблица1[2],Таблица1[[#This Row],[2]])</f>
        <v>610.4</v>
      </c>
      <c r="C870" s="185" t="s">
        <v>694</v>
      </c>
      <c r="D870" s="196"/>
      <c r="E870" s="196"/>
      <c r="F870" s="196"/>
      <c r="G870" s="168"/>
      <c r="H870" s="197"/>
      <c r="I870" s="196"/>
      <c r="J870" s="196"/>
      <c r="K870" s="196"/>
      <c r="L870" s="196"/>
      <c r="M870" s="196"/>
      <c r="N870" s="196"/>
      <c r="O870" s="196"/>
      <c r="P870" s="196"/>
      <c r="Q870" s="196"/>
      <c r="R870" s="196"/>
      <c r="S870" s="196"/>
      <c r="T870" s="196"/>
      <c r="U870" s="196"/>
      <c r="V870" s="198"/>
    </row>
    <row r="871" spans="1:22" hidden="1" outlineLevel="2" x14ac:dyDescent="0.25">
      <c r="A871" s="186">
        <f>SUMIFS(МКД!$A$6:$A$389,МКД!$D$6:$D$389,Таблица1[[#This Row],[2]])</f>
        <v>152</v>
      </c>
      <c r="B871" s="170"/>
      <c r="C871" s="182" t="s">
        <v>694</v>
      </c>
      <c r="D871" s="167" t="s">
        <v>967</v>
      </c>
      <c r="E871" s="167"/>
      <c r="F871" s="167">
        <v>1</v>
      </c>
      <c r="G871" s="168">
        <f>SUMIFS(Таблица1[[#This Row],[8]:[19]],$I$5:$T$5,"Выкуп")</f>
        <v>335.8</v>
      </c>
      <c r="H871" s="168">
        <f>SUMIFS(Таблица1[[#This Row],[8]:[19]],$I$5:$T$5,"Аренда")</f>
        <v>0</v>
      </c>
      <c r="I871" s="169">
        <v>335.8</v>
      </c>
      <c r="J871" s="169"/>
      <c r="K871" s="169"/>
      <c r="L871" s="169"/>
      <c r="M871" s="169"/>
      <c r="N871" s="169"/>
      <c r="O871" s="169"/>
      <c r="P871" s="169"/>
      <c r="Q871" s="169"/>
      <c r="R871" s="169"/>
      <c r="S871" s="169"/>
      <c r="T871" s="169"/>
      <c r="U871" s="170"/>
      <c r="V871" s="171"/>
    </row>
    <row r="872" spans="1:22" hidden="1" outlineLevel="2" x14ac:dyDescent="0.25">
      <c r="A872" s="186">
        <f>SUMIFS(МКД!$A$6:$A$389,МКД!$D$6:$D$389,Таблица1[[#This Row],[2]])</f>
        <v>152</v>
      </c>
      <c r="B872" s="168"/>
      <c r="C872" s="182" t="s">
        <v>694</v>
      </c>
      <c r="D872" s="167" t="s">
        <v>972</v>
      </c>
      <c r="E872" s="167" t="s">
        <v>828</v>
      </c>
      <c r="F872" s="167">
        <v>1</v>
      </c>
      <c r="G872" s="168">
        <f>SUMIFS(Таблица1[[#This Row],[8]:[19]],$I$5:$T$5,"Выкуп")</f>
        <v>90.3</v>
      </c>
      <c r="H872" s="168">
        <f>SUMIFS(Таблица1[[#This Row],[8]:[19]],$I$5:$T$5,"Аренда")</f>
        <v>0</v>
      </c>
      <c r="I872" s="169">
        <v>90.3</v>
      </c>
      <c r="J872" s="169"/>
      <c r="K872" s="169"/>
      <c r="L872" s="169"/>
      <c r="M872" s="169"/>
      <c r="N872" s="169"/>
      <c r="O872" s="169"/>
      <c r="P872" s="169"/>
      <c r="Q872" s="169"/>
      <c r="R872" s="169"/>
      <c r="S872" s="169"/>
      <c r="T872" s="169"/>
      <c r="U872" s="170"/>
      <c r="V872" s="171"/>
    </row>
    <row r="873" spans="1:22" hidden="1" outlineLevel="2" x14ac:dyDescent="0.25">
      <c r="A873" s="186">
        <f>SUMIFS(МКД!$A$6:$A$389,МКД!$D$6:$D$389,Таблица1[[#This Row],[2]])</f>
        <v>152</v>
      </c>
      <c r="B873" s="168"/>
      <c r="C873" s="182" t="s">
        <v>694</v>
      </c>
      <c r="D873" s="167" t="s">
        <v>1467</v>
      </c>
      <c r="E873" s="167" t="s">
        <v>206</v>
      </c>
      <c r="F873" s="167">
        <v>1</v>
      </c>
      <c r="G873" s="168">
        <f>SUMIFS(Таблица1[[#This Row],[8]:[19]],$I$5:$T$5,"Выкуп")</f>
        <v>83.7</v>
      </c>
      <c r="H873" s="168">
        <f>SUMIFS(Таблица1[[#This Row],[8]:[19]],$I$5:$T$5,"Аренда")</f>
        <v>0</v>
      </c>
      <c r="I873" s="169">
        <v>83.7</v>
      </c>
      <c r="J873" s="169"/>
      <c r="K873" s="169"/>
      <c r="L873" s="169"/>
      <c r="M873" s="169"/>
      <c r="N873" s="169"/>
      <c r="O873" s="169"/>
      <c r="P873" s="169"/>
      <c r="Q873" s="169"/>
      <c r="R873" s="169"/>
      <c r="S873" s="169"/>
      <c r="T873" s="169"/>
      <c r="U873" s="170"/>
      <c r="V873" s="171"/>
    </row>
    <row r="874" spans="1:22" hidden="1" outlineLevel="2" x14ac:dyDescent="0.25">
      <c r="A874" s="186">
        <f>SUMIFS(МКД!$A$6:$A$389,МКД!$D$6:$D$389,Таблица1[[#This Row],[2]])</f>
        <v>152</v>
      </c>
      <c r="B874" s="168"/>
      <c r="C874" s="182" t="s">
        <v>694</v>
      </c>
      <c r="D874" s="167" t="s">
        <v>1853</v>
      </c>
      <c r="E874" s="167" t="s">
        <v>764</v>
      </c>
      <c r="F874" s="167">
        <v>1</v>
      </c>
      <c r="G874" s="168">
        <f>SUMIFS(Таблица1[[#This Row],[8]:[19]],$I$5:$T$5,"Выкуп")</f>
        <v>45.7</v>
      </c>
      <c r="H874" s="168">
        <f>SUMIFS(Таблица1[[#This Row],[8]:[19]],$I$5:$T$5,"Аренда")</f>
        <v>0</v>
      </c>
      <c r="I874" s="169">
        <v>45.7</v>
      </c>
      <c r="J874" s="169"/>
      <c r="K874" s="169"/>
      <c r="L874" s="169"/>
      <c r="M874" s="169"/>
      <c r="N874" s="169"/>
      <c r="O874" s="169"/>
      <c r="P874" s="169"/>
      <c r="Q874" s="169"/>
      <c r="R874" s="169"/>
      <c r="S874" s="169"/>
      <c r="T874" s="169"/>
      <c r="U874" s="170"/>
      <c r="V874" s="171"/>
    </row>
    <row r="875" spans="1:22" hidden="1" outlineLevel="2" x14ac:dyDescent="0.25">
      <c r="A875" s="186">
        <f>SUMIFS(МКД!$A$6:$A$389,МКД!$D$6:$D$389,Таблица1[[#This Row],[2]])</f>
        <v>152</v>
      </c>
      <c r="B875" s="168"/>
      <c r="C875" s="182" t="s">
        <v>694</v>
      </c>
      <c r="D875" s="167" t="s">
        <v>1053</v>
      </c>
      <c r="E875" s="167" t="s">
        <v>1857</v>
      </c>
      <c r="F875" s="167">
        <v>1</v>
      </c>
      <c r="G875" s="168">
        <f>SUMIFS(Таблица1[[#This Row],[8]:[19]],$I$5:$T$5,"Выкуп")</f>
        <v>54.9</v>
      </c>
      <c r="H875" s="168">
        <f>SUMIFS(Таблица1[[#This Row],[8]:[19]],$I$5:$T$5,"Аренда")</f>
        <v>0</v>
      </c>
      <c r="I875" s="169">
        <v>54.9</v>
      </c>
      <c r="J875" s="169"/>
      <c r="K875" s="169"/>
      <c r="L875" s="169"/>
      <c r="M875" s="169"/>
      <c r="N875" s="169"/>
      <c r="O875" s="169"/>
      <c r="P875" s="169"/>
      <c r="Q875" s="169"/>
      <c r="R875" s="169"/>
      <c r="S875" s="169"/>
      <c r="T875" s="169"/>
      <c r="U875" s="170"/>
      <c r="V875" s="171"/>
    </row>
    <row r="876" spans="1:22" ht="15" outlineLevel="1" collapsed="1" x14ac:dyDescent="0.25">
      <c r="A876" s="186">
        <f>SUMIFS(МКД!$A$6:$A$389,МКД!$D$6:$D$389,Таблица1[[#This Row],[2]])</f>
        <v>153</v>
      </c>
      <c r="B876" s="194">
        <f>SUMIFS(Таблица1[6],Таблица1[2],Таблица1[[#This Row],[2]])+SUMIFS(Таблица1[7],Таблица1[2],Таблица1[[#This Row],[2]])</f>
        <v>0</v>
      </c>
      <c r="C876" s="185" t="s">
        <v>695</v>
      </c>
      <c r="D876" s="196"/>
      <c r="E876" s="196"/>
      <c r="F876" s="196"/>
      <c r="G876" s="168"/>
      <c r="H876" s="197"/>
      <c r="I876" s="196"/>
      <c r="J876" s="196"/>
      <c r="K876" s="196"/>
      <c r="L876" s="196"/>
      <c r="M876" s="196"/>
      <c r="N876" s="196"/>
      <c r="O876" s="196"/>
      <c r="P876" s="196"/>
      <c r="Q876" s="196"/>
      <c r="R876" s="196"/>
      <c r="S876" s="196"/>
      <c r="T876" s="196"/>
      <c r="U876" s="196"/>
      <c r="V876" s="198"/>
    </row>
    <row r="877" spans="1:22" ht="15" hidden="1" outlineLevel="2" x14ac:dyDescent="0.25">
      <c r="A877" s="186">
        <f>SUMIFS(МКД!$A$6:$A$389,МКД!$D$6:$D$389,Таблица1[[#This Row],[2]])</f>
        <v>153</v>
      </c>
      <c r="B877" s="196"/>
      <c r="C877" s="182" t="s">
        <v>695</v>
      </c>
      <c r="D877" s="196"/>
      <c r="E877" s="196"/>
      <c r="F877" s="196"/>
      <c r="G877" s="168">
        <f>SUMIFS(Таблица1[[#This Row],[8]:[19]],$I$5:$T$5,"Выкуп")</f>
        <v>0</v>
      </c>
      <c r="H877" s="168">
        <f>SUMIFS(Таблица1[[#This Row],[8]:[19]],$I$5:$T$5,"Аренда")</f>
        <v>0</v>
      </c>
      <c r="I877" s="196"/>
      <c r="J877" s="196"/>
      <c r="K877" s="196"/>
      <c r="L877" s="196"/>
      <c r="M877" s="196"/>
      <c r="N877" s="196"/>
      <c r="O877" s="196"/>
      <c r="P877" s="196"/>
      <c r="Q877" s="196"/>
      <c r="R877" s="196"/>
      <c r="S877" s="196"/>
      <c r="T877" s="196"/>
      <c r="U877" s="196"/>
      <c r="V877" s="198"/>
    </row>
    <row r="878" spans="1:22" ht="15" outlineLevel="1" collapsed="1" x14ac:dyDescent="0.25">
      <c r="A878" s="186">
        <f>SUMIFS(МКД!$A$6:$A$389,МКД!$D$6:$D$389,Таблица1[[#This Row],[2]])</f>
        <v>154</v>
      </c>
      <c r="B878" s="194">
        <f>SUMIFS(Таблица1[6],Таблица1[2],Таблица1[[#This Row],[2]])+SUMIFS(Таблица1[7],Таблица1[2],Таблица1[[#This Row],[2]])</f>
        <v>894.69999999999993</v>
      </c>
      <c r="C878" s="185" t="s">
        <v>675</v>
      </c>
      <c r="D878" s="196"/>
      <c r="E878" s="196"/>
      <c r="F878" s="196"/>
      <c r="G878" s="168"/>
      <c r="H878" s="197"/>
      <c r="I878" s="196"/>
      <c r="J878" s="196"/>
      <c r="K878" s="196"/>
      <c r="L878" s="196"/>
      <c r="M878" s="196"/>
      <c r="N878" s="196"/>
      <c r="O878" s="196"/>
      <c r="P878" s="196"/>
      <c r="Q878" s="196"/>
      <c r="R878" s="196"/>
      <c r="S878" s="196"/>
      <c r="T878" s="196"/>
      <c r="U878" s="196"/>
      <c r="V878" s="198"/>
    </row>
    <row r="879" spans="1:22" hidden="1" outlineLevel="2" x14ac:dyDescent="0.25">
      <c r="A879" s="186">
        <f>SUMIFS(МКД!$A$6:$A$389,МКД!$D$6:$D$389,Таблица1[[#This Row],[2]])</f>
        <v>154</v>
      </c>
      <c r="B879" s="170"/>
      <c r="C879" s="182" t="s">
        <v>675</v>
      </c>
      <c r="D879" s="167" t="s">
        <v>201</v>
      </c>
      <c r="E879" s="167" t="s">
        <v>330</v>
      </c>
      <c r="F879" s="167">
        <v>1</v>
      </c>
      <c r="G879" s="168">
        <f>SUMIFS(Таблица1[[#This Row],[8]:[19]],$I$5:$T$5,"Выкуп")</f>
        <v>469.79999999999995</v>
      </c>
      <c r="H879" s="168">
        <f>SUMIFS(Таблица1[[#This Row],[8]:[19]],$I$5:$T$5,"Аренда")</f>
        <v>0</v>
      </c>
      <c r="I879" s="169">
        <v>290.39999999999998</v>
      </c>
      <c r="J879" s="169"/>
      <c r="K879" s="169">
        <v>179.4</v>
      </c>
      <c r="L879" s="169"/>
      <c r="M879" s="169"/>
      <c r="N879" s="169"/>
      <c r="O879" s="169"/>
      <c r="P879" s="169"/>
      <c r="Q879" s="169"/>
      <c r="R879" s="169"/>
      <c r="S879" s="169"/>
      <c r="T879" s="169"/>
      <c r="U879" s="170"/>
      <c r="V879" s="171"/>
    </row>
    <row r="880" spans="1:22" hidden="1" outlineLevel="2" x14ac:dyDescent="0.25">
      <c r="A880" s="186">
        <f>SUMIFS(МКД!$A$6:$A$389,МКД!$D$6:$D$389,Таблица1[[#This Row],[2]])</f>
        <v>154</v>
      </c>
      <c r="B880" s="168"/>
      <c r="C880" s="182" t="s">
        <v>675</v>
      </c>
      <c r="D880" s="167" t="s">
        <v>202</v>
      </c>
      <c r="E880" s="167" t="s">
        <v>1396</v>
      </c>
      <c r="F880" s="167">
        <v>1</v>
      </c>
      <c r="G880" s="168">
        <f>SUMIFS(Таблица1[[#This Row],[8]:[19]],$I$5:$T$5,"Выкуп")</f>
        <v>424.9</v>
      </c>
      <c r="H880" s="168">
        <f>SUMIFS(Таблица1[[#This Row],[8]:[19]],$I$5:$T$5,"Аренда")</f>
        <v>0</v>
      </c>
      <c r="I880" s="169">
        <v>276.5</v>
      </c>
      <c r="J880" s="169"/>
      <c r="K880" s="169">
        <v>148.4</v>
      </c>
      <c r="L880" s="169"/>
      <c r="M880" s="169"/>
      <c r="N880" s="169"/>
      <c r="O880" s="169"/>
      <c r="P880" s="169"/>
      <c r="Q880" s="169"/>
      <c r="R880" s="169"/>
      <c r="S880" s="169"/>
      <c r="T880" s="169"/>
      <c r="U880" s="170"/>
      <c r="V880" s="171"/>
    </row>
    <row r="881" spans="1:22" ht="15" outlineLevel="1" collapsed="1" x14ac:dyDescent="0.25">
      <c r="A881" s="186">
        <f>SUMIFS(МКД!$A$6:$A$389,МКД!$D$6:$D$389,Таблица1[[#This Row],[2]])</f>
        <v>155</v>
      </c>
      <c r="B881" s="194">
        <f>SUMIFS(Таблица1[6],Таблица1[2],Таблица1[[#This Row],[2]])+SUMIFS(Таблица1[7],Таблица1[2],Таблица1[[#This Row],[2]])</f>
        <v>1096.5999999999999</v>
      </c>
      <c r="C881" s="185" t="s">
        <v>682</v>
      </c>
      <c r="D881" s="196"/>
      <c r="E881" s="196"/>
      <c r="F881" s="196"/>
      <c r="G881" s="168"/>
      <c r="H881" s="197"/>
      <c r="I881" s="196"/>
      <c r="J881" s="196"/>
      <c r="K881" s="196"/>
      <c r="L881" s="196"/>
      <c r="M881" s="196"/>
      <c r="N881" s="196"/>
      <c r="O881" s="196"/>
      <c r="P881" s="196"/>
      <c r="Q881" s="196"/>
      <c r="R881" s="196"/>
      <c r="S881" s="196"/>
      <c r="T881" s="196"/>
      <c r="U881" s="196"/>
      <c r="V881" s="198"/>
    </row>
    <row r="882" spans="1:22" hidden="1" outlineLevel="2" x14ac:dyDescent="0.25">
      <c r="A882" s="186">
        <f>SUMIFS(МКД!$A$6:$A$389,МКД!$D$6:$D$389,Таблица1[[#This Row],[2]])</f>
        <v>155</v>
      </c>
      <c r="B882" s="170"/>
      <c r="C882" s="182" t="s">
        <v>682</v>
      </c>
      <c r="D882" s="167" t="s">
        <v>2560</v>
      </c>
      <c r="E882" s="167" t="s">
        <v>1444</v>
      </c>
      <c r="F882" s="167">
        <v>1</v>
      </c>
      <c r="G882" s="168">
        <f>SUMIFS(Таблица1[[#This Row],[8]:[19]],$I$5:$T$5,"Выкуп")</f>
        <v>77.5</v>
      </c>
      <c r="H882" s="168">
        <f>SUMIFS(Таблица1[[#This Row],[8]:[19]],$I$5:$T$5,"Аренда")</f>
        <v>0</v>
      </c>
      <c r="I882" s="169">
        <v>77.5</v>
      </c>
      <c r="J882" s="169"/>
      <c r="K882" s="169"/>
      <c r="L882" s="169"/>
      <c r="M882" s="169"/>
      <c r="N882" s="169"/>
      <c r="O882" s="169"/>
      <c r="P882" s="169"/>
      <c r="Q882" s="169"/>
      <c r="R882" s="169"/>
      <c r="S882" s="169"/>
      <c r="T882" s="169"/>
      <c r="U882" s="170"/>
      <c r="V882" s="171"/>
    </row>
    <row r="883" spans="1:22" hidden="1" outlineLevel="2" x14ac:dyDescent="0.25">
      <c r="A883" s="186">
        <f>SUMIFS(МКД!$A$6:$A$389,МКД!$D$6:$D$389,Таблица1[[#This Row],[2]])</f>
        <v>155</v>
      </c>
      <c r="B883" s="168"/>
      <c r="C883" s="182" t="s">
        <v>682</v>
      </c>
      <c r="D883" s="167" t="s">
        <v>1511</v>
      </c>
      <c r="E883" s="167" t="s">
        <v>2570</v>
      </c>
      <c r="F883" s="167">
        <v>1</v>
      </c>
      <c r="G883" s="168">
        <f>SUMIFS(Таблица1[[#This Row],[8]:[19]],$I$5:$T$5,"Выкуп")</f>
        <v>126.9</v>
      </c>
      <c r="H883" s="168">
        <f>SUMIFS(Таблица1[[#This Row],[8]:[19]],$I$5:$T$5,"Аренда")</f>
        <v>0</v>
      </c>
      <c r="I883" s="169">
        <v>126.9</v>
      </c>
      <c r="J883" s="169"/>
      <c r="K883" s="169"/>
      <c r="L883" s="169"/>
      <c r="M883" s="169"/>
      <c r="N883" s="169"/>
      <c r="O883" s="169"/>
      <c r="P883" s="169"/>
      <c r="Q883" s="169"/>
      <c r="R883" s="169"/>
      <c r="S883" s="169"/>
      <c r="T883" s="169"/>
      <c r="U883" s="170"/>
      <c r="V883" s="171"/>
    </row>
    <row r="884" spans="1:22" hidden="1" outlineLevel="2" x14ac:dyDescent="0.25">
      <c r="A884" s="186">
        <f>SUMIFS(МКД!$A$6:$A$389,МКД!$D$6:$D$389,Таблица1[[#This Row],[2]])</f>
        <v>155</v>
      </c>
      <c r="B884" s="168"/>
      <c r="C884" s="182" t="s">
        <v>682</v>
      </c>
      <c r="D884" s="167" t="s">
        <v>1967</v>
      </c>
      <c r="E884" s="167" t="s">
        <v>2571</v>
      </c>
      <c r="F884" s="167">
        <v>1</v>
      </c>
      <c r="G884" s="168">
        <f>SUMIFS(Таблица1[[#This Row],[8]:[19]],$I$5:$T$5,"Выкуп")</f>
        <v>86.2</v>
      </c>
      <c r="H884" s="168">
        <f>SUMIFS(Таблица1[[#This Row],[8]:[19]],$I$5:$T$5,"Аренда")</f>
        <v>0</v>
      </c>
      <c r="I884" s="169">
        <f>86.2</f>
        <v>86.2</v>
      </c>
      <c r="J884" s="169"/>
      <c r="K884" s="169"/>
      <c r="L884" s="169"/>
      <c r="M884" s="169"/>
      <c r="N884" s="169"/>
      <c r="O884" s="169"/>
      <c r="P884" s="169"/>
      <c r="Q884" s="169"/>
      <c r="R884" s="169"/>
      <c r="S884" s="169"/>
      <c r="T884" s="169"/>
      <c r="U884" s="170"/>
      <c r="V884" s="171"/>
    </row>
    <row r="885" spans="1:22" hidden="1" outlineLevel="2" x14ac:dyDescent="0.25">
      <c r="A885" s="186">
        <f>SUMIFS(МКД!$A$6:$A$389,МКД!$D$6:$D$389,Таблица1[[#This Row],[2]])</f>
        <v>155</v>
      </c>
      <c r="B885" s="168"/>
      <c r="C885" s="182" t="s">
        <v>682</v>
      </c>
      <c r="D885" s="167" t="s">
        <v>1967</v>
      </c>
      <c r="E885" s="167" t="s">
        <v>1180</v>
      </c>
      <c r="F885" s="167">
        <v>1</v>
      </c>
      <c r="G885" s="168">
        <f>SUMIFS(Таблица1[[#This Row],[8]:[19]],$I$5:$T$5,"Выкуп")</f>
        <v>89.7</v>
      </c>
      <c r="H885" s="168">
        <f>SUMIFS(Таблица1[[#This Row],[8]:[19]],$I$5:$T$5,"Аренда")</f>
        <v>0</v>
      </c>
      <c r="I885" s="169"/>
      <c r="J885" s="169"/>
      <c r="K885" s="169">
        <v>89.7</v>
      </c>
      <c r="L885" s="169"/>
      <c r="M885" s="169"/>
      <c r="N885" s="169"/>
      <c r="O885" s="169"/>
      <c r="P885" s="169"/>
      <c r="Q885" s="169"/>
      <c r="R885" s="169"/>
      <c r="S885" s="169"/>
      <c r="T885" s="169"/>
      <c r="U885" s="170"/>
      <c r="V885" s="171"/>
    </row>
    <row r="886" spans="1:22" hidden="1" outlineLevel="2" x14ac:dyDescent="0.25">
      <c r="A886" s="186">
        <f>SUMIFS(МКД!$A$6:$A$389,МКД!$D$6:$D$389,Таблица1[[#This Row],[2]])</f>
        <v>155</v>
      </c>
      <c r="B886" s="168"/>
      <c r="C886" s="182" t="s">
        <v>682</v>
      </c>
      <c r="D886" s="167" t="s">
        <v>2798</v>
      </c>
      <c r="E886" s="167" t="s">
        <v>2569</v>
      </c>
      <c r="F886" s="167">
        <v>1</v>
      </c>
      <c r="G886" s="168">
        <f>SUMIFS(Таблица1[[#This Row],[8]:[19]],$I$5:$T$5,"Выкуп")</f>
        <v>31.7</v>
      </c>
      <c r="H886" s="168">
        <f>SUMIFS(Таблица1[[#This Row],[8]:[19]],$I$5:$T$5,"Аренда")</f>
        <v>0</v>
      </c>
      <c r="I886" s="169">
        <v>31.7</v>
      </c>
      <c r="J886" s="169"/>
      <c r="K886" s="169"/>
      <c r="L886" s="169"/>
      <c r="M886" s="169"/>
      <c r="N886" s="169"/>
      <c r="O886" s="169"/>
      <c r="P886" s="169"/>
      <c r="Q886" s="169"/>
      <c r="R886" s="169"/>
      <c r="S886" s="169"/>
      <c r="T886" s="169"/>
      <c r="U886" s="170"/>
      <c r="V886" s="171"/>
    </row>
    <row r="887" spans="1:22" hidden="1" outlineLevel="2" x14ac:dyDescent="0.25">
      <c r="A887" s="186">
        <f>SUMIFS(МКД!$A$6:$A$389,МКД!$D$6:$D$389,Таблица1[[#This Row],[2]])</f>
        <v>155</v>
      </c>
      <c r="B887" s="168"/>
      <c r="C887" s="182" t="s">
        <v>682</v>
      </c>
      <c r="D887" s="167" t="s">
        <v>2572</v>
      </c>
      <c r="E887" s="167" t="s">
        <v>1269</v>
      </c>
      <c r="F887" s="167">
        <v>1</v>
      </c>
      <c r="G887" s="168">
        <f>SUMIFS(Таблица1[[#This Row],[8]:[19]],$I$5:$T$5,"Выкуп")</f>
        <v>72.099999999999994</v>
      </c>
      <c r="H887" s="168">
        <f>SUMIFS(Таблица1[[#This Row],[8]:[19]],$I$5:$T$5,"Аренда")</f>
        <v>0</v>
      </c>
      <c r="I887" s="169">
        <v>72.099999999999994</v>
      </c>
      <c r="J887" s="169"/>
      <c r="K887" s="169"/>
      <c r="L887" s="169"/>
      <c r="M887" s="169"/>
      <c r="N887" s="169"/>
      <c r="O887" s="169"/>
      <c r="P887" s="169"/>
      <c r="Q887" s="169"/>
      <c r="R887" s="169"/>
      <c r="S887" s="169"/>
      <c r="T887" s="169"/>
      <c r="U887" s="170"/>
      <c r="V887" s="171"/>
    </row>
    <row r="888" spans="1:22" hidden="1" outlineLevel="2" x14ac:dyDescent="0.25">
      <c r="A888" s="186">
        <f>SUMIFS(МКД!$A$6:$A$389,МКД!$D$6:$D$389,Таблица1[[#This Row],[2]])</f>
        <v>155</v>
      </c>
      <c r="B888" s="168"/>
      <c r="C888" s="182" t="s">
        <v>682</v>
      </c>
      <c r="D888" s="167" t="s">
        <v>2574</v>
      </c>
      <c r="E888" s="167" t="s">
        <v>953</v>
      </c>
      <c r="F888" s="167">
        <v>1</v>
      </c>
      <c r="G888" s="168">
        <f>SUMIFS(Таблица1[[#This Row],[8]:[19]],$I$5:$T$5,"Выкуп")</f>
        <v>74.2</v>
      </c>
      <c r="H888" s="168">
        <f>SUMIFS(Таблица1[[#This Row],[8]:[19]],$I$5:$T$5,"Аренда")</f>
        <v>0</v>
      </c>
      <c r="I888" s="169">
        <v>74.2</v>
      </c>
      <c r="J888" s="169"/>
      <c r="K888" s="169"/>
      <c r="L888" s="169"/>
      <c r="M888" s="169"/>
      <c r="N888" s="169"/>
      <c r="O888" s="169"/>
      <c r="P888" s="169"/>
      <c r="Q888" s="169"/>
      <c r="R888" s="169"/>
      <c r="S888" s="169"/>
      <c r="T888" s="169"/>
      <c r="U888" s="170"/>
      <c r="V888" s="171"/>
    </row>
    <row r="889" spans="1:22" hidden="1" outlineLevel="2" x14ac:dyDescent="0.25">
      <c r="A889" s="186">
        <f>SUMIFS(МКД!$A$6:$A$389,МКД!$D$6:$D$389,Таблица1[[#This Row],[2]])</f>
        <v>155</v>
      </c>
      <c r="B889" s="168"/>
      <c r="C889" s="182" t="s">
        <v>682</v>
      </c>
      <c r="D889" s="167" t="s">
        <v>1881</v>
      </c>
      <c r="E889" s="167" t="s">
        <v>1880</v>
      </c>
      <c r="F889" s="167">
        <v>1</v>
      </c>
      <c r="G889" s="168">
        <f>SUMIFS(Таблица1[[#This Row],[8]:[19]],$I$5:$T$5,"Выкуп")</f>
        <v>56.7</v>
      </c>
      <c r="H889" s="168">
        <f>SUMIFS(Таблица1[[#This Row],[8]:[19]],$I$5:$T$5,"Аренда")</f>
        <v>0</v>
      </c>
      <c r="I889" s="169">
        <v>56.7</v>
      </c>
      <c r="J889" s="169"/>
      <c r="K889" s="169"/>
      <c r="L889" s="169"/>
      <c r="M889" s="169"/>
      <c r="N889" s="169"/>
      <c r="O889" s="169"/>
      <c r="P889" s="169"/>
      <c r="Q889" s="169"/>
      <c r="R889" s="169"/>
      <c r="S889" s="169"/>
      <c r="T889" s="169"/>
      <c r="U889" s="170"/>
      <c r="V889" s="171"/>
    </row>
    <row r="890" spans="1:22" hidden="1" outlineLevel="2" x14ac:dyDescent="0.25">
      <c r="A890" s="186">
        <f>SUMIFS(МКД!$A$6:$A$389,МКД!$D$6:$D$389,Таблица1[[#This Row],[2]])</f>
        <v>155</v>
      </c>
      <c r="B890" s="168"/>
      <c r="C890" s="182" t="s">
        <v>682</v>
      </c>
      <c r="D890" s="167" t="s">
        <v>2629</v>
      </c>
      <c r="E890" s="167" t="s">
        <v>2573</v>
      </c>
      <c r="F890" s="167">
        <v>1</v>
      </c>
      <c r="G890" s="168">
        <f>SUMIFS(Таблица1[[#This Row],[8]:[19]],$I$5:$T$5,"Выкуп")</f>
        <v>76.400000000000006</v>
      </c>
      <c r="H890" s="168">
        <f>SUMIFS(Таблица1[[#This Row],[8]:[19]],$I$5:$T$5,"Аренда")</f>
        <v>0</v>
      </c>
      <c r="I890" s="169">
        <v>76.400000000000006</v>
      </c>
      <c r="J890" s="169"/>
      <c r="K890" s="169"/>
      <c r="L890" s="169"/>
      <c r="M890" s="169"/>
      <c r="N890" s="169"/>
      <c r="O890" s="169"/>
      <c r="P890" s="169"/>
      <c r="Q890" s="169"/>
      <c r="R890" s="169"/>
      <c r="S890" s="169"/>
      <c r="T890" s="169"/>
      <c r="U890" s="170"/>
      <c r="V890" s="171"/>
    </row>
    <row r="891" spans="1:22" hidden="1" outlineLevel="2" x14ac:dyDescent="0.25">
      <c r="A891" s="186">
        <f>SUMIFS(МКД!$A$6:$A$389,МКД!$D$6:$D$389,Таблица1[[#This Row],[2]])</f>
        <v>155</v>
      </c>
      <c r="B891" s="168"/>
      <c r="C891" s="182" t="s">
        <v>682</v>
      </c>
      <c r="D891" s="167" t="s">
        <v>2562</v>
      </c>
      <c r="E891" s="167" t="s">
        <v>2561</v>
      </c>
      <c r="F891" s="167">
        <v>1</v>
      </c>
      <c r="G891" s="168">
        <f>SUMIFS(Таблица1[[#This Row],[8]:[19]],$I$5:$T$5,"Выкуп")</f>
        <v>77.3</v>
      </c>
      <c r="H891" s="168">
        <f>SUMIFS(Таблица1[[#This Row],[8]:[19]],$I$5:$T$5,"Аренда")</f>
        <v>0</v>
      </c>
      <c r="I891" s="169">
        <v>77.3</v>
      </c>
      <c r="J891" s="169"/>
      <c r="K891" s="169"/>
      <c r="L891" s="169"/>
      <c r="M891" s="169"/>
      <c r="N891" s="169"/>
      <c r="O891" s="169"/>
      <c r="P891" s="169"/>
      <c r="Q891" s="169"/>
      <c r="R891" s="169"/>
      <c r="S891" s="169"/>
      <c r="T891" s="169"/>
      <c r="U891" s="170"/>
      <c r="V891" s="171"/>
    </row>
    <row r="892" spans="1:22" hidden="1" outlineLevel="2" x14ac:dyDescent="0.25">
      <c r="A892" s="186">
        <f>SUMIFS(МКД!$A$6:$A$389,МКД!$D$6:$D$389,Таблица1[[#This Row],[2]])</f>
        <v>155</v>
      </c>
      <c r="B892" s="168"/>
      <c r="C892" s="182" t="s">
        <v>682</v>
      </c>
      <c r="D892" s="167" t="s">
        <v>203</v>
      </c>
      <c r="E892" s="167" t="s">
        <v>2564</v>
      </c>
      <c r="F892" s="167">
        <v>1</v>
      </c>
      <c r="G892" s="168">
        <f>SUMIFS(Таблица1[[#This Row],[8]:[19]],$I$5:$T$5,"Выкуп")</f>
        <v>56.5</v>
      </c>
      <c r="H892" s="168">
        <f>SUMIFS(Таблица1[[#This Row],[8]:[19]],$I$5:$T$5,"Аренда")</f>
        <v>0</v>
      </c>
      <c r="I892" s="169">
        <v>56.5</v>
      </c>
      <c r="J892" s="169"/>
      <c r="K892" s="169"/>
      <c r="L892" s="169"/>
      <c r="M892" s="169"/>
      <c r="N892" s="169"/>
      <c r="O892" s="169"/>
      <c r="P892" s="169"/>
      <c r="Q892" s="169"/>
      <c r="R892" s="169"/>
      <c r="S892" s="169"/>
      <c r="T892" s="169"/>
      <c r="U892" s="170"/>
      <c r="V892" s="171"/>
    </row>
    <row r="893" spans="1:22" hidden="1" outlineLevel="2" x14ac:dyDescent="0.25">
      <c r="A893" s="186">
        <f>SUMIFS(МКД!$A$6:$A$389,МКД!$D$6:$D$389,Таблица1[[#This Row],[2]])</f>
        <v>155</v>
      </c>
      <c r="B893" s="168"/>
      <c r="C893" s="182" t="s">
        <v>682</v>
      </c>
      <c r="D893" s="167" t="s">
        <v>2563</v>
      </c>
      <c r="E893" s="167" t="s">
        <v>999</v>
      </c>
      <c r="F893" s="167">
        <v>1</v>
      </c>
      <c r="G893" s="168">
        <f>SUMIFS(Таблица1[[#This Row],[8]:[19]],$I$5:$T$5,"Выкуп")</f>
        <v>31.7</v>
      </c>
      <c r="H893" s="168">
        <f>SUMIFS(Таблица1[[#This Row],[8]:[19]],$I$5:$T$5,"Аренда")</f>
        <v>0</v>
      </c>
      <c r="I893" s="169">
        <v>31.7</v>
      </c>
      <c r="J893" s="169"/>
      <c r="K893" s="169"/>
      <c r="L893" s="169"/>
      <c r="M893" s="169"/>
      <c r="N893" s="169"/>
      <c r="O893" s="169"/>
      <c r="P893" s="169"/>
      <c r="Q893" s="169"/>
      <c r="R893" s="169"/>
      <c r="S893" s="169"/>
      <c r="T893" s="169"/>
      <c r="U893" s="170"/>
      <c r="V893" s="171"/>
    </row>
    <row r="894" spans="1:22" hidden="1" outlineLevel="2" x14ac:dyDescent="0.25">
      <c r="A894" s="186">
        <f>SUMIFS(МКД!$A$6:$A$389,МКД!$D$6:$D$389,Таблица1[[#This Row],[2]])</f>
        <v>155</v>
      </c>
      <c r="B894" s="168"/>
      <c r="C894" s="182" t="s">
        <v>682</v>
      </c>
      <c r="D894" s="167" t="s">
        <v>204</v>
      </c>
      <c r="E894" s="167" t="s">
        <v>2565</v>
      </c>
      <c r="F894" s="167">
        <v>1</v>
      </c>
      <c r="G894" s="168">
        <f>SUMIFS(Таблица1[[#This Row],[8]:[19]],$I$5:$T$5,"Выкуп")</f>
        <v>74.2</v>
      </c>
      <c r="H894" s="168">
        <f>SUMIFS(Таблица1[[#This Row],[8]:[19]],$I$5:$T$5,"Аренда")</f>
        <v>0</v>
      </c>
      <c r="I894" s="169">
        <v>74.2</v>
      </c>
      <c r="J894" s="169"/>
      <c r="K894" s="169"/>
      <c r="L894" s="169"/>
      <c r="M894" s="169"/>
      <c r="N894" s="169"/>
      <c r="O894" s="169"/>
      <c r="P894" s="169"/>
      <c r="Q894" s="169"/>
      <c r="R894" s="169"/>
      <c r="S894" s="169"/>
      <c r="T894" s="169"/>
      <c r="U894" s="170"/>
      <c r="V894" s="171"/>
    </row>
    <row r="895" spans="1:22" hidden="1" outlineLevel="2" x14ac:dyDescent="0.25">
      <c r="A895" s="186">
        <f>SUMIFS(МКД!$A$6:$A$389,МКД!$D$6:$D$389,Таблица1[[#This Row],[2]])</f>
        <v>155</v>
      </c>
      <c r="B895" s="168"/>
      <c r="C895" s="182" t="s">
        <v>682</v>
      </c>
      <c r="D895" s="167" t="s">
        <v>2567</v>
      </c>
      <c r="E895" s="167" t="s">
        <v>2566</v>
      </c>
      <c r="F895" s="167">
        <v>1</v>
      </c>
      <c r="G895" s="168">
        <f>SUMIFS(Таблица1[[#This Row],[8]:[19]],$I$5:$T$5,"Выкуп")</f>
        <v>32.299999999999997</v>
      </c>
      <c r="H895" s="168">
        <f>SUMIFS(Таблица1[[#This Row],[8]:[19]],$I$5:$T$5,"Аренда")</f>
        <v>0</v>
      </c>
      <c r="I895" s="169">
        <v>32.299999999999997</v>
      </c>
      <c r="J895" s="169"/>
      <c r="K895" s="169"/>
      <c r="L895" s="169"/>
      <c r="M895" s="169"/>
      <c r="N895" s="169"/>
      <c r="O895" s="169"/>
      <c r="P895" s="169"/>
      <c r="Q895" s="169"/>
      <c r="R895" s="169"/>
      <c r="S895" s="169"/>
      <c r="T895" s="169"/>
      <c r="U895" s="170"/>
      <c r="V895" s="171"/>
    </row>
    <row r="896" spans="1:22" hidden="1" outlineLevel="2" x14ac:dyDescent="0.25">
      <c r="A896" s="186">
        <f>SUMIFS(МКД!$A$6:$A$389,МКД!$D$6:$D$389,Таблица1[[#This Row],[2]])</f>
        <v>155</v>
      </c>
      <c r="B896" s="168"/>
      <c r="C896" s="182" t="s">
        <v>682</v>
      </c>
      <c r="D896" s="167" t="s">
        <v>2644</v>
      </c>
      <c r="E896" s="167" t="s">
        <v>997</v>
      </c>
      <c r="F896" s="167">
        <v>1</v>
      </c>
      <c r="G896" s="168">
        <f>SUMIFS(Таблица1[[#This Row],[8]:[19]],$I$5:$T$5,"Выкуп")</f>
        <v>62.1</v>
      </c>
      <c r="H896" s="168">
        <f>SUMIFS(Таблица1[[#This Row],[8]:[19]],$I$5:$T$5,"Аренда")</f>
        <v>0</v>
      </c>
      <c r="I896" s="169">
        <v>62.1</v>
      </c>
      <c r="J896" s="169"/>
      <c r="K896" s="169"/>
      <c r="L896" s="169"/>
      <c r="M896" s="169"/>
      <c r="N896" s="169"/>
      <c r="O896" s="169"/>
      <c r="P896" s="169"/>
      <c r="Q896" s="169"/>
      <c r="R896" s="169"/>
      <c r="S896" s="169"/>
      <c r="T896" s="169"/>
      <c r="U896" s="170"/>
      <c r="V896" s="171"/>
    </row>
    <row r="897" spans="1:22" hidden="1" outlineLevel="2" x14ac:dyDescent="0.25">
      <c r="A897" s="186">
        <f>SUMIFS(МКД!$A$6:$A$389,МКД!$D$6:$D$389,Таблица1[[#This Row],[2]])</f>
        <v>155</v>
      </c>
      <c r="B897" s="168"/>
      <c r="C897" s="182" t="s">
        <v>682</v>
      </c>
      <c r="D897" s="167" t="s">
        <v>2568</v>
      </c>
      <c r="E897" s="167" t="s">
        <v>955</v>
      </c>
      <c r="F897" s="167">
        <v>1</v>
      </c>
      <c r="G897" s="168">
        <f>SUMIFS(Таблица1[[#This Row],[8]:[19]],$I$5:$T$5,"Выкуп")</f>
        <v>58.8</v>
      </c>
      <c r="H897" s="168">
        <f>SUMIFS(Таблица1[[#This Row],[8]:[19]],$I$5:$T$5,"Аренда")</f>
        <v>0</v>
      </c>
      <c r="I897" s="169">
        <v>58.8</v>
      </c>
      <c r="J897" s="169"/>
      <c r="K897" s="169"/>
      <c r="L897" s="169"/>
      <c r="M897" s="169"/>
      <c r="N897" s="169"/>
      <c r="O897" s="169"/>
      <c r="P897" s="169"/>
      <c r="Q897" s="169"/>
      <c r="R897" s="169"/>
      <c r="S897" s="169"/>
      <c r="T897" s="169"/>
      <c r="U897" s="170"/>
      <c r="V897" s="171"/>
    </row>
    <row r="898" spans="1:22" hidden="1" outlineLevel="2" x14ac:dyDescent="0.25">
      <c r="A898" s="186">
        <f>SUMIFS(МКД!$A$6:$A$389,МКД!$D$6:$D$389,Таблица1[[#This Row],[2]])</f>
        <v>155</v>
      </c>
      <c r="B898" s="168"/>
      <c r="C898" s="182" t="s">
        <v>682</v>
      </c>
      <c r="D898" s="167" t="s">
        <v>2575</v>
      </c>
      <c r="E898" s="167" t="s">
        <v>2576</v>
      </c>
      <c r="F898" s="167">
        <v>1</v>
      </c>
      <c r="G898" s="168">
        <f>SUMIFS(Таблица1[[#This Row],[8]:[19]],$I$5:$T$5,"Выкуп")</f>
        <v>0</v>
      </c>
      <c r="H898" s="168">
        <f>SUMIFS(Таблица1[[#This Row],[8]:[19]],$I$5:$T$5,"Аренда")</f>
        <v>12.3</v>
      </c>
      <c r="I898" s="169"/>
      <c r="J898" s="169"/>
      <c r="K898" s="169"/>
      <c r="L898" s="169"/>
      <c r="M898" s="169"/>
      <c r="N898" s="169"/>
      <c r="O898" s="167"/>
      <c r="P898" s="169">
        <v>12.3</v>
      </c>
      <c r="Q898" s="169"/>
      <c r="R898" s="169"/>
      <c r="S898" s="169"/>
      <c r="T898" s="169"/>
      <c r="U898" s="170"/>
      <c r="V898" s="171"/>
    </row>
    <row r="899" spans="1:22" ht="15" outlineLevel="1" collapsed="1" x14ac:dyDescent="0.25">
      <c r="A899" s="186">
        <f>SUMIFS(МКД!$A$6:$A$389,МКД!$D$6:$D$389,Таблица1[[#This Row],[2]])</f>
        <v>156</v>
      </c>
      <c r="B899" s="194">
        <f>SUMIFS(Таблица1[6],Таблица1[2],Таблица1[[#This Row],[2]])+SUMIFS(Таблица1[7],Таблица1[2],Таблица1[[#This Row],[2]])</f>
        <v>88.4</v>
      </c>
      <c r="C899" s="185" t="s">
        <v>683</v>
      </c>
      <c r="D899" s="196"/>
      <c r="E899" s="196"/>
      <c r="F899" s="196"/>
      <c r="G899" s="168"/>
      <c r="H899" s="197"/>
      <c r="I899" s="196"/>
      <c r="J899" s="196"/>
      <c r="K899" s="196"/>
      <c r="L899" s="196"/>
      <c r="M899" s="196"/>
      <c r="N899" s="196"/>
      <c r="O899" s="196"/>
      <c r="P899" s="196"/>
      <c r="Q899" s="196"/>
      <c r="R899" s="196"/>
      <c r="S899" s="196"/>
      <c r="T899" s="196"/>
      <c r="U899" s="196"/>
      <c r="V899" s="198"/>
    </row>
    <row r="900" spans="1:22" ht="15" hidden="1" outlineLevel="2" x14ac:dyDescent="0.25">
      <c r="A900" s="186">
        <f>SUMIFS(МКД!$A$6:$A$389,МКД!$D$6:$D$389,Таблица1[[#This Row],[2]])</f>
        <v>156</v>
      </c>
      <c r="B900" s="196"/>
      <c r="C900" s="182" t="s">
        <v>683</v>
      </c>
      <c r="D900" s="167" t="s">
        <v>1593</v>
      </c>
      <c r="E900" s="273" t="s">
        <v>1749</v>
      </c>
      <c r="F900" s="196"/>
      <c r="G900" s="168">
        <f>SUMIFS(Таблица1[[#This Row],[8]:[19]],$I$5:$T$5,"Выкуп")</f>
        <v>88.4</v>
      </c>
      <c r="H900" s="168">
        <f>SUMIFS(Таблица1[[#This Row],[8]:[19]],$I$5:$T$5,"Аренда")</f>
        <v>0</v>
      </c>
      <c r="I900" s="196"/>
      <c r="J900" s="196"/>
      <c r="K900" s="196">
        <v>88.4</v>
      </c>
      <c r="L900" s="196"/>
      <c r="M900" s="196"/>
      <c r="N900" s="196"/>
      <c r="O900" s="196"/>
      <c r="P900" s="196"/>
      <c r="Q900" s="196"/>
      <c r="R900" s="196"/>
      <c r="S900" s="196"/>
      <c r="T900" s="196"/>
      <c r="U900" s="196"/>
      <c r="V900" s="198"/>
    </row>
    <row r="901" spans="1:22" ht="15" outlineLevel="1" collapsed="1" x14ac:dyDescent="0.25">
      <c r="A901" s="186">
        <f>SUMIFS(МКД!$A$6:$A$389,МКД!$D$6:$D$389,Таблица1[[#This Row],[2]])</f>
        <v>157</v>
      </c>
      <c r="B901" s="194">
        <f>SUMIFS(Таблица1[6],Таблица1[2],Таблица1[[#This Row],[2]])+SUMIFS(Таблица1[7],Таблица1[2],Таблица1[[#This Row],[2]])</f>
        <v>813.00000000000023</v>
      </c>
      <c r="C901" s="185" t="s">
        <v>676</v>
      </c>
      <c r="D901" s="196"/>
      <c r="E901" s="196"/>
      <c r="F901" s="196"/>
      <c r="G901" s="168"/>
      <c r="H901" s="197"/>
      <c r="I901" s="196"/>
      <c r="J901" s="196"/>
      <c r="K901" s="196"/>
      <c r="L901" s="196"/>
      <c r="M901" s="196"/>
      <c r="N901" s="196"/>
      <c r="O901" s="196"/>
      <c r="P901" s="196"/>
      <c r="Q901" s="196"/>
      <c r="R901" s="196"/>
      <c r="S901" s="196"/>
      <c r="T901" s="196"/>
      <c r="U901" s="196"/>
      <c r="V901" s="198"/>
    </row>
    <row r="902" spans="1:22" hidden="1" outlineLevel="2" x14ac:dyDescent="0.25">
      <c r="A902" s="186">
        <f>SUMIFS(МКД!$A$6:$A$389,МКД!$D$6:$D$389,Таблица1[[#This Row],[2]])</f>
        <v>157</v>
      </c>
      <c r="B902" s="170"/>
      <c r="C902" s="182" t="s">
        <v>676</v>
      </c>
      <c r="D902" s="167" t="s">
        <v>1522</v>
      </c>
      <c r="E902" s="167" t="s">
        <v>1143</v>
      </c>
      <c r="F902" s="167">
        <v>1</v>
      </c>
      <c r="G902" s="168">
        <f>SUMIFS(Таблица1[[#This Row],[8]:[19]],$I$5:$T$5,"Выкуп")</f>
        <v>53</v>
      </c>
      <c r="H902" s="168">
        <f>SUMIFS(Таблица1[[#This Row],[8]:[19]],$I$5:$T$5,"Аренда")</f>
        <v>0</v>
      </c>
      <c r="I902" s="169">
        <v>53</v>
      </c>
      <c r="J902" s="169"/>
      <c r="K902" s="169"/>
      <c r="L902" s="169"/>
      <c r="M902" s="169"/>
      <c r="N902" s="169"/>
      <c r="O902" s="169"/>
      <c r="P902" s="169"/>
      <c r="Q902" s="169"/>
      <c r="R902" s="169"/>
      <c r="S902" s="169"/>
      <c r="T902" s="169"/>
      <c r="U902" s="170"/>
      <c r="V902" s="171"/>
    </row>
    <row r="903" spans="1:22" hidden="1" outlineLevel="2" x14ac:dyDescent="0.25">
      <c r="A903" s="186">
        <f>SUMIFS(МКД!$A$6:$A$389,МКД!$D$6:$D$389,Таблица1[[#This Row],[2]])</f>
        <v>157</v>
      </c>
      <c r="B903" s="168"/>
      <c r="C903" s="182" t="s">
        <v>676</v>
      </c>
      <c r="D903" s="167" t="s">
        <v>290</v>
      </c>
      <c r="E903" s="167" t="s">
        <v>2486</v>
      </c>
      <c r="F903" s="167">
        <v>1</v>
      </c>
      <c r="G903" s="168">
        <f>SUMIFS(Таблица1[[#This Row],[8]:[19]],$I$5:$T$5,"Выкуп")</f>
        <v>148.30000000000001</v>
      </c>
      <c r="H903" s="168">
        <f>SUMIFS(Таблица1[[#This Row],[8]:[19]],$I$5:$T$5,"Аренда")</f>
        <v>0</v>
      </c>
      <c r="I903" s="169">
        <v>148.30000000000001</v>
      </c>
      <c r="J903" s="169"/>
      <c r="K903" s="169"/>
      <c r="L903" s="169"/>
      <c r="M903" s="169"/>
      <c r="N903" s="169"/>
      <c r="O903" s="169"/>
      <c r="P903" s="169"/>
      <c r="Q903" s="169"/>
      <c r="R903" s="169"/>
      <c r="S903" s="169"/>
      <c r="T903" s="169"/>
      <c r="U903" s="170"/>
      <c r="V903" s="171"/>
    </row>
    <row r="904" spans="1:22" hidden="1" outlineLevel="2" x14ac:dyDescent="0.25">
      <c r="A904" s="186">
        <f>SUMIFS(МКД!$A$6:$A$389,МКД!$D$6:$D$389,Таблица1[[#This Row],[2]])</f>
        <v>157</v>
      </c>
      <c r="B904" s="168"/>
      <c r="C904" s="182" t="s">
        <v>676</v>
      </c>
      <c r="D904" s="167" t="s">
        <v>2485</v>
      </c>
      <c r="E904" s="167" t="s">
        <v>1259</v>
      </c>
      <c r="F904" s="167">
        <v>1</v>
      </c>
      <c r="G904" s="168">
        <f>SUMIFS(Таблица1[[#This Row],[8]:[19]],$I$5:$T$5,"Выкуп")</f>
        <v>95.4</v>
      </c>
      <c r="H904" s="168">
        <f>SUMIFS(Таблица1[[#This Row],[8]:[19]],$I$5:$T$5,"Аренда")</f>
        <v>0</v>
      </c>
      <c r="I904" s="169">
        <v>95.4</v>
      </c>
      <c r="J904" s="169"/>
      <c r="K904" s="169"/>
      <c r="L904" s="169"/>
      <c r="M904" s="169"/>
      <c r="N904" s="169"/>
      <c r="O904" s="169"/>
      <c r="P904" s="169"/>
      <c r="Q904" s="169"/>
      <c r="R904" s="169"/>
      <c r="S904" s="169"/>
      <c r="T904" s="169"/>
      <c r="U904" s="170"/>
      <c r="V904" s="171"/>
    </row>
    <row r="905" spans="1:22" hidden="1" outlineLevel="2" x14ac:dyDescent="0.25">
      <c r="A905" s="186">
        <f>SUMIFS(МКД!$A$6:$A$389,МКД!$D$6:$D$389,Таблица1[[#This Row],[2]])</f>
        <v>157</v>
      </c>
      <c r="B905" s="168"/>
      <c r="C905" s="182" t="s">
        <v>676</v>
      </c>
      <c r="D905" s="167" t="s">
        <v>1522</v>
      </c>
      <c r="E905" s="167" t="s">
        <v>1668</v>
      </c>
      <c r="F905" s="167">
        <v>1</v>
      </c>
      <c r="G905" s="168">
        <f>SUMIFS(Таблица1[[#This Row],[8]:[19]],$I$5:$T$5,"Выкуп")</f>
        <v>52.6</v>
      </c>
      <c r="H905" s="168">
        <f>SUMIFS(Таблица1[[#This Row],[8]:[19]],$I$5:$T$5,"Аренда")</f>
        <v>0</v>
      </c>
      <c r="I905" s="169">
        <v>52.6</v>
      </c>
      <c r="J905" s="169"/>
      <c r="K905" s="169"/>
      <c r="L905" s="169"/>
      <c r="M905" s="169"/>
      <c r="N905" s="169"/>
      <c r="O905" s="169"/>
      <c r="P905" s="169"/>
      <c r="Q905" s="169"/>
      <c r="R905" s="169"/>
      <c r="S905" s="169"/>
      <c r="T905" s="169"/>
      <c r="U905" s="170"/>
      <c r="V905" s="171"/>
    </row>
    <row r="906" spans="1:22" hidden="1" outlineLevel="2" x14ac:dyDescent="0.25">
      <c r="A906" s="186">
        <f>SUMIFS(МКД!$A$6:$A$389,МКД!$D$6:$D$389,Таблица1[[#This Row],[2]])</f>
        <v>157</v>
      </c>
      <c r="B906" s="168"/>
      <c r="C906" s="182" t="s">
        <v>676</v>
      </c>
      <c r="D906" s="167" t="s">
        <v>2490</v>
      </c>
      <c r="E906" s="167" t="s">
        <v>2489</v>
      </c>
      <c r="F906" s="167">
        <v>1</v>
      </c>
      <c r="G906" s="168">
        <f>SUMIFS(Таблица1[[#This Row],[8]:[19]],$I$5:$T$5,"Выкуп")</f>
        <v>74</v>
      </c>
      <c r="H906" s="168">
        <f>SUMIFS(Таблица1[[#This Row],[8]:[19]],$I$5:$T$5,"Аренда")</f>
        <v>0</v>
      </c>
      <c r="I906" s="169">
        <v>74</v>
      </c>
      <c r="J906" s="169"/>
      <c r="K906" s="169"/>
      <c r="L906" s="169"/>
      <c r="M906" s="169"/>
      <c r="N906" s="169"/>
      <c r="O906" s="169"/>
      <c r="P906" s="169"/>
      <c r="Q906" s="169"/>
      <c r="R906" s="169"/>
      <c r="S906" s="169"/>
      <c r="T906" s="169"/>
      <c r="U906" s="170"/>
      <c r="V906" s="171"/>
    </row>
    <row r="907" spans="1:22" hidden="1" outlineLevel="2" x14ac:dyDescent="0.25">
      <c r="A907" s="186">
        <f>SUMIFS(МКД!$A$6:$A$389,МКД!$D$6:$D$389,Таблица1[[#This Row],[2]])</f>
        <v>157</v>
      </c>
      <c r="B907" s="168"/>
      <c r="C907" s="182" t="s">
        <v>676</v>
      </c>
      <c r="D907" s="167" t="s">
        <v>2487</v>
      </c>
      <c r="E907" s="167" t="s">
        <v>2143</v>
      </c>
      <c r="F907" s="167">
        <v>1</v>
      </c>
      <c r="G907" s="168">
        <f>SUMIFS(Таблица1[[#This Row],[8]:[19]],$I$5:$T$5,"Выкуп")</f>
        <v>92.2</v>
      </c>
      <c r="H907" s="168">
        <f>SUMIFS(Таблица1[[#This Row],[8]:[19]],$I$5:$T$5,"Аренда")</f>
        <v>0</v>
      </c>
      <c r="I907" s="169">
        <v>92.2</v>
      </c>
      <c r="J907" s="169"/>
      <c r="K907" s="169"/>
      <c r="L907" s="169"/>
      <c r="M907" s="169"/>
      <c r="N907" s="169"/>
      <c r="O907" s="169"/>
      <c r="P907" s="169"/>
      <c r="Q907" s="169"/>
      <c r="R907" s="169"/>
      <c r="S907" s="169"/>
      <c r="T907" s="169"/>
      <c r="U907" s="170"/>
      <c r="V907" s="171"/>
    </row>
    <row r="908" spans="1:22" hidden="1" outlineLevel="2" x14ac:dyDescent="0.25">
      <c r="A908" s="186">
        <f>SUMIFS(МКД!$A$6:$A$389,МКД!$D$6:$D$389,Таблица1[[#This Row],[2]])</f>
        <v>157</v>
      </c>
      <c r="B908" s="168"/>
      <c r="C908" s="182" t="s">
        <v>676</v>
      </c>
      <c r="D908" s="167" t="s">
        <v>2799</v>
      </c>
      <c r="E908" s="167" t="s">
        <v>2488</v>
      </c>
      <c r="F908" s="167">
        <v>1</v>
      </c>
      <c r="G908" s="168">
        <f>SUMIFS(Таблица1[[#This Row],[8]:[19]],$I$5:$T$5,"Выкуп")</f>
        <v>145.30000000000001</v>
      </c>
      <c r="H908" s="168">
        <f>SUMIFS(Таблица1[[#This Row],[8]:[19]],$I$5:$T$5,"Аренда")</f>
        <v>0</v>
      </c>
      <c r="I908" s="169">
        <v>145.30000000000001</v>
      </c>
      <c r="J908" s="169"/>
      <c r="K908" s="169"/>
      <c r="L908" s="169"/>
      <c r="M908" s="169"/>
      <c r="N908" s="169"/>
      <c r="O908" s="169"/>
      <c r="P908" s="169"/>
      <c r="Q908" s="169"/>
      <c r="R908" s="169"/>
      <c r="S908" s="169"/>
      <c r="T908" s="169"/>
      <c r="U908" s="170"/>
      <c r="V908" s="171"/>
    </row>
    <row r="909" spans="1:22" hidden="1" outlineLevel="2" x14ac:dyDescent="0.25">
      <c r="A909" s="186">
        <f>SUMIFS(МКД!$A$6:$A$389,МКД!$D$6:$D$389,Таблица1[[#This Row],[2]])</f>
        <v>157</v>
      </c>
      <c r="B909" s="168"/>
      <c r="C909" s="182" t="s">
        <v>676</v>
      </c>
      <c r="D909" s="167" t="s">
        <v>1522</v>
      </c>
      <c r="E909" s="167" t="s">
        <v>1669</v>
      </c>
      <c r="F909" s="167">
        <v>1</v>
      </c>
      <c r="G909" s="168">
        <f>SUMIFS(Таблица1[[#This Row],[8]:[19]],$I$5:$T$5,"Выкуп")</f>
        <v>152.19999999999999</v>
      </c>
      <c r="H909" s="168">
        <f>SUMIFS(Таблица1[[#This Row],[8]:[19]],$I$5:$T$5,"Аренда")</f>
        <v>0</v>
      </c>
      <c r="I909" s="169">
        <v>152.19999999999999</v>
      </c>
      <c r="J909" s="169"/>
      <c r="K909" s="169"/>
      <c r="L909" s="169"/>
      <c r="M909" s="169"/>
      <c r="N909" s="169"/>
      <c r="O909" s="169"/>
      <c r="P909" s="169"/>
      <c r="Q909" s="169"/>
      <c r="R909" s="169"/>
      <c r="S909" s="169"/>
      <c r="T909" s="169"/>
      <c r="U909" s="170"/>
      <c r="V909" s="171"/>
    </row>
    <row r="910" spans="1:22" ht="15" outlineLevel="1" collapsed="1" x14ac:dyDescent="0.25">
      <c r="A910" s="186">
        <f>SUMIFS(МКД!$A$6:$A$389,МКД!$D$6:$D$389,Таблица1[[#This Row],[2]])</f>
        <v>158</v>
      </c>
      <c r="B910" s="194">
        <f>SUMIFS(Таблица1[6],Таблица1[2],Таблица1[[#This Row],[2]])+SUMIFS(Таблица1[7],Таблица1[2],Таблица1[[#This Row],[2]])</f>
        <v>0</v>
      </c>
      <c r="C910" s="185" t="s">
        <v>684</v>
      </c>
      <c r="D910" s="196"/>
      <c r="E910" s="196"/>
      <c r="F910" s="196"/>
      <c r="G910" s="168"/>
      <c r="H910" s="197"/>
      <c r="I910" s="196"/>
      <c r="J910" s="196"/>
      <c r="K910" s="196"/>
      <c r="L910" s="196"/>
      <c r="M910" s="196"/>
      <c r="N910" s="196"/>
      <c r="O910" s="196"/>
      <c r="P910" s="196"/>
      <c r="Q910" s="196"/>
      <c r="R910" s="196"/>
      <c r="S910" s="196"/>
      <c r="T910" s="196"/>
      <c r="U910" s="196"/>
      <c r="V910" s="198"/>
    </row>
    <row r="911" spans="1:22" ht="15" hidden="1" outlineLevel="2" x14ac:dyDescent="0.25">
      <c r="A911" s="186">
        <f>SUMIFS(МКД!$A$6:$A$389,МКД!$D$6:$D$389,Таблица1[[#This Row],[2]])</f>
        <v>158</v>
      </c>
      <c r="B911" s="196"/>
      <c r="C911" s="182" t="s">
        <v>684</v>
      </c>
      <c r="D911" s="196"/>
      <c r="E911" s="196"/>
      <c r="F911" s="196"/>
      <c r="G911" s="168">
        <f>SUMIFS(Таблица1[[#This Row],[8]:[19]],$I$5:$T$5,"Выкуп")</f>
        <v>0</v>
      </c>
      <c r="H911" s="168">
        <f>SUMIFS(Таблица1[[#This Row],[8]:[19]],$I$5:$T$5,"Аренда")</f>
        <v>0</v>
      </c>
      <c r="I911" s="196"/>
      <c r="J911" s="196"/>
      <c r="K911" s="196"/>
      <c r="L911" s="196"/>
      <c r="M911" s="196"/>
      <c r="N911" s="196"/>
      <c r="O911" s="196"/>
      <c r="P911" s="196"/>
      <c r="Q911" s="196"/>
      <c r="R911" s="196"/>
      <c r="S911" s="196"/>
      <c r="T911" s="196"/>
      <c r="U911" s="196"/>
      <c r="V911" s="198"/>
    </row>
    <row r="912" spans="1:22" ht="15" outlineLevel="1" collapsed="1" x14ac:dyDescent="0.25">
      <c r="A912" s="186">
        <f>SUMIFS(МКД!$A$6:$A$389,МКД!$D$6:$D$389,Таблица1[[#This Row],[2]])</f>
        <v>159</v>
      </c>
      <c r="B912" s="194">
        <f>SUMIFS(Таблица1[6],Таблица1[2],Таблица1[[#This Row],[2]])+SUMIFS(Таблица1[7],Таблица1[2],Таблица1[[#This Row],[2]])</f>
        <v>0</v>
      </c>
      <c r="C912" s="185" t="s">
        <v>685</v>
      </c>
      <c r="D912" s="196"/>
      <c r="E912" s="196"/>
      <c r="F912" s="196"/>
      <c r="G912" s="168"/>
      <c r="H912" s="197"/>
      <c r="I912" s="196"/>
      <c r="J912" s="196"/>
      <c r="K912" s="196"/>
      <c r="L912" s="196"/>
      <c r="M912" s="196"/>
      <c r="N912" s="196"/>
      <c r="O912" s="196"/>
      <c r="P912" s="196"/>
      <c r="Q912" s="196"/>
      <c r="R912" s="196"/>
      <c r="S912" s="196"/>
      <c r="T912" s="196"/>
      <c r="U912" s="196"/>
      <c r="V912" s="198"/>
    </row>
    <row r="913" spans="1:22" ht="15" hidden="1" outlineLevel="2" x14ac:dyDescent="0.25">
      <c r="A913" s="186">
        <f>SUMIFS(МКД!$A$6:$A$389,МКД!$D$6:$D$389,Таблица1[[#This Row],[2]])</f>
        <v>159</v>
      </c>
      <c r="B913" s="196"/>
      <c r="C913" s="182" t="s">
        <v>685</v>
      </c>
      <c r="D913" s="196"/>
      <c r="E913" s="196"/>
      <c r="F913" s="196"/>
      <c r="G913" s="168">
        <f>SUMIFS(Таблица1[[#This Row],[8]:[19]],$I$5:$T$5,"Выкуп")</f>
        <v>0</v>
      </c>
      <c r="H913" s="168">
        <f>SUMIFS(Таблица1[[#This Row],[8]:[19]],$I$5:$T$5,"Аренда")</f>
        <v>0</v>
      </c>
      <c r="I913" s="196"/>
      <c r="J913" s="196"/>
      <c r="K913" s="196"/>
      <c r="L913" s="196"/>
      <c r="M913" s="196"/>
      <c r="N913" s="196"/>
      <c r="O913" s="196"/>
      <c r="P913" s="196"/>
      <c r="Q913" s="196"/>
      <c r="R913" s="196"/>
      <c r="S913" s="196"/>
      <c r="T913" s="196"/>
      <c r="U913" s="196"/>
      <c r="V913" s="198"/>
    </row>
    <row r="914" spans="1:22" outlineLevel="1" collapsed="1" x14ac:dyDescent="0.25">
      <c r="A914" s="186">
        <f>SUMIFS(МКД!$A$6:$A$389,МКД!$D$6:$D$389,Таблица1[[#This Row],[2]])</f>
        <v>160</v>
      </c>
      <c r="B914" s="194">
        <f>SUMIFS(Таблица1[6],Таблица1[2],Таблица1[[#This Row],[2]])+SUMIFS(Таблица1[7],Таблица1[2],Таблица1[[#This Row],[2]])</f>
        <v>2160.9000000000005</v>
      </c>
      <c r="C914" s="185" t="s">
        <v>686</v>
      </c>
      <c r="D914" s="167"/>
      <c r="E914" s="167"/>
      <c r="F914" s="167"/>
      <c r="G914" s="168"/>
      <c r="H914" s="168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9"/>
      <c r="T914" s="169"/>
      <c r="U914" s="170"/>
      <c r="V914" s="171"/>
    </row>
    <row r="915" spans="1:22" hidden="1" outlineLevel="2" x14ac:dyDescent="0.25">
      <c r="A915" s="186">
        <f>SUMIFS(МКД!$A$6:$A$389,МКД!$D$6:$D$389,Таблица1[[#This Row],[2]])</f>
        <v>160</v>
      </c>
      <c r="B915" s="170"/>
      <c r="C915" s="182" t="s">
        <v>686</v>
      </c>
      <c r="D915" s="167" t="s">
        <v>291</v>
      </c>
      <c r="E915" s="167" t="s">
        <v>2187</v>
      </c>
      <c r="F915" s="167">
        <v>1</v>
      </c>
      <c r="G915" s="168">
        <f>SUMIFS(Таблица1[[#This Row],[8]:[19]],$I$5:$T$5,"Выкуп")</f>
        <v>93.1</v>
      </c>
      <c r="H915" s="168">
        <f>SUMIFS(Таблица1[[#This Row],[8]:[19]],$I$5:$T$5,"Аренда")</f>
        <v>0</v>
      </c>
      <c r="I915" s="169"/>
      <c r="J915" s="169"/>
      <c r="K915" s="169">
        <v>93.1</v>
      </c>
      <c r="L915" s="169"/>
      <c r="M915" s="169"/>
      <c r="N915" s="169"/>
      <c r="O915" s="169"/>
      <c r="P915" s="169"/>
      <c r="Q915" s="169"/>
      <c r="R915" s="169"/>
      <c r="S915" s="169"/>
      <c r="T915" s="169"/>
      <c r="U915" s="170"/>
      <c r="V915" s="171"/>
    </row>
    <row r="916" spans="1:22" hidden="1" outlineLevel="2" x14ac:dyDescent="0.25">
      <c r="A916" s="186">
        <f>SUMIFS(МКД!$A$6:$A$389,МКД!$D$6:$D$389,Таблица1[[#This Row],[2]])</f>
        <v>160</v>
      </c>
      <c r="B916" s="170"/>
      <c r="C916" s="182" t="s">
        <v>686</v>
      </c>
      <c r="D916" s="167" t="s">
        <v>1593</v>
      </c>
      <c r="E916" s="273" t="s">
        <v>1750</v>
      </c>
      <c r="F916" s="167">
        <v>1</v>
      </c>
      <c r="G916" s="168">
        <f>SUMIFS(Таблица1[[#This Row],[8]:[19]],$I$5:$T$5,"Выкуп")</f>
        <v>121.3</v>
      </c>
      <c r="H916" s="168">
        <f>SUMIFS(Таблица1[[#This Row],[8]:[19]],$I$5:$T$5,"Аренда")</f>
        <v>0</v>
      </c>
      <c r="I916" s="169"/>
      <c r="J916" s="169"/>
      <c r="K916" s="169">
        <v>121.3</v>
      </c>
      <c r="L916" s="169"/>
      <c r="M916" s="169"/>
      <c r="N916" s="169"/>
      <c r="O916" s="169"/>
      <c r="P916" s="169"/>
      <c r="Q916" s="169"/>
      <c r="R916" s="169"/>
      <c r="S916" s="169"/>
      <c r="T916" s="169"/>
      <c r="U916" s="170"/>
      <c r="V916" s="171"/>
    </row>
    <row r="917" spans="1:22" hidden="1" outlineLevel="2" x14ac:dyDescent="0.25">
      <c r="A917" s="186">
        <f>SUMIFS(МКД!$A$6:$A$389,МКД!$D$6:$D$389,Таблица1[[#This Row],[2]])</f>
        <v>160</v>
      </c>
      <c r="B917" s="168"/>
      <c r="C917" s="182" t="s">
        <v>686</v>
      </c>
      <c r="D917" s="167" t="s">
        <v>2179</v>
      </c>
      <c r="E917" s="167" t="s">
        <v>2178</v>
      </c>
      <c r="F917" s="167">
        <v>1</v>
      </c>
      <c r="G917" s="168">
        <f>SUMIFS(Таблица1[[#This Row],[8]:[19]],$I$5:$T$5,"Выкуп")</f>
        <v>148.19999999999999</v>
      </c>
      <c r="H917" s="168">
        <f>SUMIFS(Таблица1[[#This Row],[8]:[19]],$I$5:$T$5,"Аренда")</f>
        <v>0</v>
      </c>
      <c r="I917" s="169">
        <v>148.19999999999999</v>
      </c>
      <c r="J917" s="169"/>
      <c r="K917" s="169"/>
      <c r="L917" s="169"/>
      <c r="M917" s="169"/>
      <c r="N917" s="169"/>
      <c r="O917" s="169"/>
      <c r="P917" s="169"/>
      <c r="Q917" s="169"/>
      <c r="R917" s="169"/>
      <c r="S917" s="169"/>
      <c r="T917" s="169"/>
      <c r="U917" s="170"/>
      <c r="V917" s="171"/>
    </row>
    <row r="918" spans="1:22" hidden="1" outlineLevel="2" x14ac:dyDescent="0.25">
      <c r="A918" s="186">
        <f>SUMIFS(МКД!$A$6:$A$389,МКД!$D$6:$D$389,Таблица1[[#This Row],[2]])</f>
        <v>160</v>
      </c>
      <c r="B918" s="168"/>
      <c r="C918" s="182" t="s">
        <v>686</v>
      </c>
      <c r="D918" s="167" t="s">
        <v>1512</v>
      </c>
      <c r="E918" s="167" t="s">
        <v>2180</v>
      </c>
      <c r="F918" s="167">
        <v>1</v>
      </c>
      <c r="G918" s="168">
        <f>SUMIFS(Таблица1[[#This Row],[8]:[19]],$I$5:$T$5,"Выкуп")</f>
        <v>70.2</v>
      </c>
      <c r="H918" s="168">
        <f>SUMIFS(Таблица1[[#This Row],[8]:[19]],$I$5:$T$5,"Аренда")</f>
        <v>0</v>
      </c>
      <c r="I918" s="169">
        <v>70.2</v>
      </c>
      <c r="J918" s="169"/>
      <c r="K918" s="169"/>
      <c r="L918" s="169"/>
      <c r="M918" s="169"/>
      <c r="N918" s="169"/>
      <c r="O918" s="169"/>
      <c r="P918" s="169"/>
      <c r="Q918" s="169"/>
      <c r="R918" s="169"/>
      <c r="S918" s="169"/>
      <c r="T918" s="169"/>
      <c r="U918" s="170"/>
      <c r="V918" s="171"/>
    </row>
    <row r="919" spans="1:22" hidden="1" outlineLevel="2" x14ac:dyDescent="0.25">
      <c r="A919" s="186">
        <f>SUMIFS(МКД!$A$6:$A$389,МКД!$D$6:$D$389,Таблица1[[#This Row],[2]])</f>
        <v>160</v>
      </c>
      <c r="B919" s="168"/>
      <c r="C919" s="182" t="s">
        <v>686</v>
      </c>
      <c r="D919" s="167" t="s">
        <v>1822</v>
      </c>
      <c r="E919" s="167" t="s">
        <v>764</v>
      </c>
      <c r="F919" s="167">
        <v>1</v>
      </c>
      <c r="G919" s="168">
        <f>SUMIFS(Таблица1[[#This Row],[8]:[19]],$I$5:$T$5,"Выкуп")</f>
        <v>626.1</v>
      </c>
      <c r="H919" s="168">
        <f>SUMIFS(Таблица1[[#This Row],[8]:[19]],$I$5:$T$5,"Аренда")</f>
        <v>0</v>
      </c>
      <c r="I919" s="169">
        <f>626.1-298.6</f>
        <v>327.5</v>
      </c>
      <c r="J919" s="169"/>
      <c r="K919" s="169">
        <v>298.60000000000002</v>
      </c>
      <c r="L919" s="169"/>
      <c r="M919" s="169"/>
      <c r="N919" s="169"/>
      <c r="O919" s="169"/>
      <c r="P919" s="169"/>
      <c r="Q919" s="169"/>
      <c r="R919" s="169"/>
      <c r="S919" s="169"/>
      <c r="T919" s="169"/>
      <c r="U919" s="170"/>
      <c r="V919" s="171"/>
    </row>
    <row r="920" spans="1:22" hidden="1" outlineLevel="2" x14ac:dyDescent="0.25">
      <c r="A920" s="186">
        <f>SUMIFS(МКД!$A$6:$A$389,МКД!$D$6:$D$389,Таблица1[[#This Row],[2]])</f>
        <v>160</v>
      </c>
      <c r="B920" s="168"/>
      <c r="C920" s="182" t="s">
        <v>686</v>
      </c>
      <c r="D920" s="167" t="s">
        <v>2181</v>
      </c>
      <c r="E920" s="167" t="s">
        <v>2182</v>
      </c>
      <c r="F920" s="167">
        <v>2</v>
      </c>
      <c r="G920" s="168">
        <f>SUMIFS(Таблица1[[#This Row],[8]:[19]],$I$5:$T$5,"Выкуп")</f>
        <v>85.8</v>
      </c>
      <c r="H920" s="168">
        <f>SUMIFS(Таблица1[[#This Row],[8]:[19]],$I$5:$T$5,"Аренда")</f>
        <v>0</v>
      </c>
      <c r="I920" s="169">
        <v>85.8</v>
      </c>
      <c r="J920" s="169"/>
      <c r="K920" s="169"/>
      <c r="L920" s="169"/>
      <c r="M920" s="169"/>
      <c r="N920" s="169"/>
      <c r="O920" s="169"/>
      <c r="P920" s="169"/>
      <c r="Q920" s="169"/>
      <c r="R920" s="169"/>
      <c r="S920" s="169"/>
      <c r="T920" s="169"/>
      <c r="U920" s="170"/>
      <c r="V920" s="171"/>
    </row>
    <row r="921" spans="1:22" hidden="1" outlineLevel="2" x14ac:dyDescent="0.25">
      <c r="A921" s="186">
        <f>SUMIFS(МКД!$A$6:$A$389,МКД!$D$6:$D$389,Таблица1[[#This Row],[2]])</f>
        <v>160</v>
      </c>
      <c r="B921" s="168"/>
      <c r="C921" s="182" t="s">
        <v>686</v>
      </c>
      <c r="D921" s="167" t="s">
        <v>223</v>
      </c>
      <c r="E921" s="167" t="s">
        <v>2183</v>
      </c>
      <c r="F921" s="167">
        <v>2</v>
      </c>
      <c r="G921" s="168">
        <f>SUMIFS(Таблица1[[#This Row],[8]:[19]],$I$5:$T$5,"Выкуп")</f>
        <v>33.799999999999997</v>
      </c>
      <c r="H921" s="168">
        <f>SUMIFS(Таблица1[[#This Row],[8]:[19]],$I$5:$T$5,"Аренда")</f>
        <v>0</v>
      </c>
      <c r="I921" s="169">
        <v>33.799999999999997</v>
      </c>
      <c r="J921" s="169"/>
      <c r="K921" s="169"/>
      <c r="L921" s="169"/>
      <c r="M921" s="169"/>
      <c r="N921" s="169"/>
      <c r="O921" s="169"/>
      <c r="P921" s="169"/>
      <c r="Q921" s="169"/>
      <c r="R921" s="169"/>
      <c r="S921" s="169"/>
      <c r="T921" s="169"/>
      <c r="U921" s="170"/>
      <c r="V921" s="171"/>
    </row>
    <row r="922" spans="1:22" hidden="1" outlineLevel="2" x14ac:dyDescent="0.25">
      <c r="A922" s="186">
        <f>SUMIFS(МКД!$A$6:$A$389,МКД!$D$6:$D$389,Таблица1[[#This Row],[2]])</f>
        <v>160</v>
      </c>
      <c r="B922" s="168"/>
      <c r="C922" s="182" t="s">
        <v>686</v>
      </c>
      <c r="D922" s="167" t="s">
        <v>2782</v>
      </c>
      <c r="E922" s="167" t="s">
        <v>2184</v>
      </c>
      <c r="F922" s="167">
        <v>2</v>
      </c>
      <c r="G922" s="168">
        <f>SUMIFS(Таблица1[[#This Row],[8]:[19]],$I$5:$T$5,"Выкуп")</f>
        <v>34</v>
      </c>
      <c r="H922" s="168">
        <f>SUMIFS(Таблица1[[#This Row],[8]:[19]],$I$5:$T$5,"Аренда")</f>
        <v>0</v>
      </c>
      <c r="I922" s="169">
        <v>34</v>
      </c>
      <c r="J922" s="169"/>
      <c r="K922" s="169"/>
      <c r="L922" s="169"/>
      <c r="M922" s="169"/>
      <c r="N922" s="169"/>
      <c r="O922" s="169"/>
      <c r="P922" s="169"/>
      <c r="Q922" s="169"/>
      <c r="R922" s="169"/>
      <c r="S922" s="169"/>
      <c r="T922" s="169"/>
      <c r="U922" s="170"/>
      <c r="V922" s="171"/>
    </row>
    <row r="923" spans="1:22" hidden="1" outlineLevel="2" x14ac:dyDescent="0.25">
      <c r="A923" s="186">
        <f>SUMIFS(МКД!$A$6:$A$389,МКД!$D$6:$D$389,Таблица1[[#This Row],[2]])</f>
        <v>160</v>
      </c>
      <c r="B923" s="168"/>
      <c r="C923" s="182" t="s">
        <v>686</v>
      </c>
      <c r="D923" s="167" t="s">
        <v>224</v>
      </c>
      <c r="E923" s="167" t="s">
        <v>2177</v>
      </c>
      <c r="F923" s="167">
        <v>1</v>
      </c>
      <c r="G923" s="168">
        <f>SUMIFS(Таблица1[[#This Row],[8]:[19]],$I$5:$T$5,"Выкуп")</f>
        <v>71.900000000000006</v>
      </c>
      <c r="H923" s="168">
        <f>SUMIFS(Таблица1[[#This Row],[8]:[19]],$I$5:$T$5,"Аренда")</f>
        <v>0</v>
      </c>
      <c r="I923" s="169">
        <v>71.900000000000006</v>
      </c>
      <c r="J923" s="169"/>
      <c r="K923" s="169"/>
      <c r="L923" s="169"/>
      <c r="M923" s="169"/>
      <c r="N923" s="169"/>
      <c r="O923" s="169"/>
      <c r="P923" s="169"/>
      <c r="Q923" s="169"/>
      <c r="R923" s="169"/>
      <c r="S923" s="169"/>
      <c r="T923" s="169"/>
      <c r="U923" s="170"/>
      <c r="V923" s="171"/>
    </row>
    <row r="924" spans="1:22" hidden="1" outlineLevel="2" x14ac:dyDescent="0.25">
      <c r="A924" s="186">
        <f>SUMIFS(МКД!$A$6:$A$389,МКД!$D$6:$D$389,Таблица1[[#This Row],[2]])</f>
        <v>160</v>
      </c>
      <c r="B924" s="168"/>
      <c r="C924" s="182" t="s">
        <v>686</v>
      </c>
      <c r="D924" s="167" t="s">
        <v>2175</v>
      </c>
      <c r="E924" s="167" t="s">
        <v>2176</v>
      </c>
      <c r="F924" s="167">
        <v>1</v>
      </c>
      <c r="G924" s="168">
        <f>SUMIFS(Таблица1[[#This Row],[8]:[19]],$I$5:$T$5,"Выкуп")</f>
        <v>120.2</v>
      </c>
      <c r="H924" s="168">
        <f>SUMIFS(Таблица1[[#This Row],[8]:[19]],$I$5:$T$5,"Аренда")</f>
        <v>0</v>
      </c>
      <c r="I924" s="169">
        <v>120.2</v>
      </c>
      <c r="J924" s="169"/>
      <c r="K924" s="169"/>
      <c r="L924" s="169"/>
      <c r="M924" s="169"/>
      <c r="N924" s="169"/>
      <c r="O924" s="169"/>
      <c r="P924" s="169"/>
      <c r="Q924" s="169"/>
      <c r="R924" s="169"/>
      <c r="S924" s="169"/>
      <c r="T924" s="169"/>
      <c r="U924" s="170"/>
      <c r="V924" s="171"/>
    </row>
    <row r="925" spans="1:22" hidden="1" outlineLevel="2" x14ac:dyDescent="0.25">
      <c r="A925" s="186">
        <f>SUMIFS(МКД!$A$6:$A$389,МКД!$D$6:$D$389,Таблица1[[#This Row],[2]])</f>
        <v>160</v>
      </c>
      <c r="B925" s="168"/>
      <c r="C925" s="182" t="s">
        <v>686</v>
      </c>
      <c r="D925" s="167" t="s">
        <v>2173</v>
      </c>
      <c r="E925" s="167" t="s">
        <v>2174</v>
      </c>
      <c r="F925" s="167">
        <v>2</v>
      </c>
      <c r="G925" s="168">
        <f>SUMIFS(Таблица1[[#This Row],[8]:[19]],$I$5:$T$5,"Выкуп")</f>
        <v>55.1</v>
      </c>
      <c r="H925" s="168">
        <f>SUMIFS(Таблица1[[#This Row],[8]:[19]],$I$5:$T$5,"Аренда")</f>
        <v>0</v>
      </c>
      <c r="I925" s="169">
        <v>55.1</v>
      </c>
      <c r="J925" s="169"/>
      <c r="K925" s="169"/>
      <c r="L925" s="169"/>
      <c r="M925" s="169"/>
      <c r="N925" s="169"/>
      <c r="O925" s="169"/>
      <c r="P925" s="169"/>
      <c r="Q925" s="169"/>
      <c r="R925" s="169"/>
      <c r="S925" s="169"/>
      <c r="T925" s="169"/>
      <c r="U925" s="170"/>
      <c r="V925" s="171"/>
    </row>
    <row r="926" spans="1:22" hidden="1" outlineLevel="2" x14ac:dyDescent="0.25">
      <c r="A926" s="186">
        <f>SUMIFS(МКД!$A$6:$A$389,МКД!$D$6:$D$389,Таблица1[[#This Row],[2]])</f>
        <v>160</v>
      </c>
      <c r="B926" s="168"/>
      <c r="C926" s="182" t="s">
        <v>686</v>
      </c>
      <c r="D926" s="167" t="s">
        <v>2171</v>
      </c>
      <c r="E926" s="167" t="s">
        <v>2172</v>
      </c>
      <c r="F926" s="167">
        <v>2</v>
      </c>
      <c r="G926" s="168">
        <f>SUMIFS(Таблица1[[#This Row],[8]:[19]],$I$5:$T$5,"Выкуп")</f>
        <v>77.900000000000006</v>
      </c>
      <c r="H926" s="168">
        <f>SUMIFS(Таблица1[[#This Row],[8]:[19]],$I$5:$T$5,"Аренда")</f>
        <v>0</v>
      </c>
      <c r="I926" s="169">
        <v>77.900000000000006</v>
      </c>
      <c r="J926" s="169"/>
      <c r="K926" s="169"/>
      <c r="L926" s="169"/>
      <c r="M926" s="169"/>
      <c r="N926" s="169"/>
      <c r="O926" s="169"/>
      <c r="P926" s="169"/>
      <c r="Q926" s="169"/>
      <c r="R926" s="169"/>
      <c r="S926" s="169"/>
      <c r="T926" s="169"/>
      <c r="U926" s="170"/>
      <c r="V926" s="171"/>
    </row>
    <row r="927" spans="1:22" hidden="1" outlineLevel="2" x14ac:dyDescent="0.25">
      <c r="A927" s="186">
        <f>SUMIFS(МКД!$A$6:$A$389,МКД!$D$6:$D$389,Таблица1[[#This Row],[2]])</f>
        <v>160</v>
      </c>
      <c r="B927" s="168"/>
      <c r="C927" s="182" t="s">
        <v>686</v>
      </c>
      <c r="D927" s="167" t="s">
        <v>2041</v>
      </c>
      <c r="E927" s="167" t="s">
        <v>2170</v>
      </c>
      <c r="F927" s="167">
        <v>2</v>
      </c>
      <c r="G927" s="168">
        <f>SUMIFS(Таблица1[[#This Row],[8]:[19]],$I$5:$T$5,"Выкуп")</f>
        <v>74.2</v>
      </c>
      <c r="H927" s="168">
        <f>SUMIFS(Таблица1[[#This Row],[8]:[19]],$I$5:$T$5,"Аренда")</f>
        <v>0</v>
      </c>
      <c r="I927" s="169">
        <v>74.2</v>
      </c>
      <c r="J927" s="169"/>
      <c r="K927" s="169"/>
      <c r="L927" s="169"/>
      <c r="M927" s="169"/>
      <c r="N927" s="169"/>
      <c r="O927" s="169"/>
      <c r="P927" s="169"/>
      <c r="Q927" s="169"/>
      <c r="R927" s="169"/>
      <c r="S927" s="169"/>
      <c r="T927" s="169"/>
      <c r="U927" s="170"/>
      <c r="V927" s="171"/>
    </row>
    <row r="928" spans="1:22" hidden="1" outlineLevel="2" x14ac:dyDescent="0.25">
      <c r="A928" s="186">
        <f>SUMIFS(МКД!$A$6:$A$389,МКД!$D$6:$D$389,Таблица1[[#This Row],[2]])</f>
        <v>160</v>
      </c>
      <c r="B928" s="168"/>
      <c r="C928" s="182" t="s">
        <v>686</v>
      </c>
      <c r="D928" s="167" t="s">
        <v>225</v>
      </c>
      <c r="E928" s="167" t="s">
        <v>2169</v>
      </c>
      <c r="F928" s="167">
        <v>2</v>
      </c>
      <c r="G928" s="168">
        <f>SUMIFS(Таблица1[[#This Row],[8]:[19]],$I$5:$T$5,"Выкуп")</f>
        <v>74</v>
      </c>
      <c r="H928" s="168">
        <f>SUMIFS(Таблица1[[#This Row],[8]:[19]],$I$5:$T$5,"Аренда")</f>
        <v>0</v>
      </c>
      <c r="I928" s="169">
        <v>74</v>
      </c>
      <c r="J928" s="169"/>
      <c r="K928" s="169"/>
      <c r="L928" s="169"/>
      <c r="M928" s="169"/>
      <c r="N928" s="169"/>
      <c r="O928" s="169"/>
      <c r="P928" s="169"/>
      <c r="Q928" s="169"/>
      <c r="R928" s="169"/>
      <c r="S928" s="169"/>
      <c r="T928" s="169"/>
      <c r="U928" s="170"/>
      <c r="V928" s="171"/>
    </row>
    <row r="929" spans="1:22" hidden="1" outlineLevel="2" x14ac:dyDescent="0.25">
      <c r="A929" s="186">
        <f>SUMIFS(МКД!$A$6:$A$389,МКД!$D$6:$D$389,Таблица1[[#This Row],[2]])</f>
        <v>160</v>
      </c>
      <c r="B929" s="168"/>
      <c r="C929" s="182" t="s">
        <v>686</v>
      </c>
      <c r="D929" s="167" t="s">
        <v>226</v>
      </c>
      <c r="E929" s="167" t="s">
        <v>2168</v>
      </c>
      <c r="F929" s="167">
        <v>2</v>
      </c>
      <c r="G929" s="168">
        <f>SUMIFS(Таблица1[[#This Row],[8]:[19]],$I$5:$T$5,"Выкуп")</f>
        <v>70.400000000000006</v>
      </c>
      <c r="H929" s="168">
        <f>SUMIFS(Таблица1[[#This Row],[8]:[19]],$I$5:$T$5,"Аренда")</f>
        <v>0</v>
      </c>
      <c r="I929" s="169">
        <v>70.400000000000006</v>
      </c>
      <c r="J929" s="169"/>
      <c r="K929" s="169"/>
      <c r="L929" s="169"/>
      <c r="M929" s="169"/>
      <c r="N929" s="169"/>
      <c r="O929" s="169"/>
      <c r="P929" s="169"/>
      <c r="Q929" s="169"/>
      <c r="R929" s="169"/>
      <c r="S929" s="169"/>
      <c r="T929" s="169"/>
      <c r="U929" s="170"/>
      <c r="V929" s="171"/>
    </row>
    <row r="930" spans="1:22" hidden="1" outlineLevel="2" x14ac:dyDescent="0.25">
      <c r="A930" s="186">
        <f>SUMIFS(МКД!$A$6:$A$389,МКД!$D$6:$D$389,Таблица1[[#This Row],[2]])</f>
        <v>160</v>
      </c>
      <c r="B930" s="168"/>
      <c r="C930" s="182" t="s">
        <v>686</v>
      </c>
      <c r="D930" s="167" t="s">
        <v>2167</v>
      </c>
      <c r="E930" s="167" t="s">
        <v>1064</v>
      </c>
      <c r="F930" s="167">
        <v>1</v>
      </c>
      <c r="G930" s="168">
        <f>SUMIFS(Таблица1[[#This Row],[8]:[19]],$I$5:$T$5,"Выкуп")</f>
        <v>55.8</v>
      </c>
      <c r="H930" s="168">
        <f>SUMIFS(Таблица1[[#This Row],[8]:[19]],$I$5:$T$5,"Аренда")</f>
        <v>0</v>
      </c>
      <c r="I930" s="169">
        <v>55.8</v>
      </c>
      <c r="J930" s="169"/>
      <c r="K930" s="169"/>
      <c r="L930" s="169"/>
      <c r="M930" s="169"/>
      <c r="N930" s="169"/>
      <c r="O930" s="169"/>
      <c r="P930" s="169"/>
      <c r="Q930" s="169"/>
      <c r="R930" s="169"/>
      <c r="S930" s="169"/>
      <c r="T930" s="169"/>
      <c r="U930" s="170"/>
      <c r="V930" s="171"/>
    </row>
    <row r="931" spans="1:22" hidden="1" outlineLevel="2" x14ac:dyDescent="0.25">
      <c r="A931" s="186">
        <f>SUMIFS(МКД!$A$6:$A$389,МКД!$D$6:$D$389,Таблица1[[#This Row],[2]])</f>
        <v>160</v>
      </c>
      <c r="B931" s="168"/>
      <c r="C931" s="182" t="s">
        <v>686</v>
      </c>
      <c r="D931" s="167" t="s">
        <v>227</v>
      </c>
      <c r="E931" s="167" t="s">
        <v>2166</v>
      </c>
      <c r="F931" s="167">
        <v>2</v>
      </c>
      <c r="G931" s="168">
        <f>SUMIFS(Таблица1[[#This Row],[8]:[19]],$I$5:$T$5,"Выкуп")</f>
        <v>58.2</v>
      </c>
      <c r="H931" s="168">
        <f>SUMIFS(Таблица1[[#This Row],[8]:[19]],$I$5:$T$5,"Аренда")</f>
        <v>0</v>
      </c>
      <c r="I931" s="169">
        <v>58.2</v>
      </c>
      <c r="J931" s="169"/>
      <c r="K931" s="169"/>
      <c r="L931" s="169"/>
      <c r="M931" s="169"/>
      <c r="N931" s="169"/>
      <c r="O931" s="169"/>
      <c r="P931" s="169"/>
      <c r="Q931" s="169"/>
      <c r="R931" s="169"/>
      <c r="S931" s="169"/>
      <c r="T931" s="169"/>
      <c r="U931" s="170"/>
      <c r="V931" s="171"/>
    </row>
    <row r="932" spans="1:22" hidden="1" outlineLevel="2" x14ac:dyDescent="0.25">
      <c r="A932" s="186">
        <f>SUMIFS(МКД!$A$6:$A$389,МКД!$D$6:$D$389,Таблица1[[#This Row],[2]])</f>
        <v>160</v>
      </c>
      <c r="B932" s="168"/>
      <c r="C932" s="182" t="s">
        <v>686</v>
      </c>
      <c r="D932" s="167" t="s">
        <v>2164</v>
      </c>
      <c r="E932" s="167" t="s">
        <v>2165</v>
      </c>
      <c r="F932" s="167">
        <v>2</v>
      </c>
      <c r="G932" s="168">
        <f>SUMIFS(Таблица1[[#This Row],[8]:[19]],$I$5:$T$5,"Выкуп")</f>
        <v>32.299999999999997</v>
      </c>
      <c r="H932" s="168">
        <f>SUMIFS(Таблица1[[#This Row],[8]:[19]],$I$5:$T$5,"Аренда")</f>
        <v>0</v>
      </c>
      <c r="I932" s="169">
        <v>32.299999999999997</v>
      </c>
      <c r="J932" s="169"/>
      <c r="K932" s="169"/>
      <c r="L932" s="169"/>
      <c r="M932" s="169"/>
      <c r="N932" s="169"/>
      <c r="O932" s="169"/>
      <c r="P932" s="169"/>
      <c r="Q932" s="169"/>
      <c r="R932" s="169"/>
      <c r="S932" s="169"/>
      <c r="T932" s="169"/>
      <c r="U932" s="170"/>
      <c r="V932" s="171"/>
    </row>
    <row r="933" spans="1:22" hidden="1" outlineLevel="2" x14ac:dyDescent="0.25">
      <c r="A933" s="186">
        <f>SUMIFS(МКД!$A$6:$A$389,МКД!$D$6:$D$389,Таблица1[[#This Row],[2]])</f>
        <v>160</v>
      </c>
      <c r="B933" s="168"/>
      <c r="C933" s="182" t="s">
        <v>686</v>
      </c>
      <c r="D933" s="167" t="s">
        <v>2162</v>
      </c>
      <c r="E933" s="167" t="s">
        <v>2163</v>
      </c>
      <c r="F933" s="167">
        <v>2</v>
      </c>
      <c r="G933" s="168">
        <f>SUMIFS(Таблица1[[#This Row],[8]:[19]],$I$5:$T$5,"Выкуп")</f>
        <v>74.099999999999994</v>
      </c>
      <c r="H933" s="168">
        <f>SUMIFS(Таблица1[[#This Row],[8]:[19]],$I$5:$T$5,"Аренда")</f>
        <v>0</v>
      </c>
      <c r="I933" s="169">
        <v>74.099999999999994</v>
      </c>
      <c r="J933" s="169"/>
      <c r="K933" s="169"/>
      <c r="L933" s="169"/>
      <c r="M933" s="169"/>
      <c r="N933" s="169"/>
      <c r="O933" s="169"/>
      <c r="P933" s="169"/>
      <c r="Q933" s="169"/>
      <c r="R933" s="169"/>
      <c r="S933" s="169"/>
      <c r="T933" s="169"/>
      <c r="U933" s="170"/>
      <c r="V933" s="171"/>
    </row>
    <row r="934" spans="1:22" hidden="1" outlineLevel="2" x14ac:dyDescent="0.25">
      <c r="A934" s="186">
        <f>SUMIFS(МКД!$A$6:$A$389,МКД!$D$6:$D$389,Таблица1[[#This Row],[2]])</f>
        <v>160</v>
      </c>
      <c r="B934" s="168"/>
      <c r="C934" s="182" t="s">
        <v>686</v>
      </c>
      <c r="D934" s="167" t="s">
        <v>2185</v>
      </c>
      <c r="E934" s="167" t="s">
        <v>2186</v>
      </c>
      <c r="F934" s="167">
        <v>1</v>
      </c>
      <c r="G934" s="168">
        <f>SUMIFS(Таблица1[[#This Row],[8]:[19]],$I$5:$T$5,"Выкуп")</f>
        <v>125</v>
      </c>
      <c r="H934" s="168">
        <f>SUMIFS(Таблица1[[#This Row],[8]:[19]],$I$5:$T$5,"Аренда")</f>
        <v>0</v>
      </c>
      <c r="I934" s="169">
        <v>125</v>
      </c>
      <c r="J934" s="169"/>
      <c r="K934" s="169"/>
      <c r="L934" s="169"/>
      <c r="M934" s="169"/>
      <c r="N934" s="169"/>
      <c r="O934" s="169"/>
      <c r="P934" s="169"/>
      <c r="Q934" s="169"/>
      <c r="R934" s="169"/>
      <c r="S934" s="169"/>
      <c r="T934" s="169"/>
      <c r="U934" s="170"/>
      <c r="V934" s="171"/>
    </row>
    <row r="935" spans="1:22" hidden="1" outlineLevel="2" x14ac:dyDescent="0.25">
      <c r="A935" s="186">
        <f>SUMIFS(МКД!$A$6:$A$389,МКД!$D$6:$D$389,Таблица1[[#This Row],[2]])</f>
        <v>160</v>
      </c>
      <c r="B935" s="168"/>
      <c r="C935" s="182" t="s">
        <v>686</v>
      </c>
      <c r="D935" s="167" t="s">
        <v>2161</v>
      </c>
      <c r="E935" s="167" t="s">
        <v>2160</v>
      </c>
      <c r="F935" s="167">
        <v>2</v>
      </c>
      <c r="G935" s="168">
        <f>SUMIFS(Таблица1[[#This Row],[8]:[19]],$I$5:$T$5,"Выкуп")</f>
        <v>59.3</v>
      </c>
      <c r="H935" s="168">
        <f>SUMIFS(Таблица1[[#This Row],[8]:[19]],$I$5:$T$5,"Аренда")</f>
        <v>0</v>
      </c>
      <c r="I935" s="169">
        <v>59.3</v>
      </c>
      <c r="J935" s="169"/>
      <c r="K935" s="169"/>
      <c r="L935" s="169"/>
      <c r="M935" s="169"/>
      <c r="N935" s="169"/>
      <c r="O935" s="169"/>
      <c r="P935" s="169"/>
      <c r="Q935" s="169"/>
      <c r="R935" s="169"/>
      <c r="S935" s="169"/>
      <c r="T935" s="169"/>
      <c r="U935" s="170"/>
      <c r="V935" s="171"/>
    </row>
    <row r="936" spans="1:22" outlineLevel="1" collapsed="1" x14ac:dyDescent="0.25">
      <c r="A936" s="186">
        <f>SUMIFS(МКД!$A$6:$A$389,МКД!$D$6:$D$389,Таблица1[[#This Row],[2]])</f>
        <v>161</v>
      </c>
      <c r="B936" s="194">
        <f>SUMIFS(Таблица1[6],Таблица1[2],Таблица1[[#This Row],[2]])+SUMIFS(Таблица1[7],Таблица1[2],Таблица1[[#This Row],[2]])</f>
        <v>132.19999999999999</v>
      </c>
      <c r="C936" s="185" t="s">
        <v>687</v>
      </c>
      <c r="D936" s="167"/>
      <c r="E936" s="167"/>
      <c r="F936" s="167"/>
      <c r="G936" s="168"/>
      <c r="H936" s="168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9"/>
      <c r="T936" s="169"/>
      <c r="U936" s="170"/>
      <c r="V936" s="171"/>
    </row>
    <row r="937" spans="1:22" hidden="1" outlineLevel="2" x14ac:dyDescent="0.25">
      <c r="A937" s="186">
        <f>SUMIFS(МКД!$A$6:$A$389,МКД!$D$6:$D$389,Таблица1[[#This Row],[2]])</f>
        <v>161</v>
      </c>
      <c r="B937" s="170"/>
      <c r="C937" s="182" t="s">
        <v>687</v>
      </c>
      <c r="D937" s="167" t="s">
        <v>1053</v>
      </c>
      <c r="E937" s="167" t="s">
        <v>731</v>
      </c>
      <c r="F937" s="167">
        <v>1</v>
      </c>
      <c r="G937" s="168">
        <f>SUMIFS(Таблица1[[#This Row],[8]:[19]],$I$5:$T$5,"Выкуп")</f>
        <v>60.6</v>
      </c>
      <c r="H937" s="168">
        <f>SUMIFS(Таблица1[[#This Row],[8]:[19]],$I$5:$T$5,"Аренда")</f>
        <v>0</v>
      </c>
      <c r="I937" s="169"/>
      <c r="J937" s="169"/>
      <c r="K937" s="169">
        <v>60.6</v>
      </c>
      <c r="L937" s="169"/>
      <c r="M937" s="169"/>
      <c r="N937" s="169"/>
      <c r="O937" s="169"/>
      <c r="P937" s="169"/>
      <c r="Q937" s="169"/>
      <c r="R937" s="169"/>
      <c r="S937" s="169"/>
      <c r="T937" s="169"/>
      <c r="U937" s="170"/>
      <c r="V937" s="171"/>
    </row>
    <row r="938" spans="1:22" hidden="1" outlineLevel="2" x14ac:dyDescent="0.25">
      <c r="A938" s="186">
        <f>SUMIFS(МКД!$A$6:$A$389,МКД!$D$6:$D$389,Таблица1[[#This Row],[2]])</f>
        <v>161</v>
      </c>
      <c r="B938" s="170"/>
      <c r="C938" s="182" t="s">
        <v>687</v>
      </c>
      <c r="D938" s="167" t="s">
        <v>1053</v>
      </c>
      <c r="E938" s="167" t="s">
        <v>4</v>
      </c>
      <c r="F938" s="167">
        <v>1</v>
      </c>
      <c r="G938" s="168">
        <f>SUMIFS(Таблица1[[#This Row],[8]:[19]],$I$5:$T$5,"Выкуп")</f>
        <v>71.599999999999994</v>
      </c>
      <c r="H938" s="168">
        <f>SUMIFS(Таблица1[[#This Row],[8]:[19]],$I$5:$T$5,"Аренда")</f>
        <v>0</v>
      </c>
      <c r="I938" s="169"/>
      <c r="J938" s="169"/>
      <c r="K938" s="169">
        <v>71.599999999999994</v>
      </c>
      <c r="L938" s="169"/>
      <c r="M938" s="169"/>
      <c r="N938" s="169"/>
      <c r="O938" s="169"/>
      <c r="P938" s="169"/>
      <c r="Q938" s="169"/>
      <c r="R938" s="169"/>
      <c r="S938" s="169"/>
      <c r="T938" s="169"/>
      <c r="U938" s="170"/>
      <c r="V938" s="171"/>
    </row>
    <row r="939" spans="1:22" outlineLevel="1" collapsed="1" x14ac:dyDescent="0.25">
      <c r="A939" s="186">
        <f>SUMIFS(МКД!$A$6:$A$389,МКД!$D$6:$D$389,Таблица1[[#This Row],[2]])</f>
        <v>175</v>
      </c>
      <c r="B939" s="194">
        <f>SUMIFS(Таблица1[6],Таблица1[2],Таблица1[[#This Row],[2]])+SUMIFS(Таблица1[7],Таблица1[2],Таблица1[[#This Row],[2]])</f>
        <v>367.4</v>
      </c>
      <c r="C939" s="185" t="s">
        <v>621</v>
      </c>
      <c r="D939" s="167"/>
      <c r="E939" s="167"/>
      <c r="F939" s="167"/>
      <c r="G939" s="168"/>
      <c r="H939" s="168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9"/>
      <c r="T939" s="169"/>
      <c r="U939" s="170"/>
      <c r="V939" s="171"/>
    </row>
    <row r="940" spans="1:22" hidden="1" outlineLevel="2" x14ac:dyDescent="0.25">
      <c r="A940" s="186">
        <f>SUMIFS(МКД!$A$6:$A$389,МКД!$D$6:$D$389,Таблица1[[#This Row],[2]])</f>
        <v>175</v>
      </c>
      <c r="B940" s="170"/>
      <c r="C940" s="182" t="s">
        <v>621</v>
      </c>
      <c r="D940" s="167" t="s">
        <v>229</v>
      </c>
      <c r="E940" s="167" t="s">
        <v>2208</v>
      </c>
      <c r="F940" s="167">
        <v>1</v>
      </c>
      <c r="G940" s="168">
        <f>SUMIFS(Таблица1[[#This Row],[8]:[19]],$I$5:$T$5,"Выкуп")</f>
        <v>36.200000000000003</v>
      </c>
      <c r="H940" s="168">
        <f>SUMIFS(Таблица1[[#This Row],[8]:[19]],$I$5:$T$5,"Аренда")</f>
        <v>0</v>
      </c>
      <c r="I940" s="169">
        <v>36.200000000000003</v>
      </c>
      <c r="J940" s="169"/>
      <c r="K940" s="169"/>
      <c r="L940" s="169"/>
      <c r="M940" s="169"/>
      <c r="N940" s="169"/>
      <c r="O940" s="169"/>
      <c r="P940" s="169"/>
      <c r="Q940" s="169"/>
      <c r="R940" s="169"/>
      <c r="S940" s="169"/>
      <c r="T940" s="169"/>
      <c r="U940" s="170"/>
      <c r="V940" s="171"/>
    </row>
    <row r="941" spans="1:22" s="21" customFormat="1" hidden="1" outlineLevel="2" x14ac:dyDescent="0.25">
      <c r="A941" s="186">
        <f>SUMIFS(МКД!$A$6:$A$389,МКД!$D$6:$D$389,Таблица1[[#This Row],[2]])</f>
        <v>175</v>
      </c>
      <c r="B941" s="168"/>
      <c r="C941" s="182" t="s">
        <v>621</v>
      </c>
      <c r="D941" s="167" t="s">
        <v>2207</v>
      </c>
      <c r="E941" s="167" t="s">
        <v>1070</v>
      </c>
      <c r="F941" s="167">
        <v>1</v>
      </c>
      <c r="G941" s="168">
        <f>SUMIFS(Таблица1[[#This Row],[8]:[19]],$I$5:$T$5,"Выкуп")</f>
        <v>43.2</v>
      </c>
      <c r="H941" s="168">
        <f>SUMIFS(Таблица1[[#This Row],[8]:[19]],$I$5:$T$5,"Аренда")</f>
        <v>0</v>
      </c>
      <c r="I941" s="169">
        <v>43.2</v>
      </c>
      <c r="J941" s="169"/>
      <c r="K941" s="169"/>
      <c r="L941" s="169"/>
      <c r="M941" s="169"/>
      <c r="N941" s="169"/>
      <c r="O941" s="169"/>
      <c r="P941" s="169"/>
      <c r="Q941" s="169"/>
      <c r="R941" s="169"/>
      <c r="S941" s="169"/>
      <c r="T941" s="169"/>
      <c r="U941" s="170"/>
      <c r="V941" s="171"/>
    </row>
    <row r="942" spans="1:22" s="21" customFormat="1" hidden="1" outlineLevel="2" x14ac:dyDescent="0.25">
      <c r="A942" s="186">
        <f>SUMIFS(МКД!$A$6:$A$389,МКД!$D$6:$D$389,Таблица1[[#This Row],[2]])</f>
        <v>175</v>
      </c>
      <c r="B942" s="168"/>
      <c r="C942" s="182" t="s">
        <v>621</v>
      </c>
      <c r="D942" s="167" t="s">
        <v>1394</v>
      </c>
      <c r="E942" s="167" t="s">
        <v>2828</v>
      </c>
      <c r="F942" s="167">
        <v>1</v>
      </c>
      <c r="G942" s="168">
        <f>SUMIFS(Таблица1[[#This Row],[8]:[19]],$I$5:$T$5,"Выкуп")</f>
        <v>151</v>
      </c>
      <c r="H942" s="168">
        <f>SUMIFS(Таблица1[[#This Row],[8]:[19]],$I$5:$T$5,"Аренда")</f>
        <v>0</v>
      </c>
      <c r="I942" s="169"/>
      <c r="J942" s="169"/>
      <c r="K942" s="169"/>
      <c r="L942" s="169"/>
      <c r="M942" s="278">
        <v>151</v>
      </c>
      <c r="N942" s="169"/>
      <c r="O942" s="169"/>
      <c r="P942" s="169"/>
      <c r="Q942" s="169"/>
      <c r="R942" s="169"/>
      <c r="S942" s="169"/>
      <c r="T942" s="169"/>
      <c r="U942" s="170"/>
      <c r="V942" s="171"/>
    </row>
    <row r="943" spans="1:22" s="21" customFormat="1" hidden="1" outlineLevel="2" x14ac:dyDescent="0.25">
      <c r="A943" s="186">
        <f>SUMIFS(МКД!$A$6:$A$389,МКД!$D$6:$D$389,Таблица1[[#This Row],[2]])</f>
        <v>175</v>
      </c>
      <c r="B943" s="168"/>
      <c r="C943" s="182" t="s">
        <v>621</v>
      </c>
      <c r="D943" s="167" t="s">
        <v>1053</v>
      </c>
      <c r="E943" s="167" t="s">
        <v>2828</v>
      </c>
      <c r="F943" s="167">
        <v>1</v>
      </c>
      <c r="G943" s="168">
        <f>SUMIFS(Таблица1[[#This Row],[8]:[19]],$I$5:$T$5,"Выкуп")</f>
        <v>137</v>
      </c>
      <c r="H943" s="168">
        <f>SUMIFS(Таблица1[[#This Row],[8]:[19]],$I$5:$T$5,"Аренда")</f>
        <v>0</v>
      </c>
      <c r="I943" s="169"/>
      <c r="J943" s="169"/>
      <c r="K943" s="169"/>
      <c r="L943" s="169"/>
      <c r="M943" s="278">
        <v>137</v>
      </c>
      <c r="N943" s="169"/>
      <c r="O943" s="169"/>
      <c r="P943" s="169"/>
      <c r="Q943" s="169"/>
      <c r="R943" s="169"/>
      <c r="S943" s="169"/>
      <c r="T943" s="169"/>
      <c r="U943" s="170"/>
      <c r="V943" s="171"/>
    </row>
    <row r="944" spans="1:22" s="21" customFormat="1" outlineLevel="1" collapsed="1" x14ac:dyDescent="0.25">
      <c r="A944" s="186">
        <f>SUMIFS(МКД!$A$6:$A$389,МКД!$D$6:$D$389,Таблица1[[#This Row],[2]])</f>
        <v>184</v>
      </c>
      <c r="B944" s="194">
        <f>SUMIFS(Таблица1[6],Таблица1[2],Таблица1[[#This Row],[2]])+SUMIFS(Таблица1[7],Таблица1[2],Таблица1[[#This Row],[2]])</f>
        <v>389.2</v>
      </c>
      <c r="C944" s="185" t="s">
        <v>622</v>
      </c>
      <c r="D944" s="167"/>
      <c r="E944" s="167"/>
      <c r="F944" s="167"/>
      <c r="G944" s="168"/>
      <c r="H944" s="168"/>
      <c r="I944" s="169"/>
      <c r="J944" s="169"/>
      <c r="K944" s="169"/>
      <c r="L944" s="169"/>
      <c r="M944" s="169"/>
      <c r="N944" s="169"/>
      <c r="O944" s="169"/>
      <c r="P944" s="169"/>
      <c r="Q944" s="169"/>
      <c r="R944" s="169"/>
      <c r="S944" s="169"/>
      <c r="T944" s="169"/>
      <c r="U944" s="170"/>
      <c r="V944" s="171"/>
    </row>
    <row r="945" spans="1:22" s="21" customFormat="1" hidden="1" outlineLevel="2" x14ac:dyDescent="0.25">
      <c r="A945" s="186">
        <f>SUMIFS(МКД!$A$6:$A$389,МКД!$D$6:$D$389,Таблица1[[#This Row],[2]])</f>
        <v>184</v>
      </c>
      <c r="B945" s="170"/>
      <c r="C945" s="182" t="s">
        <v>622</v>
      </c>
      <c r="D945" s="167" t="s">
        <v>189</v>
      </c>
      <c r="E945" s="167" t="s">
        <v>1397</v>
      </c>
      <c r="F945" s="167">
        <v>1</v>
      </c>
      <c r="G945" s="168">
        <f>SUMIFS(Таблица1[[#This Row],[8]:[19]],$I$5:$T$5,"Выкуп")</f>
        <v>123.3</v>
      </c>
      <c r="H945" s="168">
        <f>SUMIFS(Таблица1[[#This Row],[8]:[19]],$I$5:$T$5,"Аренда")</f>
        <v>0</v>
      </c>
      <c r="I945" s="169">
        <v>123.3</v>
      </c>
      <c r="J945" s="169"/>
      <c r="K945" s="169"/>
      <c r="L945" s="169"/>
      <c r="M945" s="169"/>
      <c r="N945" s="169"/>
      <c r="O945" s="169"/>
      <c r="P945" s="169"/>
      <c r="Q945" s="169"/>
      <c r="R945" s="169"/>
      <c r="S945" s="169"/>
      <c r="T945" s="169"/>
      <c r="U945" s="170"/>
      <c r="V945" s="195"/>
    </row>
    <row r="946" spans="1:22" hidden="1" outlineLevel="2" x14ac:dyDescent="0.25">
      <c r="A946" s="186">
        <f>SUMIFS(МКД!$A$6:$A$389,МКД!$D$6:$D$389,Таблица1[[#This Row],[2]])</f>
        <v>184</v>
      </c>
      <c r="B946" s="168"/>
      <c r="C946" s="182" t="s">
        <v>622</v>
      </c>
      <c r="D946" s="167" t="s">
        <v>189</v>
      </c>
      <c r="E946" s="167" t="s">
        <v>2248</v>
      </c>
      <c r="F946" s="167"/>
      <c r="G946" s="168">
        <f>SUMIFS(Таблица1[[#This Row],[8]:[19]],$I$5:$T$5,"Выкуп")</f>
        <v>0</v>
      </c>
      <c r="H946" s="168">
        <f>SUMIFS(Таблица1[[#This Row],[8]:[19]],$I$5:$T$5,"Аренда")</f>
        <v>20</v>
      </c>
      <c r="I946" s="169"/>
      <c r="J946" s="169"/>
      <c r="K946" s="169"/>
      <c r="L946" s="169">
        <v>20</v>
      </c>
      <c r="M946" s="169"/>
      <c r="N946" s="169"/>
      <c r="O946" s="169"/>
      <c r="P946" s="169"/>
      <c r="Q946" s="169"/>
      <c r="R946" s="169"/>
      <c r="S946" s="169"/>
      <c r="T946" s="169"/>
      <c r="U946" s="170"/>
      <c r="V946" s="195"/>
    </row>
    <row r="947" spans="1:22" ht="15" hidden="1" outlineLevel="2" x14ac:dyDescent="0.25">
      <c r="A947" s="186">
        <f>SUMIFS(МКД!$A$6:$A$389,МКД!$D$6:$D$389,Таблица1[[#This Row],[2]])</f>
        <v>184</v>
      </c>
      <c r="B947" s="170"/>
      <c r="C947" s="182" t="s">
        <v>622</v>
      </c>
      <c r="D947" s="167" t="s">
        <v>1596</v>
      </c>
      <c r="E947" s="167" t="s">
        <v>764</v>
      </c>
      <c r="F947" s="167"/>
      <c r="G947" s="168">
        <f>SUMIFS(Таблица1[[#This Row],[8]:[19]],$I$5:$T$5,"Выкуп")</f>
        <v>14.6</v>
      </c>
      <c r="H947" s="168">
        <f>SUMIFS(Таблица1[[#This Row],[8]:[19]],$I$5:$T$5,"Аренда")</f>
        <v>0</v>
      </c>
      <c r="I947" s="169">
        <v>14.6</v>
      </c>
      <c r="J947" s="169"/>
      <c r="K947" s="169"/>
      <c r="L947" s="161"/>
      <c r="M947" s="169"/>
      <c r="N947" s="169"/>
      <c r="O947" s="169"/>
      <c r="P947" s="169"/>
      <c r="Q947" s="169"/>
      <c r="R947" s="169"/>
      <c r="S947" s="169"/>
      <c r="T947" s="169"/>
      <c r="U947" s="170"/>
      <c r="V947" s="171"/>
    </row>
    <row r="948" spans="1:22" hidden="1" outlineLevel="2" x14ac:dyDescent="0.25">
      <c r="A948" s="186">
        <f>SUMIFS(МКД!$A$6:$A$389,МКД!$D$6:$D$389,Таблица1[[#This Row],[2]])</f>
        <v>184</v>
      </c>
      <c r="B948" s="170"/>
      <c r="C948" s="182" t="s">
        <v>622</v>
      </c>
      <c r="D948" s="167" t="s">
        <v>2630</v>
      </c>
      <c r="E948" s="167" t="s">
        <v>2631</v>
      </c>
      <c r="F948" s="167"/>
      <c r="G948" s="168">
        <f>SUMIFS(Таблица1[[#This Row],[8]:[19]],$I$5:$T$5,"Выкуп")</f>
        <v>29.1</v>
      </c>
      <c r="H948" s="168">
        <f>SUMIFS(Таблица1[[#This Row],[8]:[19]],$I$5:$T$5,"Аренда")</f>
        <v>0</v>
      </c>
      <c r="I948" s="169">
        <v>29.1</v>
      </c>
      <c r="J948" s="169"/>
      <c r="K948" s="169"/>
      <c r="L948" s="169"/>
      <c r="M948" s="169"/>
      <c r="N948" s="169"/>
      <c r="O948" s="169"/>
      <c r="P948" s="169"/>
      <c r="Q948" s="169"/>
      <c r="R948" s="169"/>
      <c r="S948" s="169"/>
      <c r="T948" s="169"/>
      <c r="U948" s="170"/>
      <c r="V948" s="171"/>
    </row>
    <row r="949" spans="1:22" hidden="1" outlineLevel="2" x14ac:dyDescent="0.25">
      <c r="A949" s="186">
        <f>SUMIFS(МКД!$A$6:$A$389,МКД!$D$6:$D$389,Таблица1[[#This Row],[2]])</f>
        <v>184</v>
      </c>
      <c r="B949" s="170"/>
      <c r="C949" s="182" t="s">
        <v>622</v>
      </c>
      <c r="D949" s="167" t="s">
        <v>2818</v>
      </c>
      <c r="E949" s="167" t="s">
        <v>76</v>
      </c>
      <c r="F949" s="167"/>
      <c r="G949" s="168">
        <f>SUMIFS(Таблица1[[#This Row],[8]:[19]],$I$5:$T$5,"Выкуп")</f>
        <v>12.1</v>
      </c>
      <c r="H949" s="168">
        <f>SUMIFS(Таблица1[[#This Row],[8]:[19]],$I$5:$T$5,"Аренда")</f>
        <v>0</v>
      </c>
      <c r="I949" s="169">
        <v>12.1</v>
      </c>
      <c r="J949" s="169"/>
      <c r="K949" s="169"/>
      <c r="L949" s="169"/>
      <c r="M949" s="169"/>
      <c r="N949" s="169"/>
      <c r="O949" s="169"/>
      <c r="P949" s="169"/>
      <c r="Q949" s="169"/>
      <c r="R949" s="169"/>
      <c r="S949" s="169"/>
      <c r="T949" s="169"/>
      <c r="U949" s="170"/>
      <c r="V949" s="171"/>
    </row>
    <row r="950" spans="1:22" hidden="1" outlineLevel="2" x14ac:dyDescent="0.25">
      <c r="A950" s="186">
        <f>SUMIFS(МКД!$A$6:$A$389,МКД!$D$6:$D$389,Таблица1[[#This Row],[2]])</f>
        <v>184</v>
      </c>
      <c r="B950" s="170"/>
      <c r="C950" s="182" t="s">
        <v>622</v>
      </c>
      <c r="D950" s="167" t="s">
        <v>1053</v>
      </c>
      <c r="E950" s="167" t="s">
        <v>2827</v>
      </c>
      <c r="F950" s="167"/>
      <c r="G950" s="168">
        <f>SUMIFS(Таблица1[[#This Row],[8]:[19]],$I$5:$T$5,"Выкуп")</f>
        <v>190.1</v>
      </c>
      <c r="H950" s="168">
        <f>SUMIFS(Таблица1[[#This Row],[8]:[19]],$I$5:$T$5,"Аренда")</f>
        <v>0</v>
      </c>
      <c r="I950" s="169"/>
      <c r="J950" s="169"/>
      <c r="K950" s="169"/>
      <c r="L950" s="169"/>
      <c r="M950" s="169">
        <v>190.1</v>
      </c>
      <c r="N950" s="169"/>
      <c r="O950" s="169"/>
      <c r="P950" s="169"/>
      <c r="Q950" s="169"/>
      <c r="R950" s="169"/>
      <c r="S950" s="169"/>
      <c r="T950" s="169"/>
      <c r="U950" s="170"/>
      <c r="V950" s="171"/>
    </row>
    <row r="951" spans="1:22" outlineLevel="1" collapsed="1" x14ac:dyDescent="0.25">
      <c r="A951" s="186">
        <f>SUMIFS(МКД!$A$6:$A$389,МКД!$D$6:$D$389,Таблица1[[#This Row],[2]])</f>
        <v>195</v>
      </c>
      <c r="B951" s="194">
        <f>SUMIFS(Таблица1[6],Таблица1[2],Таблица1[[#This Row],[2]])+SUMIFS(Таблица1[7],Таблица1[2],Таблица1[[#This Row],[2]])</f>
        <v>372.1</v>
      </c>
      <c r="C951" s="185" t="s">
        <v>522</v>
      </c>
      <c r="D951" s="167"/>
      <c r="E951" s="167"/>
      <c r="F951" s="167"/>
      <c r="G951" s="168"/>
      <c r="H951" s="168"/>
      <c r="I951" s="169"/>
      <c r="J951" s="169"/>
      <c r="K951" s="169"/>
      <c r="L951" s="169"/>
      <c r="M951" s="169"/>
      <c r="N951" s="169"/>
      <c r="O951" s="169"/>
      <c r="P951" s="169"/>
      <c r="Q951" s="169"/>
      <c r="R951" s="169"/>
      <c r="S951" s="169"/>
      <c r="T951" s="169"/>
      <c r="U951" s="170"/>
      <c r="V951" s="171"/>
    </row>
    <row r="952" spans="1:22" hidden="1" outlineLevel="2" x14ac:dyDescent="0.25">
      <c r="A952" s="186">
        <f>SUMIFS(МКД!$A$6:$A$389,МКД!$D$6:$D$389,Таблица1[[#This Row],[2]])</f>
        <v>195</v>
      </c>
      <c r="B952" s="170"/>
      <c r="C952" s="182" t="s">
        <v>522</v>
      </c>
      <c r="D952" s="167" t="s">
        <v>1593</v>
      </c>
      <c r="E952" s="167" t="s">
        <v>1785</v>
      </c>
      <c r="F952" s="167">
        <v>1</v>
      </c>
      <c r="G952" s="168">
        <f>SUMIFS(Таблица1[[#This Row],[8]:[19]],$I$5:$T$5,"Выкуп")</f>
        <v>135.10000000000002</v>
      </c>
      <c r="H952" s="168">
        <f>SUMIFS(Таблица1[[#This Row],[8]:[19]],$I$5:$T$5,"Аренда")</f>
        <v>0</v>
      </c>
      <c r="I952" s="169"/>
      <c r="J952" s="169"/>
      <c r="K952" s="169">
        <f>53.7+81.4</f>
        <v>135.10000000000002</v>
      </c>
      <c r="L952" s="169"/>
      <c r="M952" s="169"/>
      <c r="N952" s="169"/>
      <c r="O952" s="169"/>
      <c r="P952" s="169"/>
      <c r="Q952" s="169"/>
      <c r="R952" s="169"/>
      <c r="S952" s="169"/>
      <c r="T952" s="169"/>
      <c r="U952" s="170"/>
      <c r="V952" s="171"/>
    </row>
    <row r="953" spans="1:22" hidden="1" outlineLevel="2" x14ac:dyDescent="0.25">
      <c r="A953" s="186">
        <f>SUMIFS(МКД!$A$6:$A$389,МКД!$D$6:$D$389,Таблица1[[#This Row],[2]])</f>
        <v>195</v>
      </c>
      <c r="B953" s="168"/>
      <c r="C953" s="182" t="s">
        <v>522</v>
      </c>
      <c r="D953" s="167" t="s">
        <v>2557</v>
      </c>
      <c r="E953" s="167" t="s">
        <v>916</v>
      </c>
      <c r="F953" s="167">
        <v>1</v>
      </c>
      <c r="G953" s="168">
        <f>SUMIFS(Таблица1[[#This Row],[8]:[19]],$I$5:$T$5,"Выкуп")</f>
        <v>41.7</v>
      </c>
      <c r="H953" s="168">
        <f>SUMIFS(Таблица1[[#This Row],[8]:[19]],$I$5:$T$5,"Аренда")</f>
        <v>0</v>
      </c>
      <c r="I953" s="169">
        <v>41.7</v>
      </c>
      <c r="J953" s="169"/>
      <c r="K953" s="169"/>
      <c r="L953" s="169"/>
      <c r="M953" s="169"/>
      <c r="N953" s="169"/>
      <c r="O953" s="169"/>
      <c r="P953" s="169"/>
      <c r="Q953" s="169"/>
      <c r="R953" s="169"/>
      <c r="S953" s="169"/>
      <c r="T953" s="169"/>
      <c r="U953" s="170"/>
      <c r="V953" s="171"/>
    </row>
    <row r="954" spans="1:22" hidden="1" outlineLevel="2" x14ac:dyDescent="0.25">
      <c r="A954" s="186">
        <f>SUMIFS(МКД!$A$6:$A$389,МКД!$D$6:$D$389,Таблица1[[#This Row],[2]])</f>
        <v>195</v>
      </c>
      <c r="B954" s="168"/>
      <c r="C954" s="182" t="s">
        <v>522</v>
      </c>
      <c r="D954" s="167" t="s">
        <v>231</v>
      </c>
      <c r="E954" s="167" t="s">
        <v>1710</v>
      </c>
      <c r="F954" s="167">
        <v>1</v>
      </c>
      <c r="G954" s="168">
        <f>SUMIFS(Таблица1[[#This Row],[8]:[19]],$I$5:$T$5,"Выкуп")</f>
        <v>85.9</v>
      </c>
      <c r="H954" s="168">
        <f>SUMIFS(Таблица1[[#This Row],[8]:[19]],$I$5:$T$5,"Аренда")</f>
        <v>0</v>
      </c>
      <c r="I954" s="169">
        <v>85.9</v>
      </c>
      <c r="J954" s="169"/>
      <c r="K954" s="169"/>
      <c r="L954" s="169"/>
      <c r="M954" s="169"/>
      <c r="N954" s="169"/>
      <c r="O954" s="169"/>
      <c r="P954" s="169"/>
      <c r="Q954" s="169"/>
      <c r="R954" s="169"/>
      <c r="S954" s="169"/>
      <c r="T954" s="169"/>
      <c r="U954" s="170"/>
      <c r="V954" s="171"/>
    </row>
    <row r="955" spans="1:22" hidden="1" outlineLevel="2" x14ac:dyDescent="0.25">
      <c r="A955" s="186">
        <f>SUMIFS(МКД!$A$6:$A$389,МКД!$D$6:$D$389,Таблица1[[#This Row],[2]])</f>
        <v>195</v>
      </c>
      <c r="B955" s="168"/>
      <c r="C955" s="182" t="s">
        <v>522</v>
      </c>
      <c r="D955" s="167" t="s">
        <v>232</v>
      </c>
      <c r="E955" s="167" t="s">
        <v>1199</v>
      </c>
      <c r="F955" s="167">
        <v>1</v>
      </c>
      <c r="G955" s="168">
        <f>SUMIFS(Таблица1[[#This Row],[8]:[19]],$I$5:$T$5,"Выкуп")</f>
        <v>50.9</v>
      </c>
      <c r="H955" s="168">
        <f>SUMIFS(Таблица1[[#This Row],[8]:[19]],$I$5:$T$5,"Аренда")</f>
        <v>0</v>
      </c>
      <c r="I955" s="169">
        <v>50.9</v>
      </c>
      <c r="J955" s="169"/>
      <c r="K955" s="169"/>
      <c r="L955" s="169"/>
      <c r="M955" s="169"/>
      <c r="N955" s="169"/>
      <c r="O955" s="169"/>
      <c r="P955" s="169"/>
      <c r="Q955" s="169"/>
      <c r="R955" s="169"/>
      <c r="S955" s="169"/>
      <c r="T955" s="169"/>
      <c r="U955" s="170"/>
      <c r="V955" s="171"/>
    </row>
    <row r="956" spans="1:22" hidden="1" outlineLevel="2" x14ac:dyDescent="0.25">
      <c r="A956" s="186">
        <f>SUMIFS(МКД!$A$6:$A$389,МКД!$D$6:$D$389,Таблица1[[#This Row],[2]])</f>
        <v>195</v>
      </c>
      <c r="B956" s="168"/>
      <c r="C956" s="182" t="s">
        <v>522</v>
      </c>
      <c r="D956" s="167" t="s">
        <v>153</v>
      </c>
      <c r="E956" s="167" t="s">
        <v>1232</v>
      </c>
      <c r="F956" s="167">
        <v>1</v>
      </c>
      <c r="G956" s="168">
        <f>SUMIFS(Таблица1[[#This Row],[8]:[19]],$I$5:$T$5,"Выкуп")</f>
        <v>58.5</v>
      </c>
      <c r="H956" s="168">
        <f>SUMIFS(Таблица1[[#This Row],[8]:[19]],$I$5:$T$5,"Аренда")</f>
        <v>0</v>
      </c>
      <c r="I956" s="169">
        <v>58.5</v>
      </c>
      <c r="J956" s="169"/>
      <c r="K956" s="169"/>
      <c r="L956" s="169"/>
      <c r="M956" s="169"/>
      <c r="N956" s="169"/>
      <c r="O956" s="169"/>
      <c r="P956" s="169"/>
      <c r="Q956" s="169"/>
      <c r="R956" s="169"/>
      <c r="S956" s="169"/>
      <c r="T956" s="169"/>
      <c r="U956" s="170"/>
      <c r="V956" s="171"/>
    </row>
    <row r="957" spans="1:22" outlineLevel="1" collapsed="1" x14ac:dyDescent="0.25">
      <c r="A957" s="186">
        <f>SUMIFS(МКД!$A$6:$A$389,МКД!$D$6:$D$389,Таблица1[[#This Row],[2]])</f>
        <v>196</v>
      </c>
      <c r="B957" s="194">
        <f>SUMIFS(Таблица1[6],Таблица1[2],Таблица1[[#This Row],[2]])+SUMIFS(Таблица1[7],Таблица1[2],Таблица1[[#This Row],[2]])</f>
        <v>733.5</v>
      </c>
      <c r="C957" s="185" t="s">
        <v>523</v>
      </c>
      <c r="D957" s="167"/>
      <c r="E957" s="167"/>
      <c r="F957" s="167"/>
      <c r="G957" s="168"/>
      <c r="H957" s="168"/>
      <c r="I957" s="169"/>
      <c r="J957" s="169"/>
      <c r="K957" s="169"/>
      <c r="L957" s="169"/>
      <c r="M957" s="169"/>
      <c r="N957" s="169"/>
      <c r="O957" s="169"/>
      <c r="P957" s="169"/>
      <c r="Q957" s="169"/>
      <c r="R957" s="169"/>
      <c r="S957" s="169"/>
      <c r="T957" s="169"/>
      <c r="U957" s="170"/>
      <c r="V957" s="171"/>
    </row>
    <row r="958" spans="1:22" hidden="1" outlineLevel="2" x14ac:dyDescent="0.25">
      <c r="A958" s="186">
        <f>SUMIFS(МКД!$A$6:$A$389,МКД!$D$6:$D$389,Таблица1[[#This Row],[2]])</f>
        <v>196</v>
      </c>
      <c r="B958" s="170"/>
      <c r="C958" s="182" t="s">
        <v>523</v>
      </c>
      <c r="D958" s="167" t="s">
        <v>1912</v>
      </c>
      <c r="E958" s="167" t="s">
        <v>828</v>
      </c>
      <c r="F958" s="167">
        <v>1</v>
      </c>
      <c r="G958" s="168">
        <f>SUMIFS(Таблица1[[#This Row],[8]:[19]],$I$5:$T$5,"Выкуп")</f>
        <v>487.3</v>
      </c>
      <c r="H958" s="168">
        <f>SUMIFS(Таблица1[[#This Row],[8]:[19]],$I$5:$T$5,"Аренда")</f>
        <v>0</v>
      </c>
      <c r="I958" s="169">
        <v>487.3</v>
      </c>
      <c r="J958" s="169"/>
      <c r="K958" s="169"/>
      <c r="L958" s="169"/>
      <c r="M958" s="169"/>
      <c r="N958" s="169"/>
      <c r="O958" s="169"/>
      <c r="P958" s="169"/>
      <c r="Q958" s="169"/>
      <c r="R958" s="169"/>
      <c r="S958" s="169"/>
      <c r="T958" s="169"/>
      <c r="U958" s="170"/>
      <c r="V958" s="171"/>
    </row>
    <row r="959" spans="1:22" hidden="1" outlineLevel="2" x14ac:dyDescent="0.25">
      <c r="A959" s="186">
        <f>SUMIFS(МКД!$A$6:$A$389,МКД!$D$6:$D$389,Таблица1[[#This Row],[2]])</f>
        <v>196</v>
      </c>
      <c r="B959" s="170"/>
      <c r="C959" s="182" t="s">
        <v>523</v>
      </c>
      <c r="D959" s="167" t="s">
        <v>1053</v>
      </c>
      <c r="E959" s="167" t="s">
        <v>2793</v>
      </c>
      <c r="F959" s="167">
        <v>1</v>
      </c>
      <c r="G959" s="168">
        <f>SUMIFS(Таблица1[[#This Row],[8]:[19]],$I$5:$T$5,"Выкуп")</f>
        <v>246.2</v>
      </c>
      <c r="H959" s="168">
        <f>SUMIFS(Таблица1[[#This Row],[8]:[19]],$I$5:$T$5,"Аренда")</f>
        <v>0</v>
      </c>
      <c r="I959" s="169"/>
      <c r="J959" s="169"/>
      <c r="K959" s="169"/>
      <c r="L959" s="169"/>
      <c r="M959" s="169">
        <v>246.2</v>
      </c>
      <c r="N959" s="169"/>
      <c r="O959" s="169"/>
      <c r="P959" s="169"/>
      <c r="Q959" s="169"/>
      <c r="R959" s="169"/>
      <c r="S959" s="169"/>
      <c r="T959" s="169"/>
      <c r="U959" s="170"/>
      <c r="V959" s="171"/>
    </row>
    <row r="960" spans="1:22" ht="15" outlineLevel="1" collapsed="1" x14ac:dyDescent="0.25">
      <c r="A960" s="186">
        <f>SUMIFS(МКД!$A$6:$A$389,МКД!$D$6:$D$389,Таблица1[[#This Row],[2]])</f>
        <v>197</v>
      </c>
      <c r="B960" s="194">
        <f>SUMIFS(Таблица1[6],Таблица1[2],Таблица1[[#This Row],[2]])+SUMIFS(Таблица1[7],Таблица1[2],Таблица1[[#This Row],[2]])</f>
        <v>903.8</v>
      </c>
      <c r="C960" s="185" t="s">
        <v>623</v>
      </c>
      <c r="D960" s="196"/>
      <c r="E960" s="196"/>
      <c r="F960" s="196"/>
      <c r="G960" s="168"/>
      <c r="H960" s="197"/>
      <c r="I960" s="196"/>
      <c r="J960" s="196"/>
      <c r="K960" s="196"/>
      <c r="L960" s="196"/>
      <c r="M960" s="196"/>
      <c r="N960" s="196"/>
      <c r="O960" s="196"/>
      <c r="P960" s="196"/>
      <c r="Q960" s="196"/>
      <c r="R960" s="196"/>
      <c r="S960" s="196"/>
      <c r="T960" s="196"/>
      <c r="U960" s="196"/>
      <c r="V960" s="198"/>
    </row>
    <row r="961" spans="1:22" hidden="1" outlineLevel="2" x14ac:dyDescent="0.25">
      <c r="A961" s="186">
        <f>SUMIFS(МКД!$A$6:$A$389,МКД!$D$6:$D$389,Таблица1[[#This Row],[2]])</f>
        <v>197</v>
      </c>
      <c r="B961" s="170"/>
      <c r="C961" s="182" t="s">
        <v>623</v>
      </c>
      <c r="D961" s="167" t="s">
        <v>212</v>
      </c>
      <c r="E961" s="167" t="s">
        <v>213</v>
      </c>
      <c r="F961" s="167">
        <v>2</v>
      </c>
      <c r="G961" s="168">
        <f>SUMIFS(Таблица1[[#This Row],[8]:[19]],$I$5:$T$5,"Выкуп")</f>
        <v>126.4</v>
      </c>
      <c r="H961" s="168">
        <f>SUMIFS(Таблица1[[#This Row],[8]:[19]],$I$5:$T$5,"Аренда")</f>
        <v>0</v>
      </c>
      <c r="I961" s="169"/>
      <c r="J961" s="169"/>
      <c r="K961" s="169">
        <v>123.2</v>
      </c>
      <c r="L961" s="169"/>
      <c r="M961" s="169"/>
      <c r="N961" s="169"/>
      <c r="O961" s="169"/>
      <c r="P961" s="169"/>
      <c r="Q961" s="169"/>
      <c r="R961" s="169"/>
      <c r="S961" s="169">
        <v>3.2</v>
      </c>
      <c r="T961" s="169"/>
      <c r="U961" s="170"/>
      <c r="V961" s="171"/>
    </row>
    <row r="962" spans="1:22" hidden="1" outlineLevel="2" x14ac:dyDescent="0.25">
      <c r="A962" s="186">
        <f>SUMIFS(МКД!$A$6:$A$389,МКД!$D$6:$D$389,Таблица1[[#This Row],[2]])</f>
        <v>197</v>
      </c>
      <c r="B962" s="170"/>
      <c r="C962" s="182" t="s">
        <v>623</v>
      </c>
      <c r="D962" s="167" t="s">
        <v>1593</v>
      </c>
      <c r="E962" s="273" t="s">
        <v>1756</v>
      </c>
      <c r="F962" s="167">
        <v>2</v>
      </c>
      <c r="G962" s="168">
        <f>SUMIFS(Таблица1[[#This Row],[8]:[19]],$I$5:$T$5,"Выкуп")</f>
        <v>68.8</v>
      </c>
      <c r="H962" s="168">
        <f>SUMIFS(Таблица1[[#This Row],[8]:[19]],$I$5:$T$5,"Аренда")</f>
        <v>0</v>
      </c>
      <c r="I962" s="169"/>
      <c r="J962" s="169"/>
      <c r="K962" s="169">
        <v>68.8</v>
      </c>
      <c r="L962" s="169"/>
      <c r="M962" s="169"/>
      <c r="N962" s="169"/>
      <c r="O962" s="169"/>
      <c r="P962" s="169"/>
      <c r="Q962" s="169"/>
      <c r="R962" s="169"/>
      <c r="S962" s="169"/>
      <c r="T962" s="169"/>
      <c r="U962" s="170"/>
      <c r="V962" s="171"/>
    </row>
    <row r="963" spans="1:22" hidden="1" outlineLevel="2" x14ac:dyDescent="0.25">
      <c r="A963" s="186">
        <f>SUMIFS(МКД!$A$6:$A$389,МКД!$D$6:$D$389,Таблица1[[#This Row],[2]])</f>
        <v>197</v>
      </c>
      <c r="B963" s="168"/>
      <c r="C963" s="182" t="s">
        <v>623</v>
      </c>
      <c r="D963" s="167" t="s">
        <v>233</v>
      </c>
      <c r="E963" s="167" t="s">
        <v>2274</v>
      </c>
      <c r="F963" s="167">
        <v>1</v>
      </c>
      <c r="G963" s="168">
        <f>SUMIFS(Таблица1[[#This Row],[8]:[19]],$I$5:$T$5,"Выкуп")</f>
        <v>123.1</v>
      </c>
      <c r="H963" s="168">
        <f>SUMIFS(Таблица1[[#This Row],[8]:[19]],$I$5:$T$5,"Аренда")</f>
        <v>0</v>
      </c>
      <c r="I963" s="169">
        <v>123.1</v>
      </c>
      <c r="J963" s="169"/>
      <c r="K963" s="169"/>
      <c r="L963" s="169"/>
      <c r="M963" s="169"/>
      <c r="N963" s="169"/>
      <c r="O963" s="169"/>
      <c r="P963" s="169"/>
      <c r="Q963" s="169"/>
      <c r="R963" s="169"/>
      <c r="S963" s="169"/>
      <c r="T963" s="169"/>
      <c r="U963" s="170"/>
      <c r="V963" s="171"/>
    </row>
    <row r="964" spans="1:22" hidden="1" outlineLevel="2" x14ac:dyDescent="0.25">
      <c r="A964" s="186">
        <f>SUMIFS(МКД!$A$6:$A$389,МКД!$D$6:$D$389,Таблица1[[#This Row],[2]])</f>
        <v>197</v>
      </c>
      <c r="B964" s="168"/>
      <c r="C964" s="182" t="s">
        <v>623</v>
      </c>
      <c r="D964" s="167" t="s">
        <v>233</v>
      </c>
      <c r="E964" s="167" t="s">
        <v>1869</v>
      </c>
      <c r="F964" s="167">
        <v>1</v>
      </c>
      <c r="G964" s="168">
        <f>SUMIFS(Таблица1[[#This Row],[8]:[19]],$I$5:$T$5,"Выкуп")</f>
        <v>88.1</v>
      </c>
      <c r="H964" s="168">
        <f>SUMIFS(Таблица1[[#This Row],[8]:[19]],$I$5:$T$5,"Аренда")</f>
        <v>0</v>
      </c>
      <c r="I964" s="169">
        <v>88.1</v>
      </c>
      <c r="J964" s="169"/>
      <c r="K964" s="169"/>
      <c r="L964" s="169"/>
      <c r="M964" s="169"/>
      <c r="N964" s="169"/>
      <c r="O964" s="169"/>
      <c r="P964" s="169"/>
      <c r="Q964" s="169"/>
      <c r="R964" s="169"/>
      <c r="S964" s="169"/>
      <c r="T964" s="169"/>
      <c r="U964" s="170"/>
      <c r="V964" s="171"/>
    </row>
    <row r="965" spans="1:22" hidden="1" outlineLevel="2" x14ac:dyDescent="0.25">
      <c r="A965" s="186">
        <f>SUMIFS(МКД!$A$6:$A$389,МКД!$D$6:$D$389,Таблица1[[#This Row],[2]])</f>
        <v>197</v>
      </c>
      <c r="B965" s="168"/>
      <c r="C965" s="182" t="s">
        <v>623</v>
      </c>
      <c r="D965" s="167" t="s">
        <v>233</v>
      </c>
      <c r="E965" s="167" t="s">
        <v>739</v>
      </c>
      <c r="F965" s="167">
        <v>1</v>
      </c>
      <c r="G965" s="168">
        <f>SUMIFS(Таблица1[[#This Row],[8]:[19]],$I$5:$T$5,"Выкуп")</f>
        <v>0</v>
      </c>
      <c r="H965" s="168">
        <f>SUMIFS(Таблица1[[#This Row],[8]:[19]],$I$5:$T$5,"Аренда")</f>
        <v>11.2</v>
      </c>
      <c r="I965" s="169"/>
      <c r="J965" s="169"/>
      <c r="K965" s="169"/>
      <c r="L965" s="169"/>
      <c r="M965" s="169"/>
      <c r="N965" s="169"/>
      <c r="O965" s="169"/>
      <c r="P965" s="169">
        <v>11.2</v>
      </c>
      <c r="Q965" s="169"/>
      <c r="R965" s="169"/>
      <c r="S965" s="169"/>
      <c r="T965" s="169"/>
      <c r="U965" s="170"/>
      <c r="V965" s="171"/>
    </row>
    <row r="966" spans="1:22" hidden="1" outlineLevel="2" x14ac:dyDescent="0.25">
      <c r="A966" s="186">
        <f>SUMIFS(МКД!$A$6:$A$389,МКД!$D$6:$D$389,Таблица1[[#This Row],[2]])</f>
        <v>197</v>
      </c>
      <c r="B966" s="168"/>
      <c r="C966" s="182" t="s">
        <v>623</v>
      </c>
      <c r="D966" s="167" t="s">
        <v>1658</v>
      </c>
      <c r="E966" s="167" t="s">
        <v>1357</v>
      </c>
      <c r="F966" s="167">
        <v>1</v>
      </c>
      <c r="G966" s="168">
        <f>SUMIFS(Таблица1[[#This Row],[8]:[19]],$I$5:$T$5,"Выкуп")</f>
        <v>88.4</v>
      </c>
      <c r="H966" s="168">
        <f>SUMIFS(Таблица1[[#This Row],[8]:[19]],$I$5:$T$5,"Аренда")</f>
        <v>0</v>
      </c>
      <c r="I966" s="169">
        <v>88.4</v>
      </c>
      <c r="J966" s="169"/>
      <c r="K966" s="169"/>
      <c r="L966" s="169"/>
      <c r="M966" s="169"/>
      <c r="N966" s="169"/>
      <c r="O966" s="169"/>
      <c r="P966" s="169"/>
      <c r="Q966" s="169"/>
      <c r="R966" s="169"/>
      <c r="S966" s="169"/>
      <c r="T966" s="169"/>
      <c r="U966" s="170"/>
      <c r="V966" s="171"/>
    </row>
    <row r="967" spans="1:22" hidden="1" outlineLevel="2" x14ac:dyDescent="0.25">
      <c r="A967" s="186">
        <f>SUMIFS(МКД!$A$6:$A$389,МКД!$D$6:$D$389,Таблица1[[#This Row],[2]])</f>
        <v>197</v>
      </c>
      <c r="B967" s="168"/>
      <c r="C967" s="182" t="s">
        <v>623</v>
      </c>
      <c r="D967" s="167" t="s">
        <v>2741</v>
      </c>
      <c r="E967" s="167" t="s">
        <v>2273</v>
      </c>
      <c r="F967" s="167">
        <v>1</v>
      </c>
      <c r="G967" s="168">
        <f>SUMIFS(Таблица1[[#This Row],[8]:[19]],$I$5:$T$5,"Выкуп")</f>
        <v>120</v>
      </c>
      <c r="H967" s="168">
        <f>SUMIFS(Таблица1[[#This Row],[8]:[19]],$I$5:$T$5,"Аренда")</f>
        <v>0</v>
      </c>
      <c r="I967" s="169">
        <v>120</v>
      </c>
      <c r="J967" s="169"/>
      <c r="K967" s="169"/>
      <c r="L967" s="169"/>
      <c r="M967" s="169"/>
      <c r="N967" s="169"/>
      <c r="O967" s="169"/>
      <c r="P967" s="169"/>
      <c r="Q967" s="169"/>
      <c r="R967" s="169"/>
      <c r="S967" s="169"/>
      <c r="T967" s="169"/>
      <c r="U967" s="170"/>
      <c r="V967" s="171"/>
    </row>
    <row r="968" spans="1:22" hidden="1" outlineLevel="2" x14ac:dyDescent="0.25">
      <c r="A968" s="186">
        <f>SUMIFS(МКД!$A$6:$A$389,МКД!$D$6:$D$389,Таблица1[[#This Row],[2]])</f>
        <v>197</v>
      </c>
      <c r="B968" s="168"/>
      <c r="C968" s="182" t="s">
        <v>623</v>
      </c>
      <c r="D968" s="167" t="s">
        <v>1394</v>
      </c>
      <c r="E968" s="167" t="s">
        <v>2752</v>
      </c>
      <c r="F968" s="167">
        <v>1</v>
      </c>
      <c r="G968" s="168">
        <f>SUMIFS(Таблица1[[#This Row],[8]:[19]],$I$5:$T$5,"Выкуп")</f>
        <v>277.8</v>
      </c>
      <c r="H968" s="168">
        <f>SUMIFS(Таблица1[[#This Row],[8]:[19]],$I$5:$T$5,"Аренда")</f>
        <v>0</v>
      </c>
      <c r="I968" s="169"/>
      <c r="J968" s="169"/>
      <c r="K968" s="169"/>
      <c r="L968" s="169"/>
      <c r="M968" s="169">
        <v>277.8</v>
      </c>
      <c r="N968" s="169"/>
      <c r="O968" s="169"/>
      <c r="P968" s="169"/>
      <c r="Q968" s="169"/>
      <c r="R968" s="169"/>
      <c r="S968" s="169"/>
      <c r="T968" s="169"/>
      <c r="U968" s="170"/>
      <c r="V968" s="171"/>
    </row>
    <row r="969" spans="1:22" ht="15" outlineLevel="1" collapsed="1" x14ac:dyDescent="0.25">
      <c r="A969" s="186">
        <f>SUMIFS(МКД!$A$6:$A$389,МКД!$D$6:$D$389,Таблица1[[#This Row],[2]])</f>
        <v>198</v>
      </c>
      <c r="B969" s="194">
        <f>SUMIFS(Таблица1[6],Таблица1[2],Таблица1[[#This Row],[2]])+SUMIFS(Таблица1[7],Таблица1[2],Таблица1[[#This Row],[2]])</f>
        <v>153</v>
      </c>
      <c r="C969" s="185" t="s">
        <v>624</v>
      </c>
      <c r="D969" s="196"/>
      <c r="E969" s="196"/>
      <c r="F969" s="196"/>
      <c r="G969" s="168"/>
      <c r="H969" s="197"/>
      <c r="I969" s="196"/>
      <c r="J969" s="196"/>
      <c r="K969" s="196"/>
      <c r="L969" s="196"/>
      <c r="M969" s="196"/>
      <c r="N969" s="196"/>
      <c r="O969" s="196"/>
      <c r="P969" s="196"/>
      <c r="Q969" s="196"/>
      <c r="R969" s="196"/>
      <c r="S969" s="196"/>
      <c r="T969" s="196"/>
      <c r="U969" s="196"/>
      <c r="V969" s="198"/>
    </row>
    <row r="970" spans="1:22" ht="15" hidden="1" outlineLevel="2" x14ac:dyDescent="0.25">
      <c r="A970" s="186">
        <f>SUMIFS(МКД!$A$6:$A$389,МКД!$D$6:$D$389,Таблица1[[#This Row],[2]])</f>
        <v>198</v>
      </c>
      <c r="B970" s="196"/>
      <c r="C970" s="182" t="s">
        <v>624</v>
      </c>
      <c r="D970" s="373" t="s">
        <v>1053</v>
      </c>
      <c r="E970" s="167" t="s">
        <v>2827</v>
      </c>
      <c r="F970" s="196"/>
      <c r="G970" s="168">
        <f>SUMIFS(Таблица1[[#This Row],[8]:[19]],$I$5:$T$5,"Выкуп")</f>
        <v>153</v>
      </c>
      <c r="H970" s="168">
        <f>SUMIFS(Таблица1[[#This Row],[8]:[19]],$I$5:$T$5,"Аренда")</f>
        <v>0</v>
      </c>
      <c r="I970" s="196"/>
      <c r="J970" s="196"/>
      <c r="K970" s="196"/>
      <c r="L970" s="196"/>
      <c r="M970" s="334">
        <v>153</v>
      </c>
      <c r="N970" s="196"/>
      <c r="O970" s="196"/>
      <c r="P970" s="196"/>
      <c r="Q970" s="196"/>
      <c r="R970" s="196"/>
      <c r="S970" s="196"/>
      <c r="T970" s="196"/>
      <c r="U970" s="196"/>
      <c r="V970" s="198"/>
    </row>
    <row r="971" spans="1:22" ht="15" outlineLevel="1" collapsed="1" x14ac:dyDescent="0.25">
      <c r="A971" s="186">
        <f>SUMIFS(МКД!$A$6:$A$389,МКД!$D$6:$D$389,Таблица1[[#This Row],[2]])</f>
        <v>199</v>
      </c>
      <c r="B971" s="194">
        <f>SUMIFS(Таблица1[6],Таблица1[2],Таблица1[[#This Row],[2]])+SUMIFS(Таблица1[7],Таблица1[2],Таблица1[[#This Row],[2]])</f>
        <v>239.2</v>
      </c>
      <c r="C971" s="185" t="s">
        <v>625</v>
      </c>
      <c r="D971" s="196"/>
      <c r="E971" s="196"/>
      <c r="F971" s="196"/>
      <c r="G971" s="168"/>
      <c r="H971" s="197"/>
      <c r="I971" s="196"/>
      <c r="J971" s="196"/>
      <c r="K971" s="196"/>
      <c r="L971" s="196"/>
      <c r="M971" s="196"/>
      <c r="N971" s="196"/>
      <c r="O971" s="196"/>
      <c r="P971" s="196"/>
      <c r="Q971" s="196"/>
      <c r="R971" s="196"/>
      <c r="S971" s="196"/>
      <c r="T971" s="196"/>
      <c r="U971" s="196"/>
      <c r="V971" s="198"/>
    </row>
    <row r="972" spans="1:22" outlineLevel="2" x14ac:dyDescent="0.25">
      <c r="A972" s="186">
        <f>SUMIFS(МКД!$A$6:$A$389,МКД!$D$6:$D$389,Таблица1[[#This Row],[2]])</f>
        <v>199</v>
      </c>
      <c r="B972" s="170"/>
      <c r="C972" s="182" t="s">
        <v>625</v>
      </c>
      <c r="D972" s="167" t="s">
        <v>107</v>
      </c>
      <c r="E972" s="167" t="s">
        <v>108</v>
      </c>
      <c r="F972" s="167"/>
      <c r="G972" s="168">
        <f>SUMIFS(Таблица1[[#This Row],[8]:[19]],$I$5:$T$5,"Выкуп")</f>
        <v>115.2</v>
      </c>
      <c r="H972" s="168">
        <f>SUMIFS(Таблица1[[#This Row],[8]:[19]],$I$5:$T$5,"Аренда")</f>
        <v>0</v>
      </c>
      <c r="I972" s="169">
        <v>115.2</v>
      </c>
      <c r="J972" s="169"/>
      <c r="K972" s="169"/>
      <c r="L972" s="169"/>
      <c r="M972" s="169"/>
      <c r="N972" s="169"/>
      <c r="O972" s="169"/>
      <c r="P972" s="169"/>
      <c r="Q972" s="169"/>
      <c r="R972" s="169"/>
      <c r="S972" s="169"/>
      <c r="T972" s="169"/>
      <c r="U972" s="170"/>
      <c r="V972" s="171"/>
    </row>
    <row r="973" spans="1:22" outlineLevel="2" x14ac:dyDescent="0.25">
      <c r="A973" s="186">
        <f>SUMIFS(МКД!$A$6:$A$389,МКД!$D$6:$D$389,Таблица1[[#This Row],[2]])</f>
        <v>199</v>
      </c>
      <c r="B973" s="170"/>
      <c r="C973" s="182" t="s">
        <v>625</v>
      </c>
      <c r="D973" s="167" t="s">
        <v>1053</v>
      </c>
      <c r="E973" s="167" t="s">
        <v>2827</v>
      </c>
      <c r="F973" s="167"/>
      <c r="G973" s="168">
        <f>SUMIFS(Таблица1[[#This Row],[8]:[19]],$I$5:$T$5,"Выкуп")</f>
        <v>124</v>
      </c>
      <c r="H973" s="168">
        <f>SUMIFS(Таблица1[[#This Row],[8]:[19]],$I$5:$T$5,"Аренда")</f>
        <v>0</v>
      </c>
      <c r="I973" s="169"/>
      <c r="J973" s="169"/>
      <c r="K973" s="169"/>
      <c r="L973" s="169"/>
      <c r="M973" s="278">
        <v>124</v>
      </c>
      <c r="N973" s="169"/>
      <c r="O973" s="169"/>
      <c r="P973" s="169"/>
      <c r="Q973" s="169"/>
      <c r="R973" s="169"/>
      <c r="S973" s="169"/>
      <c r="T973" s="169"/>
      <c r="U973" s="170"/>
      <c r="V973" s="171"/>
    </row>
    <row r="974" spans="1:22" ht="15" outlineLevel="1" x14ac:dyDescent="0.25">
      <c r="A974" s="186">
        <f>SUMIFS(МКД!$A$6:$A$389,МКД!$D$6:$D$389,Таблица1[[#This Row],[2]])</f>
        <v>162</v>
      </c>
      <c r="B974" s="194">
        <f>SUMIFS(Таблица1[6],Таблица1[2],Таблица1[[#This Row],[2]])+SUMIFS(Таблица1[7],Таблица1[2],Таблица1[[#This Row],[2]])</f>
        <v>1013.2</v>
      </c>
      <c r="C974" s="185" t="s">
        <v>524</v>
      </c>
      <c r="D974" s="196"/>
      <c r="E974" s="196"/>
      <c r="F974" s="196"/>
      <c r="G974" s="168"/>
      <c r="H974" s="197"/>
      <c r="I974" s="196"/>
      <c r="J974" s="196"/>
      <c r="K974" s="196"/>
      <c r="L974" s="196"/>
      <c r="M974" s="196"/>
      <c r="N974" s="196"/>
      <c r="O974" s="196"/>
      <c r="P974" s="196"/>
      <c r="Q974" s="196"/>
      <c r="R974" s="196"/>
      <c r="S974" s="196"/>
      <c r="T974" s="196"/>
      <c r="U974" s="196"/>
      <c r="V974" s="198"/>
    </row>
    <row r="975" spans="1:22" hidden="1" outlineLevel="2" x14ac:dyDescent="0.25">
      <c r="A975" s="186">
        <f>SUMIFS(МКД!$A$6:$A$389,МКД!$D$6:$D$389,Таблица1[[#This Row],[2]])</f>
        <v>162</v>
      </c>
      <c r="B975" s="170"/>
      <c r="C975" s="182" t="s">
        <v>524</v>
      </c>
      <c r="D975" s="167" t="s">
        <v>2578</v>
      </c>
      <c r="E975" s="167" t="s">
        <v>828</v>
      </c>
      <c r="F975" s="167">
        <v>1</v>
      </c>
      <c r="G975" s="168">
        <f>SUMIFS(Таблица1[[#This Row],[8]:[19]],$I$5:$T$5,"Выкуп")</f>
        <v>202.1</v>
      </c>
      <c r="H975" s="168">
        <f>SUMIFS(Таблица1[[#This Row],[8]:[19]],$I$5:$T$5,"Аренда")</f>
        <v>0</v>
      </c>
      <c r="I975" s="169"/>
      <c r="J975" s="169"/>
      <c r="K975" s="169">
        <v>202.1</v>
      </c>
      <c r="L975" s="169"/>
      <c r="M975" s="169"/>
      <c r="N975" s="169"/>
      <c r="O975" s="169"/>
      <c r="P975" s="169"/>
      <c r="Q975" s="169"/>
      <c r="R975" s="169"/>
      <c r="S975" s="169"/>
      <c r="T975" s="169"/>
      <c r="U975" s="170"/>
      <c r="V975" s="171"/>
    </row>
    <row r="976" spans="1:22" hidden="1" outlineLevel="2" x14ac:dyDescent="0.25">
      <c r="A976" s="186">
        <f>SUMIFS(МКД!$A$6:$A$389,МКД!$D$6:$D$389,Таблица1[[#This Row],[2]])</f>
        <v>162</v>
      </c>
      <c r="B976" s="168"/>
      <c r="C976" s="182" t="s">
        <v>524</v>
      </c>
      <c r="D976" s="167" t="s">
        <v>234</v>
      </c>
      <c r="E976" s="167" t="s">
        <v>762</v>
      </c>
      <c r="F976" s="167">
        <v>1</v>
      </c>
      <c r="G976" s="168">
        <f>SUMIFS(Таблица1[[#This Row],[8]:[19]],$I$5:$T$5,"Выкуп")</f>
        <v>91.2</v>
      </c>
      <c r="H976" s="168">
        <f>SUMIFS(Таблица1[[#This Row],[8]:[19]],$I$5:$T$5,"Аренда")</f>
        <v>0</v>
      </c>
      <c r="I976" s="169"/>
      <c r="J976" s="169"/>
      <c r="K976" s="169">
        <v>91.2</v>
      </c>
      <c r="L976" s="169"/>
      <c r="M976" s="169"/>
      <c r="N976" s="169"/>
      <c r="O976" s="169"/>
      <c r="P976" s="169"/>
      <c r="Q976" s="169"/>
      <c r="R976" s="169"/>
      <c r="S976" s="169"/>
      <c r="T976" s="169"/>
      <c r="U976" s="170"/>
      <c r="V976" s="171"/>
    </row>
    <row r="977" spans="1:22" hidden="1" outlineLevel="2" x14ac:dyDescent="0.25">
      <c r="A977" s="186">
        <f>SUMIFS(МКД!$A$6:$A$389,МКД!$D$6:$D$389,Таблица1[[#This Row],[2]])</f>
        <v>162</v>
      </c>
      <c r="B977" s="168"/>
      <c r="C977" s="182" t="s">
        <v>524</v>
      </c>
      <c r="D977" s="167" t="s">
        <v>1534</v>
      </c>
      <c r="E977" s="167" t="s">
        <v>1702</v>
      </c>
      <c r="F977" s="167">
        <v>1</v>
      </c>
      <c r="G977" s="168">
        <f>SUMIFS(Таблица1[[#This Row],[8]:[19]],$I$5:$T$5,"Выкуп")</f>
        <v>55.6</v>
      </c>
      <c r="H977" s="168">
        <f>SUMIFS(Таблица1[[#This Row],[8]:[19]],$I$5:$T$5,"Аренда")</f>
        <v>0</v>
      </c>
      <c r="I977" s="169">
        <v>39.200000000000003</v>
      </c>
      <c r="J977" s="169"/>
      <c r="K977" s="169"/>
      <c r="L977" s="169"/>
      <c r="M977" s="169"/>
      <c r="N977" s="169"/>
      <c r="O977" s="169">
        <v>16.399999999999999</v>
      </c>
      <c r="P977" s="169"/>
      <c r="Q977" s="169"/>
      <c r="R977" s="169"/>
      <c r="S977" s="169"/>
      <c r="T977" s="169"/>
      <c r="U977" s="170"/>
      <c r="V977" s="171"/>
    </row>
    <row r="978" spans="1:22" hidden="1" outlineLevel="2" x14ac:dyDescent="0.25">
      <c r="A978" s="186">
        <f>SUMIFS(МКД!$A$6:$A$389,МКД!$D$6:$D$389,Таблица1[[#This Row],[2]])</f>
        <v>162</v>
      </c>
      <c r="B978" s="168"/>
      <c r="C978" s="182" t="s">
        <v>524</v>
      </c>
      <c r="D978" s="167" t="s">
        <v>2727</v>
      </c>
      <c r="E978" s="167" t="s">
        <v>1685</v>
      </c>
      <c r="F978" s="167">
        <v>1</v>
      </c>
      <c r="G978" s="168">
        <f>SUMIFS(Таблица1[[#This Row],[8]:[19]],$I$5:$T$5,"Выкуп")</f>
        <v>0</v>
      </c>
      <c r="H978" s="168">
        <f>SUMIFS(Таблица1[[#This Row],[8]:[19]],$I$5:$T$5,"Аренда")</f>
        <v>13.5</v>
      </c>
      <c r="I978" s="169"/>
      <c r="J978" s="169"/>
      <c r="K978" s="169"/>
      <c r="L978" s="169"/>
      <c r="M978" s="169"/>
      <c r="N978" s="169"/>
      <c r="O978" s="167"/>
      <c r="P978" s="169">
        <f>13.5</f>
        <v>13.5</v>
      </c>
      <c r="Q978" s="169"/>
      <c r="R978" s="169"/>
      <c r="S978" s="169"/>
      <c r="T978" s="169"/>
      <c r="U978" s="170"/>
      <c r="V978" s="171"/>
    </row>
    <row r="979" spans="1:22" hidden="1" outlineLevel="2" x14ac:dyDescent="0.25">
      <c r="A979" s="186">
        <f>SUMIFS(МКД!$A$6:$A$389,МКД!$D$6:$D$389,Таблица1[[#This Row],[2]])</f>
        <v>162</v>
      </c>
      <c r="B979" s="168"/>
      <c r="C979" s="182" t="s">
        <v>524</v>
      </c>
      <c r="D979" s="167" t="s">
        <v>235</v>
      </c>
      <c r="E979" s="167" t="s">
        <v>2189</v>
      </c>
      <c r="F979" s="167">
        <v>1</v>
      </c>
      <c r="G979" s="168">
        <f>SUMIFS(Таблица1[[#This Row],[8]:[19]],$I$5:$T$5,"Выкуп")</f>
        <v>159.80000000000001</v>
      </c>
      <c r="H979" s="168">
        <f>SUMIFS(Таблица1[[#This Row],[8]:[19]],$I$5:$T$5,"Аренда")</f>
        <v>0</v>
      </c>
      <c r="I979" s="169">
        <v>159.80000000000001</v>
      </c>
      <c r="J979" s="169"/>
      <c r="K979" s="169"/>
      <c r="L979" s="169"/>
      <c r="M979" s="169"/>
      <c r="N979" s="169"/>
      <c r="O979" s="169"/>
      <c r="P979" s="169"/>
      <c r="Q979" s="169"/>
      <c r="R979" s="169"/>
      <c r="S979" s="169"/>
      <c r="T979" s="169"/>
      <c r="U979" s="170"/>
      <c r="V979" s="171"/>
    </row>
    <row r="980" spans="1:22" hidden="1" outlineLevel="2" x14ac:dyDescent="0.25">
      <c r="A980" s="186">
        <f>SUMIFS(МКД!$A$6:$A$389,МКД!$D$6:$D$389,Таблица1[[#This Row],[2]])</f>
        <v>162</v>
      </c>
      <c r="B980" s="168"/>
      <c r="C980" s="182" t="s">
        <v>524</v>
      </c>
      <c r="D980" s="167" t="s">
        <v>148</v>
      </c>
      <c r="E980" s="167" t="s">
        <v>2188</v>
      </c>
      <c r="F980" s="167">
        <v>1</v>
      </c>
      <c r="G980" s="168">
        <f>SUMIFS(Таблица1[[#This Row],[8]:[19]],$I$5:$T$5,"Выкуп")</f>
        <v>109.4</v>
      </c>
      <c r="H980" s="168">
        <f>SUMIFS(Таблица1[[#This Row],[8]:[19]],$I$5:$T$5,"Аренда")</f>
        <v>0</v>
      </c>
      <c r="I980" s="169">
        <v>109.4</v>
      </c>
      <c r="J980" s="169"/>
      <c r="K980" s="169"/>
      <c r="L980" s="169"/>
      <c r="M980" s="169"/>
      <c r="N980" s="169"/>
      <c r="O980" s="169"/>
      <c r="P980" s="169"/>
      <c r="Q980" s="169"/>
      <c r="R980" s="169"/>
      <c r="S980" s="169"/>
      <c r="T980" s="169"/>
      <c r="U980" s="170"/>
      <c r="V980" s="171"/>
    </row>
    <row r="981" spans="1:22" hidden="1" outlineLevel="2" x14ac:dyDescent="0.25">
      <c r="A981" s="186">
        <f>SUMIFS(МКД!$A$6:$A$389,МКД!$D$6:$D$389,Таблица1[[#This Row],[2]])</f>
        <v>162</v>
      </c>
      <c r="B981" s="168"/>
      <c r="C981" s="182" t="s">
        <v>524</v>
      </c>
      <c r="D981" s="167" t="s">
        <v>1990</v>
      </c>
      <c r="E981" s="167" t="s">
        <v>1703</v>
      </c>
      <c r="F981" s="167">
        <v>1</v>
      </c>
      <c r="G981" s="168">
        <f>SUMIFS(Таблица1[[#This Row],[8]:[19]],$I$5:$T$5,"Выкуп")</f>
        <v>35.1</v>
      </c>
      <c r="H981" s="168">
        <f>SUMIFS(Таблица1[[#This Row],[8]:[19]],$I$5:$T$5,"Аренда")</f>
        <v>0</v>
      </c>
      <c r="I981" s="169">
        <v>35.1</v>
      </c>
      <c r="J981" s="169"/>
      <c r="K981" s="169"/>
      <c r="L981" s="169"/>
      <c r="M981" s="169"/>
      <c r="N981" s="169"/>
      <c r="O981" s="169"/>
      <c r="P981" s="169"/>
      <c r="Q981" s="169"/>
      <c r="R981" s="169"/>
      <c r="S981" s="169"/>
      <c r="T981" s="169"/>
      <c r="U981" s="170"/>
      <c r="V981" s="171"/>
    </row>
    <row r="982" spans="1:22" hidden="1" outlineLevel="2" x14ac:dyDescent="0.25">
      <c r="A982" s="186">
        <f>SUMIFS(МКД!$A$6:$A$389,МКД!$D$6:$D$389,Таблица1[[#This Row],[2]])</f>
        <v>162</v>
      </c>
      <c r="B982" s="168"/>
      <c r="C982" s="182" t="s">
        <v>524</v>
      </c>
      <c r="D982" s="167" t="s">
        <v>1522</v>
      </c>
      <c r="E982" s="167" t="s">
        <v>149</v>
      </c>
      <c r="F982" s="167"/>
      <c r="G982" s="168">
        <f>SUMIFS(Таблица1[[#This Row],[8]:[19]],$I$5:$T$5,"Выкуп")</f>
        <v>67</v>
      </c>
      <c r="H982" s="168">
        <f>SUMIFS(Таблица1[[#This Row],[8]:[19]],$I$5:$T$5,"Аренда")</f>
        <v>0</v>
      </c>
      <c r="I982" s="169">
        <v>67</v>
      </c>
      <c r="J982" s="169"/>
      <c r="K982" s="169"/>
      <c r="L982" s="169"/>
      <c r="M982" s="169"/>
      <c r="N982" s="169"/>
      <c r="O982" s="169"/>
      <c r="P982" s="169"/>
      <c r="Q982" s="169"/>
      <c r="R982" s="169"/>
      <c r="S982" s="169"/>
      <c r="T982" s="169"/>
      <c r="U982" s="170"/>
      <c r="V982" s="171"/>
    </row>
    <row r="983" spans="1:22" hidden="1" outlineLevel="2" x14ac:dyDescent="0.25">
      <c r="A983" s="186">
        <f>SUMIFS(МКД!$A$6:$A$389,МКД!$D$6:$D$389,Таблица1[[#This Row],[2]])</f>
        <v>162</v>
      </c>
      <c r="B983" s="168"/>
      <c r="C983" s="182" t="s">
        <v>524</v>
      </c>
      <c r="D983" s="167" t="s">
        <v>2585</v>
      </c>
      <c r="E983" s="167" t="s">
        <v>2577</v>
      </c>
      <c r="F983" s="167">
        <v>1</v>
      </c>
      <c r="G983" s="168">
        <f>SUMIFS(Таблица1[[#This Row],[8]:[19]],$I$5:$T$5,"Выкуп")</f>
        <v>0</v>
      </c>
      <c r="H983" s="168">
        <f>SUMIFS(Таблица1[[#This Row],[8]:[19]],$I$5:$T$5,"Аренда")</f>
        <v>15.6</v>
      </c>
      <c r="I983" s="169"/>
      <c r="J983" s="169"/>
      <c r="K983" s="169"/>
      <c r="L983" s="169"/>
      <c r="M983" s="169"/>
      <c r="N983" s="169"/>
      <c r="O983" s="167"/>
      <c r="P983" s="169">
        <f>15.6</f>
        <v>15.6</v>
      </c>
      <c r="Q983" s="169"/>
      <c r="R983" s="169"/>
      <c r="S983" s="169"/>
      <c r="T983" s="169"/>
      <c r="U983" s="170"/>
      <c r="V983" s="171"/>
    </row>
    <row r="984" spans="1:22" hidden="1" outlineLevel="2" x14ac:dyDescent="0.25">
      <c r="A984" s="186">
        <f>SUMIFS(МКД!$A$6:$A$389,МКД!$D$6:$D$389,Таблица1[[#This Row],[2]])</f>
        <v>162</v>
      </c>
      <c r="B984" s="168"/>
      <c r="C984" s="182" t="s">
        <v>524</v>
      </c>
      <c r="D984" s="167" t="s">
        <v>1394</v>
      </c>
      <c r="E984" s="167" t="s">
        <v>2831</v>
      </c>
      <c r="F984" s="167">
        <v>1</v>
      </c>
      <c r="G984" s="168">
        <f>SUMIFS(Таблица1[[#This Row],[8]:[19]],$I$5:$T$5,"Выкуп")</f>
        <v>122.8</v>
      </c>
      <c r="H984" s="168">
        <f>SUMIFS(Таблица1[[#This Row],[8]:[19]],$I$5:$T$5,"Аренда")</f>
        <v>0</v>
      </c>
      <c r="I984" s="169"/>
      <c r="J984" s="169"/>
      <c r="K984" s="169"/>
      <c r="L984" s="169"/>
      <c r="M984" s="278">
        <v>122.8</v>
      </c>
      <c r="N984" s="169"/>
      <c r="O984" s="167"/>
      <c r="P984" s="169"/>
      <c r="Q984" s="169"/>
      <c r="R984" s="169"/>
      <c r="S984" s="169"/>
      <c r="T984" s="169"/>
      <c r="U984" s="170"/>
      <c r="V984" s="171"/>
    </row>
    <row r="985" spans="1:22" hidden="1" outlineLevel="2" x14ac:dyDescent="0.25">
      <c r="A985" s="186">
        <f>SUMIFS(МКД!$A$6:$A$389,МКД!$D$6:$D$389,Таблица1[[#This Row],[2]])</f>
        <v>162</v>
      </c>
      <c r="B985" s="168"/>
      <c r="C985" s="182" t="s">
        <v>524</v>
      </c>
      <c r="D985" s="167" t="s">
        <v>1053</v>
      </c>
      <c r="E985" s="167" t="s">
        <v>2829</v>
      </c>
      <c r="F985" s="167">
        <v>1</v>
      </c>
      <c r="G985" s="168">
        <f>SUMIFS(Таблица1[[#This Row],[8]:[19]],$I$5:$T$5,"Выкуп")</f>
        <v>141.1</v>
      </c>
      <c r="H985" s="168">
        <f>SUMIFS(Таблица1[[#This Row],[8]:[19]],$I$5:$T$5,"Аренда")</f>
        <v>0</v>
      </c>
      <c r="I985" s="169"/>
      <c r="J985" s="169"/>
      <c r="K985" s="169"/>
      <c r="L985" s="169"/>
      <c r="M985" s="278">
        <v>141.1</v>
      </c>
      <c r="N985" s="169"/>
      <c r="O985" s="167"/>
      <c r="P985" s="169"/>
      <c r="Q985" s="169"/>
      <c r="R985" s="169"/>
      <c r="S985" s="169"/>
      <c r="T985" s="169"/>
      <c r="U985" s="170"/>
      <c r="V985" s="171"/>
    </row>
    <row r="986" spans="1:22" ht="15" outlineLevel="1" collapsed="1" x14ac:dyDescent="0.25">
      <c r="A986" s="186">
        <f>SUMIFS(МКД!$A$6:$A$389,МКД!$D$6:$D$389,Таблица1[[#This Row],[2]])</f>
        <v>163</v>
      </c>
      <c r="B986" s="194">
        <f>SUMIFS(Таблица1[6],Таблица1[2],Таблица1[[#This Row],[2]])+SUMIFS(Таблица1[7],Таблица1[2],Таблица1[[#This Row],[2]])</f>
        <v>257.3</v>
      </c>
      <c r="C986" s="185" t="s">
        <v>653</v>
      </c>
      <c r="D986" s="196"/>
      <c r="E986" s="196"/>
      <c r="F986" s="196"/>
      <c r="G986" s="168"/>
      <c r="H986" s="197"/>
      <c r="I986" s="196"/>
      <c r="J986" s="196"/>
      <c r="K986" s="196"/>
      <c r="L986" s="196"/>
      <c r="M986" s="196"/>
      <c r="N986" s="196"/>
      <c r="O986" s="196"/>
      <c r="P986" s="196"/>
      <c r="Q986" s="196"/>
      <c r="R986" s="196"/>
      <c r="S986" s="196"/>
      <c r="T986" s="196"/>
      <c r="U986" s="196"/>
      <c r="V986" s="198"/>
    </row>
    <row r="987" spans="1:22" hidden="1" outlineLevel="2" x14ac:dyDescent="0.25">
      <c r="A987" s="186">
        <f>SUMIFS(МКД!$A$6:$A$389,МКД!$D$6:$D$389,Таблица1[[#This Row],[2]])</f>
        <v>163</v>
      </c>
      <c r="B987" s="170"/>
      <c r="C987" s="182" t="s">
        <v>653</v>
      </c>
      <c r="D987" s="167"/>
      <c r="E987" s="167" t="s">
        <v>1630</v>
      </c>
      <c r="F987" s="167"/>
      <c r="G987" s="168">
        <f>SUMIFS(Таблица1[[#This Row],[8]:[19]],$I$5:$T$5,"Выкуп")</f>
        <v>0</v>
      </c>
      <c r="H987" s="168">
        <f>SUMIFS(Таблица1[[#This Row],[8]:[19]],$I$5:$T$5,"Аренда")</f>
        <v>0</v>
      </c>
      <c r="I987" s="169"/>
      <c r="J987" s="169"/>
      <c r="K987" s="169"/>
      <c r="L987" s="169"/>
      <c r="M987" s="169"/>
      <c r="N987" s="169"/>
      <c r="O987" s="167"/>
      <c r="P987" s="169">
        <f>9.3*0</f>
        <v>0</v>
      </c>
      <c r="Q987" s="169"/>
      <c r="R987" s="169"/>
      <c r="S987" s="169"/>
      <c r="T987" s="169"/>
      <c r="U987" s="170"/>
      <c r="V987" s="171"/>
    </row>
    <row r="988" spans="1:22" hidden="1" outlineLevel="2" x14ac:dyDescent="0.25">
      <c r="A988" s="186">
        <f>SUMIFS(МКД!$A$6:$A$389,МКД!$D$6:$D$389,Таблица1[[#This Row],[2]])</f>
        <v>163</v>
      </c>
      <c r="B988" s="168"/>
      <c r="C988" s="182" t="s">
        <v>653</v>
      </c>
      <c r="D988" s="167" t="s">
        <v>236</v>
      </c>
      <c r="E988" s="167" t="s">
        <v>952</v>
      </c>
      <c r="F988" s="167">
        <v>1</v>
      </c>
      <c r="G988" s="168">
        <f>SUMIFS(Таблица1[[#This Row],[8]:[19]],$I$5:$T$5,"Выкуп")</f>
        <v>80.3</v>
      </c>
      <c r="H988" s="168">
        <f>SUMIFS(Таблица1[[#This Row],[8]:[19]],$I$5:$T$5,"Аренда")</f>
        <v>0</v>
      </c>
      <c r="I988" s="169">
        <v>80.3</v>
      </c>
      <c r="J988" s="169"/>
      <c r="K988" s="169"/>
      <c r="L988" s="169"/>
      <c r="M988" s="169"/>
      <c r="N988" s="169"/>
      <c r="O988" s="169"/>
      <c r="P988" s="169"/>
      <c r="Q988" s="169"/>
      <c r="R988" s="169"/>
      <c r="S988" s="169"/>
      <c r="T988" s="169"/>
      <c r="U988" s="170"/>
      <c r="V988" s="171"/>
    </row>
    <row r="989" spans="1:22" hidden="1" outlineLevel="2" x14ac:dyDescent="0.25">
      <c r="A989" s="186">
        <f>SUMIFS(МКД!$A$6:$A$389,МКД!$D$6:$D$389,Таблица1[[#This Row],[2]])</f>
        <v>163</v>
      </c>
      <c r="B989" s="168"/>
      <c r="C989" s="182" t="s">
        <v>653</v>
      </c>
      <c r="D989" s="167" t="s">
        <v>807</v>
      </c>
      <c r="E989" s="167" t="s">
        <v>764</v>
      </c>
      <c r="F989" s="167">
        <v>1</v>
      </c>
      <c r="G989" s="168">
        <f>SUMIFS(Таблица1[[#This Row],[8]:[19]],$I$5:$T$5,"Выкуп")</f>
        <v>72.3</v>
      </c>
      <c r="H989" s="168">
        <f>SUMIFS(Таблица1[[#This Row],[8]:[19]],$I$5:$T$5,"Аренда")</f>
        <v>0</v>
      </c>
      <c r="I989" s="169">
        <v>72.3</v>
      </c>
      <c r="J989" s="169"/>
      <c r="K989" s="169"/>
      <c r="L989" s="169"/>
      <c r="M989" s="169"/>
      <c r="N989" s="169"/>
      <c r="O989" s="169"/>
      <c r="P989" s="169"/>
      <c r="Q989" s="169"/>
      <c r="R989" s="169"/>
      <c r="S989" s="169"/>
      <c r="T989" s="169"/>
      <c r="U989" s="170"/>
      <c r="V989" s="171"/>
    </row>
    <row r="990" spans="1:22" hidden="1" outlineLevel="2" x14ac:dyDescent="0.25">
      <c r="A990" s="186">
        <f>SUMIFS(МКД!$A$6:$A$389,МКД!$D$6:$D$389,Таблица1[[#This Row],[2]])</f>
        <v>163</v>
      </c>
      <c r="B990" s="168"/>
      <c r="C990" s="182" t="s">
        <v>653</v>
      </c>
      <c r="D990" s="167" t="s">
        <v>230</v>
      </c>
      <c r="E990" s="167" t="s">
        <v>99</v>
      </c>
      <c r="F990" s="167">
        <v>1</v>
      </c>
      <c r="G990" s="168">
        <f>SUMIFS(Таблица1[[#This Row],[8]:[19]],$I$5:$T$5,"Выкуп")</f>
        <v>51</v>
      </c>
      <c r="H990" s="168">
        <f>SUMIFS(Таблица1[[#This Row],[8]:[19]],$I$5:$T$5,"Аренда")</f>
        <v>0</v>
      </c>
      <c r="I990" s="169">
        <v>51</v>
      </c>
      <c r="J990" s="169"/>
      <c r="K990" s="169"/>
      <c r="L990" s="169"/>
      <c r="M990" s="169"/>
      <c r="N990" s="169"/>
      <c r="O990" s="169"/>
      <c r="P990" s="169"/>
      <c r="Q990" s="169"/>
      <c r="R990" s="169"/>
      <c r="S990" s="169"/>
      <c r="T990" s="169"/>
      <c r="U990" s="170"/>
      <c r="V990" s="171"/>
    </row>
    <row r="991" spans="1:22" hidden="1" outlineLevel="2" x14ac:dyDescent="0.25">
      <c r="A991" s="186"/>
      <c r="B991" s="168"/>
      <c r="C991" s="182" t="s">
        <v>653</v>
      </c>
      <c r="D991" s="167" t="s">
        <v>1571</v>
      </c>
      <c r="E991" s="167" t="s">
        <v>1185</v>
      </c>
      <c r="F991" s="167"/>
      <c r="G991" s="168">
        <f>SUMIFS(Таблица1[[#This Row],[8]:[19]],$I$5:$T$5,"Выкуп")</f>
        <v>53.7</v>
      </c>
      <c r="H991" s="168">
        <f>SUMIFS(Таблица1[[#This Row],[8]:[19]],$I$5:$T$5,"Аренда")</f>
        <v>0</v>
      </c>
      <c r="I991" s="169">
        <v>53.7</v>
      </c>
      <c r="J991" s="169"/>
      <c r="K991" s="169"/>
      <c r="L991" s="169"/>
      <c r="M991" s="169"/>
      <c r="N991" s="169"/>
      <c r="O991" s="169"/>
      <c r="P991" s="169"/>
      <c r="Q991" s="169"/>
      <c r="R991" s="169"/>
      <c r="S991" s="169"/>
      <c r="T991" s="169"/>
      <c r="U991" s="170"/>
      <c r="V991" s="171"/>
    </row>
    <row r="992" spans="1:22" ht="15" outlineLevel="1" collapsed="1" x14ac:dyDescent="0.25">
      <c r="A992" s="186">
        <f>SUMIFS(МКД!$A$6:$A$389,МКД!$D$6:$D$389,Таблица1[[#This Row],[2]])</f>
        <v>164</v>
      </c>
      <c r="B992" s="194">
        <f>SUMIFS(Таблица1[6],Таблица1[2],Таблица1[[#This Row],[2]])+SUMIFS(Таблица1[7],Таблица1[2],Таблица1[[#This Row],[2]])</f>
        <v>1135.8000000000002</v>
      </c>
      <c r="C992" s="185" t="s">
        <v>525</v>
      </c>
      <c r="D992" s="196"/>
      <c r="E992" s="196"/>
      <c r="F992" s="196"/>
      <c r="G992" s="168"/>
      <c r="H992" s="197"/>
      <c r="I992" s="196"/>
      <c r="J992" s="196"/>
      <c r="K992" s="196"/>
      <c r="L992" s="196"/>
      <c r="M992" s="196"/>
      <c r="N992" s="196"/>
      <c r="O992" s="196"/>
      <c r="P992" s="196"/>
      <c r="Q992" s="196"/>
      <c r="R992" s="196"/>
      <c r="S992" s="196"/>
      <c r="T992" s="196"/>
      <c r="U992" s="196"/>
      <c r="V992" s="198"/>
    </row>
    <row r="993" spans="1:22" hidden="1" outlineLevel="2" x14ac:dyDescent="0.25">
      <c r="A993" s="186">
        <f>SUMIFS(МКД!$A$6:$A$389,МКД!$D$6:$D$389,Таблица1[[#This Row],[2]])</f>
        <v>164</v>
      </c>
      <c r="B993" s="170"/>
      <c r="C993" s="182" t="s">
        <v>525</v>
      </c>
      <c r="D993" s="167" t="s">
        <v>1861</v>
      </c>
      <c r="E993" s="167" t="s">
        <v>1862</v>
      </c>
      <c r="F993" s="167">
        <v>1</v>
      </c>
      <c r="G993" s="168">
        <f>SUMIFS(Таблица1[[#This Row],[8]:[19]],$I$5:$T$5,"Выкуп")</f>
        <v>294.7</v>
      </c>
      <c r="H993" s="168">
        <f>SUMIFS(Таблица1[[#This Row],[8]:[19]],$I$5:$T$5,"Аренда")</f>
        <v>0</v>
      </c>
      <c r="I993" s="169"/>
      <c r="J993" s="169"/>
      <c r="K993" s="169">
        <f>294.7-Таблица1[[#This Row],[14]]</f>
        <v>265.7</v>
      </c>
      <c r="L993" s="169"/>
      <c r="M993" s="169"/>
      <c r="N993" s="169"/>
      <c r="O993" s="169">
        <v>29</v>
      </c>
      <c r="P993" s="169"/>
      <c r="Q993" s="169"/>
      <c r="R993" s="169"/>
      <c r="S993" s="169"/>
      <c r="T993" s="169"/>
      <c r="U993" s="170"/>
      <c r="V993" s="171"/>
    </row>
    <row r="994" spans="1:22" hidden="1" outlineLevel="2" x14ac:dyDescent="0.25">
      <c r="A994" s="186">
        <f>SUMIFS(МКД!$A$6:$A$389,МКД!$D$6:$D$389,Таблица1[[#This Row],[2]])</f>
        <v>164</v>
      </c>
      <c r="B994" s="170"/>
      <c r="C994" s="182" t="s">
        <v>525</v>
      </c>
      <c r="D994" s="167" t="s">
        <v>1053</v>
      </c>
      <c r="E994" s="167" t="s">
        <v>2750</v>
      </c>
      <c r="F994" s="167">
        <v>1</v>
      </c>
      <c r="G994" s="168">
        <f>SUMIFS(Таблица1[[#This Row],[8]:[19]],$I$5:$T$5,"Выкуп")</f>
        <v>105.4</v>
      </c>
      <c r="H994" s="168">
        <f>SUMIFS(Таблица1[[#This Row],[8]:[19]],$I$5:$T$5,"Аренда")</f>
        <v>0</v>
      </c>
      <c r="I994" s="169"/>
      <c r="J994" s="169"/>
      <c r="K994" s="169"/>
      <c r="L994" s="169"/>
      <c r="M994" s="169">
        <v>105.4</v>
      </c>
      <c r="N994" s="169"/>
      <c r="O994" s="169"/>
      <c r="P994" s="169"/>
      <c r="Q994" s="169"/>
      <c r="R994" s="169"/>
      <c r="S994" s="169"/>
      <c r="T994" s="169"/>
      <c r="U994" s="170"/>
      <c r="V994" s="171"/>
    </row>
    <row r="995" spans="1:22" hidden="1" outlineLevel="2" x14ac:dyDescent="0.25">
      <c r="A995" s="186">
        <f>SUMIFS(МКД!$A$6:$A$389,МКД!$D$6:$D$389,Таблица1[[#This Row],[2]])</f>
        <v>164</v>
      </c>
      <c r="B995" s="170"/>
      <c r="C995" s="182" t="s">
        <v>525</v>
      </c>
      <c r="D995" s="167" t="s">
        <v>1394</v>
      </c>
      <c r="E995" s="319" t="s">
        <v>2751</v>
      </c>
      <c r="F995" s="319">
        <v>1</v>
      </c>
      <c r="G995" s="320">
        <f>SUMIFS(Таблица1[[#This Row],[8]:[19]],$I$5:$T$5,"Выкуп")</f>
        <v>219.99999999999997</v>
      </c>
      <c r="H995" s="320">
        <f>SUMIFS(Таблица1[[#This Row],[8]:[19]],$I$5:$T$5,"Аренда")</f>
        <v>0</v>
      </c>
      <c r="I995" s="278"/>
      <c r="J995" s="278"/>
      <c r="K995" s="278"/>
      <c r="L995" s="278"/>
      <c r="M995" s="278">
        <f>325.4-105.4</f>
        <v>219.99999999999997</v>
      </c>
      <c r="N995" s="169"/>
      <c r="O995" s="169"/>
      <c r="P995" s="169"/>
      <c r="Q995" s="169"/>
      <c r="R995" s="169"/>
      <c r="S995" s="169"/>
      <c r="T995" s="169"/>
      <c r="U995" s="170"/>
      <c r="V995" s="171"/>
    </row>
    <row r="996" spans="1:22" hidden="1" outlineLevel="2" x14ac:dyDescent="0.25">
      <c r="A996" s="186">
        <f>SUMIFS(МКД!$A$6:$A$389,МКД!$D$6:$D$389,Таблица1[[#This Row],[2]])</f>
        <v>164</v>
      </c>
      <c r="B996" s="168"/>
      <c r="C996" s="182" t="s">
        <v>525</v>
      </c>
      <c r="D996" s="167" t="s">
        <v>238</v>
      </c>
      <c r="E996" s="167" t="s">
        <v>2197</v>
      </c>
      <c r="F996" s="167">
        <v>1</v>
      </c>
      <c r="G996" s="168">
        <f>SUMIFS(Таблица1[[#This Row],[8]:[19]],$I$5:$T$5,"Выкуп")</f>
        <v>0</v>
      </c>
      <c r="H996" s="168">
        <f>SUMIFS(Таблица1[[#This Row],[8]:[19]],$I$5:$T$5,"Аренда")</f>
        <v>20.3</v>
      </c>
      <c r="I996" s="169"/>
      <c r="J996" s="169"/>
      <c r="K996" s="169"/>
      <c r="L996" s="169"/>
      <c r="M996" s="169"/>
      <c r="N996" s="169"/>
      <c r="O996" s="167"/>
      <c r="P996" s="169">
        <v>20.3</v>
      </c>
      <c r="Q996" s="169"/>
      <c r="R996" s="169"/>
      <c r="S996" s="169"/>
      <c r="T996" s="169"/>
      <c r="U996" s="170"/>
      <c r="V996" s="171"/>
    </row>
    <row r="997" spans="1:22" hidden="1" outlineLevel="2" x14ac:dyDescent="0.25">
      <c r="A997" s="186">
        <f>SUMIFS(МКД!$A$6:$A$389,МКД!$D$6:$D$389,Таблица1[[#This Row],[2]])</f>
        <v>164</v>
      </c>
      <c r="B997" s="168"/>
      <c r="C997" s="182" t="s">
        <v>525</v>
      </c>
      <c r="D997" s="167" t="s">
        <v>238</v>
      </c>
      <c r="E997" s="167" t="s">
        <v>2198</v>
      </c>
      <c r="F997" s="167">
        <v>1</v>
      </c>
      <c r="G997" s="168">
        <f>SUMIFS(Таблица1[[#This Row],[8]:[19]],$I$5:$T$5,"Выкуп")</f>
        <v>32.4</v>
      </c>
      <c r="H997" s="168">
        <f>SUMIFS(Таблица1[[#This Row],[8]:[19]],$I$5:$T$5,"Аренда")</f>
        <v>0</v>
      </c>
      <c r="I997" s="169">
        <v>32.4</v>
      </c>
      <c r="J997" s="169"/>
      <c r="K997" s="169"/>
      <c r="L997" s="169"/>
      <c r="M997" s="169"/>
      <c r="N997" s="169"/>
      <c r="O997" s="167"/>
      <c r="P997" s="169"/>
      <c r="Q997" s="169"/>
      <c r="R997" s="169"/>
      <c r="S997" s="169"/>
      <c r="T997" s="169"/>
      <c r="U997" s="170"/>
      <c r="V997" s="171"/>
    </row>
    <row r="998" spans="1:22" hidden="1" outlineLevel="2" x14ac:dyDescent="0.25">
      <c r="A998" s="186">
        <f>SUMIFS(МКД!$A$6:$A$389,МКД!$D$6:$D$389,Таблица1[[#This Row],[2]])</f>
        <v>164</v>
      </c>
      <c r="B998" s="168"/>
      <c r="C998" s="182" t="s">
        <v>525</v>
      </c>
      <c r="D998" s="167" t="s">
        <v>1687</v>
      </c>
      <c r="E998" s="167" t="s">
        <v>1686</v>
      </c>
      <c r="F998" s="167">
        <v>1</v>
      </c>
      <c r="G998" s="168">
        <f>SUMIFS(Таблица1[[#This Row],[8]:[19]],$I$5:$T$5,"Выкуп")</f>
        <v>38.700000000000003</v>
      </c>
      <c r="H998" s="168">
        <f>SUMIFS(Таблица1[[#This Row],[8]:[19]],$I$5:$T$5,"Аренда")</f>
        <v>0</v>
      </c>
      <c r="I998" s="169">
        <v>38.700000000000003</v>
      </c>
      <c r="J998" s="169"/>
      <c r="K998" s="169"/>
      <c r="L998" s="169"/>
      <c r="M998" s="169"/>
      <c r="N998" s="169"/>
      <c r="O998" s="169"/>
      <c r="P998" s="169"/>
      <c r="Q998" s="169"/>
      <c r="R998" s="169"/>
      <c r="S998" s="169"/>
      <c r="T998" s="169"/>
      <c r="U998" s="170"/>
      <c r="V998" s="171"/>
    </row>
    <row r="999" spans="1:22" hidden="1" outlineLevel="2" x14ac:dyDescent="0.25">
      <c r="A999" s="186">
        <f>SUMIFS(МКД!$A$6:$A$389,МКД!$D$6:$D$389,Таблица1[[#This Row],[2]])</f>
        <v>164</v>
      </c>
      <c r="B999" s="168"/>
      <c r="C999" s="182" t="s">
        <v>525</v>
      </c>
      <c r="D999" s="167" t="s">
        <v>2190</v>
      </c>
      <c r="E999" s="167" t="s">
        <v>2199</v>
      </c>
      <c r="F999" s="167">
        <v>1</v>
      </c>
      <c r="G999" s="168">
        <f>SUMIFS(Таблица1[[#This Row],[8]:[19]],$I$5:$T$5,"Выкуп")</f>
        <v>0</v>
      </c>
      <c r="H999" s="168">
        <f>SUMIFS(Таблица1[[#This Row],[8]:[19]],$I$5:$T$5,"Аренда")</f>
        <v>12.3</v>
      </c>
      <c r="I999" s="169"/>
      <c r="J999" s="169"/>
      <c r="K999" s="169"/>
      <c r="L999" s="169"/>
      <c r="M999" s="169"/>
      <c r="N999" s="169"/>
      <c r="O999" s="167"/>
      <c r="P999" s="169">
        <v>12.3</v>
      </c>
      <c r="Q999" s="169"/>
      <c r="R999" s="169"/>
      <c r="S999" s="169"/>
      <c r="T999" s="169"/>
      <c r="U999" s="170"/>
      <c r="V999" s="171"/>
    </row>
    <row r="1000" spans="1:22" hidden="1" outlineLevel="2" x14ac:dyDescent="0.25">
      <c r="A1000" s="186">
        <f>SUMIFS(МКД!$A$6:$A$389,МКД!$D$6:$D$389,Таблица1[[#This Row],[2]])</f>
        <v>164</v>
      </c>
      <c r="B1000" s="168"/>
      <c r="C1000" s="182" t="s">
        <v>525</v>
      </c>
      <c r="D1000" s="167" t="s">
        <v>2190</v>
      </c>
      <c r="E1000" s="167" t="s">
        <v>2200</v>
      </c>
      <c r="F1000" s="167">
        <v>1</v>
      </c>
      <c r="G1000" s="168">
        <f>SUMIFS(Таблица1[[#This Row],[8]:[19]],$I$5:$T$5,"Выкуп")</f>
        <v>106.8</v>
      </c>
      <c r="H1000" s="168">
        <f>SUMIFS(Таблица1[[#This Row],[8]:[19]],$I$5:$T$5,"Аренда")</f>
        <v>0</v>
      </c>
      <c r="I1000" s="169">
        <v>106.8</v>
      </c>
      <c r="J1000" s="169"/>
      <c r="K1000" s="169"/>
      <c r="L1000" s="169"/>
      <c r="M1000" s="169"/>
      <c r="N1000" s="169"/>
      <c r="O1000" s="167"/>
      <c r="P1000" s="169"/>
      <c r="Q1000" s="169"/>
      <c r="R1000" s="169"/>
      <c r="S1000" s="169"/>
      <c r="T1000" s="169"/>
      <c r="U1000" s="170"/>
      <c r="V1000" s="171"/>
    </row>
    <row r="1001" spans="1:22" hidden="1" outlineLevel="2" x14ac:dyDescent="0.25">
      <c r="A1001" s="186">
        <f>SUMIFS(МКД!$A$6:$A$389,МКД!$D$6:$D$389,Таблица1[[#This Row],[2]])</f>
        <v>164</v>
      </c>
      <c r="B1001" s="168"/>
      <c r="C1001" s="182" t="s">
        <v>525</v>
      </c>
      <c r="D1001" s="167" t="s">
        <v>2783</v>
      </c>
      <c r="E1001" s="167" t="s">
        <v>2191</v>
      </c>
      <c r="F1001" s="167">
        <v>1</v>
      </c>
      <c r="G1001" s="168">
        <f>SUMIFS(Таблица1[[#This Row],[8]:[19]],$I$5:$T$5,"Выкуп")</f>
        <v>58.5</v>
      </c>
      <c r="H1001" s="168">
        <f>SUMIFS(Таблица1[[#This Row],[8]:[19]],$I$5:$T$5,"Аренда")</f>
        <v>0</v>
      </c>
      <c r="I1001" s="169">
        <v>58.5</v>
      </c>
      <c r="J1001" s="169"/>
      <c r="K1001" s="169"/>
      <c r="L1001" s="169"/>
      <c r="M1001" s="169"/>
      <c r="N1001" s="169"/>
      <c r="O1001" s="169"/>
      <c r="P1001" s="169"/>
      <c r="Q1001" s="169"/>
      <c r="R1001" s="169"/>
      <c r="S1001" s="169"/>
      <c r="T1001" s="169"/>
      <c r="U1001" s="170"/>
      <c r="V1001" s="171"/>
    </row>
    <row r="1002" spans="1:22" hidden="1" outlineLevel="2" x14ac:dyDescent="0.25">
      <c r="A1002" s="186">
        <f>SUMIFS(МКД!$A$6:$A$389,МКД!$D$6:$D$389,Таблица1[[#This Row],[2]])</f>
        <v>164</v>
      </c>
      <c r="B1002" s="168"/>
      <c r="C1002" s="182" t="s">
        <v>525</v>
      </c>
      <c r="D1002" s="167" t="s">
        <v>2192</v>
      </c>
      <c r="E1002" s="167" t="s">
        <v>2193</v>
      </c>
      <c r="F1002" s="167">
        <v>1</v>
      </c>
      <c r="G1002" s="168">
        <f>SUMIFS(Таблица1[[#This Row],[8]:[19]],$I$5:$T$5,"Выкуп")</f>
        <v>154.19999999999999</v>
      </c>
      <c r="H1002" s="168">
        <f>SUMIFS(Таблица1[[#This Row],[8]:[19]],$I$5:$T$5,"Аренда")</f>
        <v>0</v>
      </c>
      <c r="I1002" s="169">
        <v>154.19999999999999</v>
      </c>
      <c r="J1002" s="169"/>
      <c r="K1002" s="169"/>
      <c r="L1002" s="169"/>
      <c r="M1002" s="169"/>
      <c r="N1002" s="169"/>
      <c r="O1002" s="169"/>
      <c r="P1002" s="169"/>
      <c r="Q1002" s="169"/>
      <c r="R1002" s="169"/>
      <c r="S1002" s="169"/>
      <c r="T1002" s="169"/>
      <c r="U1002" s="170"/>
      <c r="V1002" s="171"/>
    </row>
    <row r="1003" spans="1:22" hidden="1" outlineLevel="2" x14ac:dyDescent="0.25">
      <c r="A1003" s="186">
        <f>SUMIFS(МКД!$A$6:$A$389,МКД!$D$6:$D$389,Таблица1[[#This Row],[2]])</f>
        <v>164</v>
      </c>
      <c r="B1003" s="168"/>
      <c r="C1003" s="182" t="s">
        <v>525</v>
      </c>
      <c r="D1003" s="167" t="s">
        <v>2195</v>
      </c>
      <c r="E1003" s="167" t="s">
        <v>2194</v>
      </c>
      <c r="F1003" s="167">
        <v>1</v>
      </c>
      <c r="G1003" s="168">
        <f>SUMIFS(Таблица1[[#This Row],[8]:[19]],$I$5:$T$5,"Выкуп")</f>
        <v>77.2</v>
      </c>
      <c r="H1003" s="168">
        <f>SUMIFS(Таблица1[[#This Row],[8]:[19]],$I$5:$T$5,"Аренда")</f>
        <v>0</v>
      </c>
      <c r="I1003" s="169">
        <v>77.2</v>
      </c>
      <c r="J1003" s="169"/>
      <c r="K1003" s="169"/>
      <c r="L1003" s="169"/>
      <c r="M1003" s="169"/>
      <c r="N1003" s="169"/>
      <c r="O1003" s="169"/>
      <c r="P1003" s="169"/>
      <c r="Q1003" s="169"/>
      <c r="R1003" s="169"/>
      <c r="S1003" s="169"/>
      <c r="T1003" s="169"/>
      <c r="U1003" s="170"/>
      <c r="V1003" s="171"/>
    </row>
    <row r="1004" spans="1:22" hidden="1" outlineLevel="2" x14ac:dyDescent="0.25">
      <c r="A1004" s="186">
        <f>SUMIFS(МКД!$A$6:$A$389,МКД!$D$6:$D$389,Таблица1[[#This Row],[2]])</f>
        <v>164</v>
      </c>
      <c r="B1004" s="168"/>
      <c r="C1004" s="182" t="s">
        <v>525</v>
      </c>
      <c r="D1004" s="167" t="s">
        <v>239</v>
      </c>
      <c r="E1004" s="167" t="s">
        <v>2196</v>
      </c>
      <c r="F1004" s="167">
        <v>1</v>
      </c>
      <c r="G1004" s="168">
        <f>SUMIFS(Таблица1[[#This Row],[8]:[19]],$I$5:$T$5,"Выкуп")</f>
        <v>0</v>
      </c>
      <c r="H1004" s="168">
        <f>SUMIFS(Таблица1[[#This Row],[8]:[19]],$I$5:$T$5,"Аренда")</f>
        <v>15.3</v>
      </c>
      <c r="I1004" s="169"/>
      <c r="J1004" s="169"/>
      <c r="K1004" s="169"/>
      <c r="L1004" s="169"/>
      <c r="M1004" s="169"/>
      <c r="N1004" s="169"/>
      <c r="O1004" s="167"/>
      <c r="P1004" s="169">
        <v>15.3</v>
      </c>
      <c r="Q1004" s="169"/>
      <c r="R1004" s="169"/>
      <c r="S1004" s="169"/>
      <c r="T1004" s="169"/>
      <c r="U1004" s="170"/>
      <c r="V1004" s="171"/>
    </row>
    <row r="1005" spans="1:22" ht="15" outlineLevel="1" collapsed="1" x14ac:dyDescent="0.25">
      <c r="A1005" s="186">
        <f>SUMIFS(МКД!$A$6:$A$389,МКД!$D$6:$D$389,Таблица1[[#This Row],[2]])</f>
        <v>165</v>
      </c>
      <c r="B1005" s="194">
        <f>SUMIFS(Таблица1[6],Таблица1[2],Таблица1[[#This Row],[2]])+SUMIFS(Таблица1[7],Таблица1[2],Таблица1[[#This Row],[2]])</f>
        <v>0</v>
      </c>
      <c r="C1005" s="185" t="s">
        <v>696</v>
      </c>
      <c r="D1005" s="196"/>
      <c r="E1005" s="196"/>
      <c r="F1005" s="196"/>
      <c r="G1005" s="168"/>
      <c r="H1005" s="197"/>
      <c r="I1005" s="196"/>
      <c r="J1005" s="196"/>
      <c r="K1005" s="196"/>
      <c r="L1005" s="196"/>
      <c r="M1005" s="196"/>
      <c r="N1005" s="196"/>
      <c r="O1005" s="196"/>
      <c r="P1005" s="196"/>
      <c r="Q1005" s="196"/>
      <c r="R1005" s="196"/>
      <c r="S1005" s="196"/>
      <c r="T1005" s="196"/>
      <c r="U1005" s="196"/>
      <c r="V1005" s="198"/>
    </row>
    <row r="1006" spans="1:22" ht="15" hidden="1" outlineLevel="2" x14ac:dyDescent="0.25">
      <c r="A1006" s="186">
        <f>SUMIFS(МКД!$A$6:$A$389,МКД!$D$6:$D$389,Таблица1[[#This Row],[2]])</f>
        <v>165</v>
      </c>
      <c r="B1006" s="196"/>
      <c r="C1006" s="182" t="s">
        <v>696</v>
      </c>
      <c r="D1006" s="196"/>
      <c r="E1006" s="196"/>
      <c r="F1006" s="196"/>
      <c r="G1006" s="168">
        <f>SUMIFS(Таблица1[[#This Row],[8]:[19]],$I$5:$T$5,"Выкуп")</f>
        <v>0</v>
      </c>
      <c r="H1006" s="168">
        <f>SUMIFS(Таблица1[[#This Row],[8]:[19]],$I$5:$T$5,"Аренда")</f>
        <v>0</v>
      </c>
      <c r="I1006" s="196"/>
      <c r="J1006" s="196"/>
      <c r="K1006" s="196"/>
      <c r="L1006" s="196"/>
      <c r="M1006" s="196"/>
      <c r="N1006" s="196"/>
      <c r="O1006" s="196"/>
      <c r="P1006" s="196"/>
      <c r="Q1006" s="196"/>
      <c r="R1006" s="196"/>
      <c r="S1006" s="196"/>
      <c r="T1006" s="196"/>
      <c r="U1006" s="196"/>
      <c r="V1006" s="198"/>
    </row>
    <row r="1007" spans="1:22" ht="15" outlineLevel="1" collapsed="1" x14ac:dyDescent="0.25">
      <c r="A1007" s="186">
        <f>SUMIFS(МКД!$A$6:$A$389,МКД!$D$6:$D$389,Таблица1[[#This Row],[2]])</f>
        <v>166</v>
      </c>
      <c r="B1007" s="194">
        <f>SUMIFS(Таблица1[6],Таблица1[2],Таблица1[[#This Row],[2]])+SUMIFS(Таблица1[7],Таблица1[2],Таблица1[[#This Row],[2]])</f>
        <v>932.80000000000007</v>
      </c>
      <c r="C1007" s="185" t="s">
        <v>654</v>
      </c>
      <c r="D1007" s="196"/>
      <c r="E1007" s="196"/>
      <c r="F1007" s="196"/>
      <c r="G1007" s="168"/>
      <c r="H1007" s="197"/>
      <c r="I1007" s="196"/>
      <c r="J1007" s="196"/>
      <c r="K1007" s="196"/>
      <c r="L1007" s="196"/>
      <c r="M1007" s="196"/>
      <c r="N1007" s="196"/>
      <c r="O1007" s="196"/>
      <c r="P1007" s="196"/>
      <c r="Q1007" s="196"/>
      <c r="R1007" s="196"/>
      <c r="S1007" s="196"/>
      <c r="T1007" s="196"/>
      <c r="U1007" s="196"/>
      <c r="V1007" s="198"/>
    </row>
    <row r="1008" spans="1:22" hidden="1" outlineLevel="2" x14ac:dyDescent="0.25">
      <c r="A1008" s="186">
        <f>SUMIFS(МКД!$A$6:$A$389,МКД!$D$6:$D$389,Таблица1[[#This Row],[2]])</f>
        <v>166</v>
      </c>
      <c r="B1008" s="170"/>
      <c r="C1008" s="182" t="s">
        <v>654</v>
      </c>
      <c r="D1008" s="167" t="s">
        <v>971</v>
      </c>
      <c r="E1008" s="167" t="s">
        <v>76</v>
      </c>
      <c r="F1008" s="167" t="s">
        <v>240</v>
      </c>
      <c r="G1008" s="168">
        <f>SUMIFS(Таблица1[[#This Row],[8]:[19]],$I$5:$T$5,"Выкуп")</f>
        <v>613.1</v>
      </c>
      <c r="H1008" s="168">
        <f>SUMIFS(Таблица1[[#This Row],[8]:[19]],$I$5:$T$5,"Аренда")</f>
        <v>0</v>
      </c>
      <c r="I1008" s="167">
        <v>149.69999999999999</v>
      </c>
      <c r="J1008" s="167"/>
      <c r="K1008" s="167">
        <v>215.8</v>
      </c>
      <c r="L1008" s="167"/>
      <c r="M1008" s="167"/>
      <c r="N1008" s="167"/>
      <c r="O1008" s="167"/>
      <c r="P1008" s="167"/>
      <c r="Q1008" s="167"/>
      <c r="R1008" s="167"/>
      <c r="S1008" s="167">
        <v>247.6</v>
      </c>
      <c r="T1008" s="167"/>
      <c r="U1008" s="170"/>
      <c r="V1008" s="171"/>
    </row>
    <row r="1009" spans="1:22" hidden="1" outlineLevel="2" x14ac:dyDescent="0.25">
      <c r="A1009" s="186">
        <f>SUMIFS(МКД!$A$6:$A$389,МКД!$D$6:$D$389,Таблица1[[#This Row],[2]])</f>
        <v>166</v>
      </c>
      <c r="B1009" s="168"/>
      <c r="C1009" s="182" t="s">
        <v>654</v>
      </c>
      <c r="D1009" s="167" t="s">
        <v>1575</v>
      </c>
      <c r="E1009" s="167" t="s">
        <v>1576</v>
      </c>
      <c r="F1009" s="167">
        <v>1</v>
      </c>
      <c r="G1009" s="168">
        <f>SUMIFS(Таблица1[[#This Row],[8]:[19]],$I$5:$T$5,"Выкуп")</f>
        <v>230.6</v>
      </c>
      <c r="H1009" s="168">
        <f>SUMIFS(Таблица1[[#This Row],[8]:[19]],$I$5:$T$5,"Аренда")</f>
        <v>0</v>
      </c>
      <c r="I1009" s="169"/>
      <c r="J1009" s="169"/>
      <c r="K1009" s="169"/>
      <c r="L1009" s="169"/>
      <c r="M1009" s="169"/>
      <c r="N1009" s="169"/>
      <c r="O1009" s="169"/>
      <c r="P1009" s="169"/>
      <c r="Q1009" s="169"/>
      <c r="R1009" s="169"/>
      <c r="S1009" s="169">
        <v>230.6</v>
      </c>
      <c r="T1009" s="169"/>
      <c r="U1009" s="170"/>
      <c r="V1009" s="171"/>
    </row>
    <row r="1010" spans="1:22" hidden="1" outlineLevel="2" x14ac:dyDescent="0.25">
      <c r="A1010" s="186">
        <f>SUMIFS(МКД!$A$6:$A$389,МКД!$D$6:$D$389,Таблица1[[#This Row],[2]])</f>
        <v>166</v>
      </c>
      <c r="B1010" s="168"/>
      <c r="C1010" s="182" t="s">
        <v>654</v>
      </c>
      <c r="D1010" s="167" t="s">
        <v>1575</v>
      </c>
      <c r="E1010" s="167" t="s">
        <v>2579</v>
      </c>
      <c r="F1010" s="167">
        <v>1</v>
      </c>
      <c r="G1010" s="168">
        <f>SUMIFS(Таблица1[[#This Row],[8]:[19]],$I$5:$T$5,"Выкуп")</f>
        <v>89.1</v>
      </c>
      <c r="H1010" s="168">
        <f>SUMIFS(Таблица1[[#This Row],[8]:[19]],$I$5:$T$5,"Аренда")</f>
        <v>0</v>
      </c>
      <c r="I1010" s="169">
        <v>89.1</v>
      </c>
      <c r="J1010" s="169"/>
      <c r="K1010" s="169"/>
      <c r="L1010" s="169"/>
      <c r="M1010" s="169"/>
      <c r="N1010" s="169"/>
      <c r="O1010" s="169"/>
      <c r="P1010" s="169"/>
      <c r="Q1010" s="169"/>
      <c r="R1010" s="169"/>
      <c r="S1010" s="169"/>
      <c r="T1010" s="169"/>
      <c r="U1010" s="170"/>
      <c r="V1010" s="171"/>
    </row>
    <row r="1011" spans="1:22" ht="15" outlineLevel="1" collapsed="1" x14ac:dyDescent="0.25">
      <c r="A1011" s="186">
        <f>SUMIFS(МКД!$A$6:$A$389,МКД!$D$6:$D$389,Таблица1[[#This Row],[2]])</f>
        <v>167</v>
      </c>
      <c r="B1011" s="194">
        <f>SUMIFS(Таблица1[6],Таблица1[2],Таблица1[[#This Row],[2]])+SUMIFS(Таблица1[7],Таблица1[2],Таблица1[[#This Row],[2]])</f>
        <v>814.10000000000014</v>
      </c>
      <c r="C1011" s="185" t="s">
        <v>697</v>
      </c>
      <c r="D1011" s="196"/>
      <c r="E1011" s="196"/>
      <c r="F1011" s="196"/>
      <c r="G1011" s="168"/>
      <c r="H1011" s="197"/>
      <c r="I1011" s="196"/>
      <c r="J1011" s="196"/>
      <c r="K1011" s="196"/>
      <c r="L1011" s="196"/>
      <c r="M1011" s="196"/>
      <c r="N1011" s="196"/>
      <c r="O1011" s="196"/>
      <c r="P1011" s="196"/>
      <c r="Q1011" s="196"/>
      <c r="R1011" s="196"/>
      <c r="S1011" s="196"/>
      <c r="T1011" s="196"/>
      <c r="U1011" s="196"/>
      <c r="V1011" s="198"/>
    </row>
    <row r="1012" spans="1:22" hidden="1" outlineLevel="2" x14ac:dyDescent="0.25">
      <c r="A1012" s="186">
        <f>SUMIFS(МКД!$A$6:$A$389,МКД!$D$6:$D$389,Таблица1[[#This Row],[2]])</f>
        <v>167</v>
      </c>
      <c r="B1012" s="170"/>
      <c r="C1012" s="182" t="s">
        <v>697</v>
      </c>
      <c r="D1012" s="167" t="s">
        <v>2499</v>
      </c>
      <c r="E1012" s="167" t="s">
        <v>2500</v>
      </c>
      <c r="F1012" s="167">
        <v>2</v>
      </c>
      <c r="G1012" s="168">
        <f>SUMIFS(Таблица1[[#This Row],[8]:[19]],$I$5:$T$5,"Выкуп")</f>
        <v>74.099999999999994</v>
      </c>
      <c r="H1012" s="168">
        <f>SUMIFS(Таблица1[[#This Row],[8]:[19]],$I$5:$T$5,"Аренда")</f>
        <v>0</v>
      </c>
      <c r="I1012" s="169">
        <v>74.099999999999994</v>
      </c>
      <c r="J1012" s="169"/>
      <c r="K1012" s="169"/>
      <c r="L1012" s="169"/>
      <c r="M1012" s="169"/>
      <c r="N1012" s="169"/>
      <c r="O1012" s="169"/>
      <c r="P1012" s="169"/>
      <c r="Q1012" s="169"/>
      <c r="R1012" s="169"/>
      <c r="S1012" s="169"/>
      <c r="T1012" s="169"/>
      <c r="U1012" s="170"/>
      <c r="V1012" s="171"/>
    </row>
    <row r="1013" spans="1:22" hidden="1" outlineLevel="2" x14ac:dyDescent="0.25">
      <c r="A1013" s="186">
        <f>SUMIFS(МКД!$A$6:$A$389,МКД!$D$6:$D$389,Таблица1[[#This Row],[2]])</f>
        <v>167</v>
      </c>
      <c r="B1013" s="168"/>
      <c r="C1013" s="182" t="s">
        <v>697</v>
      </c>
      <c r="D1013" s="167" t="s">
        <v>2645</v>
      </c>
      <c r="E1013" s="167" t="s">
        <v>1468</v>
      </c>
      <c r="F1013" s="167">
        <v>1</v>
      </c>
      <c r="G1013" s="168">
        <f>SUMIFS(Таблица1[[#This Row],[8]:[19]],$I$5:$T$5,"Выкуп")</f>
        <v>73.7</v>
      </c>
      <c r="H1013" s="168">
        <f>SUMIFS(Таблица1[[#This Row],[8]:[19]],$I$5:$T$5,"Аренда")</f>
        <v>0</v>
      </c>
      <c r="I1013" s="169">
        <v>73.7</v>
      </c>
      <c r="J1013" s="169"/>
      <c r="K1013" s="169"/>
      <c r="L1013" s="169"/>
      <c r="M1013" s="169"/>
      <c r="N1013" s="169"/>
      <c r="O1013" s="169"/>
      <c r="P1013" s="169"/>
      <c r="Q1013" s="169"/>
      <c r="R1013" s="169"/>
      <c r="S1013" s="169"/>
      <c r="T1013" s="169"/>
      <c r="U1013" s="170"/>
      <c r="V1013" s="171"/>
    </row>
    <row r="1014" spans="1:22" hidden="1" outlineLevel="2" x14ac:dyDescent="0.25">
      <c r="A1014" s="186">
        <f>SUMIFS(МКД!$A$6:$A$389,МКД!$D$6:$D$389,Таблица1[[#This Row],[2]])</f>
        <v>167</v>
      </c>
      <c r="B1014" s="168"/>
      <c r="C1014" s="182" t="s">
        <v>697</v>
      </c>
      <c r="D1014" s="167" t="s">
        <v>2646</v>
      </c>
      <c r="E1014" s="167" t="s">
        <v>1403</v>
      </c>
      <c r="F1014" s="167">
        <v>1.2</v>
      </c>
      <c r="G1014" s="168">
        <f>SUMIFS(Таблица1[[#This Row],[8]:[19]],$I$5:$T$5,"Выкуп")</f>
        <v>71.900000000000006</v>
      </c>
      <c r="H1014" s="168">
        <f>SUMIFS(Таблица1[[#This Row],[8]:[19]],$I$5:$T$5,"Аренда")</f>
        <v>0</v>
      </c>
      <c r="I1014" s="169">
        <v>71.900000000000006</v>
      </c>
      <c r="J1014" s="169"/>
      <c r="K1014" s="169"/>
      <c r="L1014" s="169"/>
      <c r="M1014" s="169"/>
      <c r="N1014" s="169"/>
      <c r="O1014" s="169"/>
      <c r="P1014" s="169"/>
      <c r="Q1014" s="169"/>
      <c r="R1014" s="169"/>
      <c r="S1014" s="169"/>
      <c r="T1014" s="169"/>
      <c r="U1014" s="170"/>
      <c r="V1014" s="171"/>
    </row>
    <row r="1015" spans="1:22" hidden="1" outlineLevel="2" x14ac:dyDescent="0.25">
      <c r="A1015" s="186">
        <f>SUMIFS(МКД!$A$6:$A$389,МКД!$D$6:$D$389,Таблица1[[#This Row],[2]])</f>
        <v>167</v>
      </c>
      <c r="B1015" s="168"/>
      <c r="C1015" s="182" t="s">
        <v>697</v>
      </c>
      <c r="D1015" s="167" t="s">
        <v>241</v>
      </c>
      <c r="E1015" s="167" t="s">
        <v>1404</v>
      </c>
      <c r="F1015" s="167">
        <v>1.2</v>
      </c>
      <c r="G1015" s="168">
        <f>SUMIFS(Таблица1[[#This Row],[8]:[19]],$I$5:$T$5,"Выкуп")</f>
        <v>72.7</v>
      </c>
      <c r="H1015" s="168">
        <f>SUMIFS(Таблица1[[#This Row],[8]:[19]],$I$5:$T$5,"Аренда")</f>
        <v>0</v>
      </c>
      <c r="I1015" s="169">
        <v>72.7</v>
      </c>
      <c r="J1015" s="169"/>
      <c r="K1015" s="169"/>
      <c r="L1015" s="169"/>
      <c r="M1015" s="169"/>
      <c r="N1015" s="169"/>
      <c r="O1015" s="169"/>
      <c r="P1015" s="169"/>
      <c r="Q1015" s="169"/>
      <c r="R1015" s="169"/>
      <c r="S1015" s="169"/>
      <c r="T1015" s="169"/>
      <c r="U1015" s="170"/>
      <c r="V1015" s="171"/>
    </row>
    <row r="1016" spans="1:22" hidden="1" outlineLevel="2" x14ac:dyDescent="0.25">
      <c r="A1016" s="186">
        <f>SUMIFS(МКД!$A$6:$A$389,МКД!$D$6:$D$389,Таблица1[[#This Row],[2]])</f>
        <v>167</v>
      </c>
      <c r="B1016" s="168"/>
      <c r="C1016" s="182" t="s">
        <v>697</v>
      </c>
      <c r="D1016" s="167" t="s">
        <v>2501</v>
      </c>
      <c r="E1016" s="167" t="s">
        <v>2259</v>
      </c>
      <c r="F1016" s="167">
        <v>1</v>
      </c>
      <c r="G1016" s="168">
        <f>SUMIFS(Таблица1[[#This Row],[8]:[19]],$I$5:$T$5,"Выкуп")</f>
        <v>75.599999999999994</v>
      </c>
      <c r="H1016" s="168">
        <f>SUMIFS(Таблица1[[#This Row],[8]:[19]],$I$5:$T$5,"Аренда")</f>
        <v>0</v>
      </c>
      <c r="I1016" s="169">
        <v>75.599999999999994</v>
      </c>
      <c r="J1016" s="169"/>
      <c r="K1016" s="169"/>
      <c r="L1016" s="169"/>
      <c r="M1016" s="169"/>
      <c r="N1016" s="169"/>
      <c r="O1016" s="169"/>
      <c r="P1016" s="169"/>
      <c r="Q1016" s="169"/>
      <c r="R1016" s="169"/>
      <c r="S1016" s="169"/>
      <c r="T1016" s="169"/>
      <c r="U1016" s="170"/>
      <c r="V1016" s="171"/>
    </row>
    <row r="1017" spans="1:22" hidden="1" outlineLevel="2" x14ac:dyDescent="0.25">
      <c r="A1017" s="186">
        <f>SUMIFS(МКД!$A$6:$A$389,МКД!$D$6:$D$389,Таблица1[[#This Row],[2]])</f>
        <v>167</v>
      </c>
      <c r="B1017" s="168"/>
      <c r="C1017" s="182" t="s">
        <v>697</v>
      </c>
      <c r="D1017" s="167" t="s">
        <v>1825</v>
      </c>
      <c r="E1017" s="167" t="s">
        <v>1823</v>
      </c>
      <c r="F1017" s="167">
        <v>1</v>
      </c>
      <c r="G1017" s="168">
        <f>SUMIFS(Таблица1[[#This Row],[8]:[19]],$I$5:$T$5,"Выкуп")</f>
        <v>26.6</v>
      </c>
      <c r="H1017" s="168">
        <f>SUMIFS(Таблица1[[#This Row],[8]:[19]],$I$5:$T$5,"Аренда")</f>
        <v>0</v>
      </c>
      <c r="I1017" s="169">
        <v>26.6</v>
      </c>
      <c r="J1017" s="169"/>
      <c r="K1017" s="169"/>
      <c r="L1017" s="169"/>
      <c r="M1017" s="169"/>
      <c r="N1017" s="169"/>
      <c r="O1017" s="169"/>
      <c r="P1017" s="169"/>
      <c r="Q1017" s="169"/>
      <c r="R1017" s="169"/>
      <c r="S1017" s="169"/>
      <c r="T1017" s="169"/>
      <c r="U1017" s="170"/>
      <c r="V1017" s="171"/>
    </row>
    <row r="1018" spans="1:22" hidden="1" outlineLevel="2" x14ac:dyDescent="0.25">
      <c r="A1018" s="186">
        <f>SUMIFS(МКД!$A$6:$A$389,МКД!$D$6:$D$389,Таблица1[[#This Row],[2]])</f>
        <v>167</v>
      </c>
      <c r="B1018" s="168"/>
      <c r="C1018" s="182" t="s">
        <v>697</v>
      </c>
      <c r="D1018" s="167" t="s">
        <v>1824</v>
      </c>
      <c r="E1018" s="167" t="s">
        <v>1823</v>
      </c>
      <c r="F1018" s="167">
        <v>1</v>
      </c>
      <c r="G1018" s="168">
        <f>SUMIFS(Таблица1[[#This Row],[8]:[19]],$I$5:$T$5,"Выкуп")</f>
        <v>26.6</v>
      </c>
      <c r="H1018" s="168">
        <f>SUMIFS(Таблица1[[#This Row],[8]:[19]],$I$5:$T$5,"Аренда")</f>
        <v>0</v>
      </c>
      <c r="I1018" s="169">
        <v>26.6</v>
      </c>
      <c r="J1018" s="169"/>
      <c r="K1018" s="169"/>
      <c r="L1018" s="169"/>
      <c r="M1018" s="169"/>
      <c r="N1018" s="169"/>
      <c r="O1018" s="169"/>
      <c r="P1018" s="169"/>
      <c r="Q1018" s="169"/>
      <c r="R1018" s="169"/>
      <c r="S1018" s="169"/>
      <c r="T1018" s="169"/>
      <c r="U1018" s="170"/>
      <c r="V1018" s="171"/>
    </row>
    <row r="1019" spans="1:22" hidden="1" outlineLevel="2" x14ac:dyDescent="0.25">
      <c r="A1019" s="186">
        <f>SUMIFS(МКД!$A$6:$A$389,МКД!$D$6:$D$389,Таблица1[[#This Row],[2]])</f>
        <v>167</v>
      </c>
      <c r="B1019" s="168"/>
      <c r="C1019" s="182" t="s">
        <v>697</v>
      </c>
      <c r="D1019" s="167" t="s">
        <v>2502</v>
      </c>
      <c r="E1019" s="167" t="s">
        <v>2121</v>
      </c>
      <c r="F1019" s="167">
        <v>1</v>
      </c>
      <c r="G1019" s="168">
        <f>SUMIFS(Таблица1[[#This Row],[8]:[19]],$I$5:$T$5,"Выкуп")</f>
        <v>75.3</v>
      </c>
      <c r="H1019" s="168">
        <f>SUMIFS(Таблица1[[#This Row],[8]:[19]],$I$5:$T$5,"Аренда")</f>
        <v>0</v>
      </c>
      <c r="I1019" s="169">
        <v>75.3</v>
      </c>
      <c r="J1019" s="169"/>
      <c r="K1019" s="169"/>
      <c r="L1019" s="169"/>
      <c r="M1019" s="169"/>
      <c r="N1019" s="169"/>
      <c r="O1019" s="169"/>
      <c r="P1019" s="169"/>
      <c r="Q1019" s="169"/>
      <c r="R1019" s="169"/>
      <c r="S1019" s="169"/>
      <c r="T1019" s="169"/>
      <c r="U1019" s="170"/>
      <c r="V1019" s="171"/>
    </row>
    <row r="1020" spans="1:22" hidden="1" outlineLevel="2" x14ac:dyDescent="0.25">
      <c r="A1020" s="186">
        <f>SUMIFS(МКД!$A$6:$A$389,МКД!$D$6:$D$389,Таблица1[[#This Row],[2]])</f>
        <v>167</v>
      </c>
      <c r="B1020" s="168"/>
      <c r="C1020" s="182" t="s">
        <v>697</v>
      </c>
      <c r="D1020" s="167" t="s">
        <v>2503</v>
      </c>
      <c r="E1020" s="167" t="s">
        <v>905</v>
      </c>
      <c r="F1020" s="167">
        <v>1</v>
      </c>
      <c r="G1020" s="168">
        <f>SUMIFS(Таблица1[[#This Row],[8]:[19]],$I$5:$T$5,"Выкуп")</f>
        <v>52.6</v>
      </c>
      <c r="H1020" s="168">
        <f>SUMIFS(Таблица1[[#This Row],[8]:[19]],$I$5:$T$5,"Аренда")</f>
        <v>0</v>
      </c>
      <c r="I1020" s="169">
        <v>52.6</v>
      </c>
      <c r="J1020" s="169"/>
      <c r="K1020" s="169"/>
      <c r="L1020" s="169"/>
      <c r="M1020" s="169"/>
      <c r="N1020" s="169"/>
      <c r="O1020" s="169"/>
      <c r="P1020" s="169"/>
      <c r="Q1020" s="169"/>
      <c r="R1020" s="169"/>
      <c r="S1020" s="169"/>
      <c r="T1020" s="169"/>
      <c r="U1020" s="170"/>
      <c r="V1020" s="171"/>
    </row>
    <row r="1021" spans="1:22" hidden="1" outlineLevel="2" x14ac:dyDescent="0.25">
      <c r="A1021" s="186">
        <f>SUMIFS(МКД!$A$6:$A$389,МКД!$D$6:$D$389,Таблица1[[#This Row],[2]])</f>
        <v>167</v>
      </c>
      <c r="B1021" s="168"/>
      <c r="C1021" s="182" t="s">
        <v>697</v>
      </c>
      <c r="D1021" s="167" t="s">
        <v>242</v>
      </c>
      <c r="E1021" s="167" t="s">
        <v>900</v>
      </c>
      <c r="F1021" s="167">
        <v>1</v>
      </c>
      <c r="G1021" s="168">
        <f>SUMIFS(Таблица1[[#This Row],[8]:[19]],$I$5:$T$5,"Выкуп")</f>
        <v>52.1</v>
      </c>
      <c r="H1021" s="168">
        <f>SUMIFS(Таблица1[[#This Row],[8]:[19]],$I$5:$T$5,"Аренда")</f>
        <v>0</v>
      </c>
      <c r="I1021" s="169">
        <v>52.1</v>
      </c>
      <c r="J1021" s="169"/>
      <c r="K1021" s="169"/>
      <c r="L1021" s="169"/>
      <c r="M1021" s="169"/>
      <c r="N1021" s="169"/>
      <c r="O1021" s="169"/>
      <c r="P1021" s="169"/>
      <c r="Q1021" s="169"/>
      <c r="R1021" s="169"/>
      <c r="S1021" s="169"/>
      <c r="T1021" s="169"/>
      <c r="U1021" s="170"/>
      <c r="V1021" s="171"/>
    </row>
    <row r="1022" spans="1:22" hidden="1" outlineLevel="2" x14ac:dyDescent="0.25">
      <c r="A1022" s="186">
        <f>SUMIFS(МКД!$A$6:$A$389,МКД!$D$6:$D$389,Таблица1[[#This Row],[2]])</f>
        <v>167</v>
      </c>
      <c r="B1022" s="168"/>
      <c r="C1022" s="182" t="s">
        <v>697</v>
      </c>
      <c r="D1022" s="167" t="s">
        <v>241</v>
      </c>
      <c r="E1022" s="167" t="s">
        <v>2674</v>
      </c>
      <c r="F1022" s="167">
        <v>2</v>
      </c>
      <c r="G1022" s="168">
        <f>SUMIFS(Таблица1[[#This Row],[8]:[19]],$I$5:$T$5,"Выкуп")</f>
        <v>161.69999999999999</v>
      </c>
      <c r="H1022" s="168">
        <f>SUMIFS(Таблица1[[#This Row],[8]:[19]],$I$5:$T$5,"Аренда")</f>
        <v>0</v>
      </c>
      <c r="I1022" s="169">
        <v>161.69999999999999</v>
      </c>
      <c r="J1022" s="169"/>
      <c r="K1022" s="169"/>
      <c r="L1022" s="169"/>
      <c r="M1022" s="169"/>
      <c r="N1022" s="169"/>
      <c r="O1022" s="169"/>
      <c r="P1022" s="169"/>
      <c r="Q1022" s="169"/>
      <c r="R1022" s="169"/>
      <c r="S1022" s="169"/>
      <c r="T1022" s="169"/>
      <c r="U1022" s="170"/>
      <c r="V1022" s="171"/>
    </row>
    <row r="1023" spans="1:22" hidden="1" outlineLevel="2" x14ac:dyDescent="0.25">
      <c r="A1023" s="186">
        <f>SUMIFS(МКД!$A$6:$A$389,МКД!$D$6:$D$389,Таблица1[[#This Row],[2]])</f>
        <v>167</v>
      </c>
      <c r="B1023" s="168"/>
      <c r="C1023" s="182" t="s">
        <v>697</v>
      </c>
      <c r="D1023" s="167" t="s">
        <v>3</v>
      </c>
      <c r="E1023" s="167" t="s">
        <v>1389</v>
      </c>
      <c r="F1023" s="167">
        <v>1</v>
      </c>
      <c r="G1023" s="168">
        <f>SUMIFS(Таблица1[[#This Row],[8]:[19]],$I$5:$T$5,"Выкуп")</f>
        <v>51.2</v>
      </c>
      <c r="H1023" s="168">
        <f>SUMIFS(Таблица1[[#This Row],[8]:[19]],$I$5:$T$5,"Аренда")</f>
        <v>0</v>
      </c>
      <c r="I1023" s="169">
        <v>51.2</v>
      </c>
      <c r="J1023" s="169"/>
      <c r="K1023" s="169"/>
      <c r="L1023" s="169"/>
      <c r="M1023" s="169"/>
      <c r="N1023" s="169"/>
      <c r="O1023" s="169"/>
      <c r="P1023" s="169"/>
      <c r="Q1023" s="169"/>
      <c r="R1023" s="169"/>
      <c r="S1023" s="169"/>
      <c r="T1023" s="169"/>
      <c r="U1023" s="170"/>
      <c r="V1023" s="171"/>
    </row>
    <row r="1024" spans="1:22" ht="15" outlineLevel="1" collapsed="1" x14ac:dyDescent="0.25">
      <c r="A1024" s="186">
        <f>SUMIFS(МКД!$A$6:$A$389,МКД!$D$6:$D$389,Таблица1[[#This Row],[2]])</f>
        <v>168</v>
      </c>
      <c r="B1024" s="194">
        <f>SUMIFS(Таблица1[6],Таблица1[2],Таблица1[[#This Row],[2]])+SUMIFS(Таблица1[7],Таблица1[2],Таблица1[[#This Row],[2]])</f>
        <v>0</v>
      </c>
      <c r="C1024" s="185" t="s">
        <v>698</v>
      </c>
      <c r="D1024" s="196"/>
      <c r="E1024" s="196"/>
      <c r="F1024" s="196"/>
      <c r="G1024" s="168"/>
      <c r="H1024" s="197"/>
      <c r="I1024" s="196"/>
      <c r="J1024" s="196"/>
      <c r="K1024" s="196"/>
      <c r="L1024" s="196"/>
      <c r="M1024" s="196"/>
      <c r="N1024" s="196"/>
      <c r="O1024" s="196"/>
      <c r="P1024" s="196"/>
      <c r="Q1024" s="196"/>
      <c r="R1024" s="196"/>
      <c r="S1024" s="196"/>
      <c r="T1024" s="196"/>
      <c r="U1024" s="196"/>
      <c r="V1024" s="198"/>
    </row>
    <row r="1025" spans="1:22" ht="15" hidden="1" outlineLevel="2" x14ac:dyDescent="0.25">
      <c r="A1025" s="186">
        <f>SUMIFS(МКД!$A$6:$A$389,МКД!$D$6:$D$389,Таблица1[[#This Row],[2]])</f>
        <v>168</v>
      </c>
      <c r="B1025" s="196"/>
      <c r="C1025" s="182" t="s">
        <v>698</v>
      </c>
      <c r="D1025" s="196"/>
      <c r="E1025" s="196"/>
      <c r="F1025" s="196"/>
      <c r="G1025" s="168">
        <f>SUMIFS(Таблица1[[#This Row],[8]:[19]],$I$5:$T$5,"Выкуп")</f>
        <v>0</v>
      </c>
      <c r="H1025" s="168">
        <f>SUMIFS(Таблица1[[#This Row],[8]:[19]],$I$5:$T$5,"Аренда")</f>
        <v>0</v>
      </c>
      <c r="I1025" s="196"/>
      <c r="J1025" s="196"/>
      <c r="K1025" s="196"/>
      <c r="L1025" s="196"/>
      <c r="M1025" s="196"/>
      <c r="N1025" s="196"/>
      <c r="O1025" s="196"/>
      <c r="P1025" s="196"/>
      <c r="Q1025" s="196"/>
      <c r="R1025" s="196"/>
      <c r="S1025" s="196"/>
      <c r="T1025" s="196"/>
      <c r="U1025" s="196"/>
      <c r="V1025" s="198"/>
    </row>
    <row r="1026" spans="1:22" ht="15" outlineLevel="1" collapsed="1" x14ac:dyDescent="0.25">
      <c r="A1026" s="186">
        <f>SUMIFS(МКД!$A$6:$A$389,МКД!$D$6:$D$389,Таблица1[[#This Row],[2]])</f>
        <v>169</v>
      </c>
      <c r="B1026" s="194">
        <f>SUMIFS(Таблица1[6],Таблица1[2],Таблица1[[#This Row],[2]])+SUMIFS(Таблица1[7],Таблица1[2],Таблица1[[#This Row],[2]])</f>
        <v>1248.4000000000001</v>
      </c>
      <c r="C1026" s="185" t="s">
        <v>464</v>
      </c>
      <c r="D1026" s="196"/>
      <c r="E1026" s="196"/>
      <c r="F1026" s="196"/>
      <c r="G1026" s="168"/>
      <c r="H1026" s="197"/>
      <c r="I1026" s="196"/>
      <c r="J1026" s="196"/>
      <c r="K1026" s="196"/>
      <c r="L1026" s="196"/>
      <c r="M1026" s="196"/>
      <c r="N1026" s="196"/>
      <c r="O1026" s="196"/>
      <c r="P1026" s="196"/>
      <c r="Q1026" s="196"/>
      <c r="R1026" s="196"/>
      <c r="S1026" s="196"/>
      <c r="T1026" s="196"/>
      <c r="U1026" s="196"/>
      <c r="V1026" s="198"/>
    </row>
    <row r="1027" spans="1:22" hidden="1" outlineLevel="2" x14ac:dyDescent="0.25">
      <c r="A1027" s="186">
        <f>SUMIFS(МКД!$A$6:$A$389,МКД!$D$6:$D$389,Таблица1[[#This Row],[2]])</f>
        <v>169</v>
      </c>
      <c r="B1027" s="170"/>
      <c r="C1027" s="182" t="s">
        <v>464</v>
      </c>
      <c r="D1027" s="167" t="s">
        <v>2201</v>
      </c>
      <c r="E1027" s="167" t="s">
        <v>892</v>
      </c>
      <c r="F1027" s="167">
        <v>1</v>
      </c>
      <c r="G1027" s="168">
        <f>SUMIFS(Таблица1[[#This Row],[8]:[19]],$I$5:$T$5,"Выкуп")</f>
        <v>104.9</v>
      </c>
      <c r="H1027" s="168">
        <f>SUMIFS(Таблица1[[#This Row],[8]:[19]],$I$5:$T$5,"Аренда")</f>
        <v>0</v>
      </c>
      <c r="I1027" s="169">
        <v>104.9</v>
      </c>
      <c r="J1027" s="169"/>
      <c r="K1027" s="169"/>
      <c r="L1027" s="169"/>
      <c r="M1027" s="169"/>
      <c r="N1027" s="169"/>
      <c r="O1027" s="169"/>
      <c r="P1027" s="169"/>
      <c r="Q1027" s="169"/>
      <c r="R1027" s="169"/>
      <c r="S1027" s="169"/>
      <c r="T1027" s="169"/>
      <c r="U1027" s="170"/>
      <c r="V1027" s="171"/>
    </row>
    <row r="1028" spans="1:22" hidden="1" outlineLevel="2" x14ac:dyDescent="0.25">
      <c r="A1028" s="186">
        <f>SUMIFS(МКД!$A$6:$A$389,МКД!$D$6:$D$389,Таблица1[[#This Row],[2]])</f>
        <v>169</v>
      </c>
      <c r="B1028" s="168"/>
      <c r="C1028" s="182" t="s">
        <v>464</v>
      </c>
      <c r="D1028" s="167" t="s">
        <v>1597</v>
      </c>
      <c r="E1028" s="167" t="s">
        <v>1598</v>
      </c>
      <c r="F1028" s="167">
        <v>1</v>
      </c>
      <c r="G1028" s="168">
        <f>SUMIFS(Таблица1[[#This Row],[8]:[19]],$I$5:$T$5,"Выкуп")</f>
        <v>159.69999999999999</v>
      </c>
      <c r="H1028" s="168">
        <f>SUMIFS(Таблица1[[#This Row],[8]:[19]],$I$5:$T$5,"Аренда")</f>
        <v>0</v>
      </c>
      <c r="I1028" s="169">
        <v>159.69999999999999</v>
      </c>
      <c r="J1028" s="169"/>
      <c r="K1028" s="169"/>
      <c r="L1028" s="169"/>
      <c r="M1028" s="169"/>
      <c r="N1028" s="169"/>
      <c r="O1028" s="167"/>
      <c r="P1028" s="169">
        <v>0</v>
      </c>
      <c r="Q1028" s="169"/>
      <c r="R1028" s="169"/>
      <c r="S1028" s="169"/>
      <c r="T1028" s="169"/>
      <c r="U1028" s="170"/>
      <c r="V1028" s="171"/>
    </row>
    <row r="1029" spans="1:22" hidden="1" outlineLevel="2" x14ac:dyDescent="0.25">
      <c r="A1029" s="186">
        <f>SUMIFS(МКД!$A$6:$A$389,МКД!$D$6:$D$389,Таблица1[[#This Row],[2]])</f>
        <v>169</v>
      </c>
      <c r="B1029" s="168"/>
      <c r="C1029" s="182" t="s">
        <v>464</v>
      </c>
      <c r="D1029" s="167" t="s">
        <v>1597</v>
      </c>
      <c r="E1029" s="167" t="s">
        <v>2202</v>
      </c>
      <c r="F1029" s="167">
        <v>1</v>
      </c>
      <c r="G1029" s="168">
        <f>SUMIFS(Таблица1[[#This Row],[8]:[19]],$I$5:$T$5,"Выкуп")</f>
        <v>0</v>
      </c>
      <c r="H1029" s="168">
        <f>SUMIFS(Таблица1[[#This Row],[8]:[19]],$I$5:$T$5,"Аренда")</f>
        <v>15.3</v>
      </c>
      <c r="I1029" s="169">
        <v>0</v>
      </c>
      <c r="J1029" s="169"/>
      <c r="K1029" s="169"/>
      <c r="L1029" s="169"/>
      <c r="M1029" s="169"/>
      <c r="N1029" s="169"/>
      <c r="O1029" s="167"/>
      <c r="P1029" s="169">
        <v>15.3</v>
      </c>
      <c r="Q1029" s="169"/>
      <c r="R1029" s="169"/>
      <c r="S1029" s="169"/>
      <c r="T1029" s="169"/>
      <c r="U1029" s="170"/>
      <c r="V1029" s="171"/>
    </row>
    <row r="1030" spans="1:22" hidden="1" outlineLevel="2" x14ac:dyDescent="0.25">
      <c r="A1030" s="186">
        <f>SUMIFS(МКД!$A$6:$A$389,МКД!$D$6:$D$389,Таблица1[[#This Row],[2]])</f>
        <v>169</v>
      </c>
      <c r="B1030" s="168"/>
      <c r="C1030" s="182" t="s">
        <v>464</v>
      </c>
      <c r="D1030" s="167" t="s">
        <v>252</v>
      </c>
      <c r="E1030" s="167" t="s">
        <v>1284</v>
      </c>
      <c r="F1030" s="167">
        <v>1</v>
      </c>
      <c r="G1030" s="168">
        <f>SUMIFS(Таблица1[[#This Row],[8]:[19]],$I$5:$T$5,"Выкуп")</f>
        <v>85</v>
      </c>
      <c r="H1030" s="168">
        <f>SUMIFS(Таблица1[[#This Row],[8]:[19]],$I$5:$T$5,"Аренда")</f>
        <v>0</v>
      </c>
      <c r="I1030" s="169">
        <v>85</v>
      </c>
      <c r="J1030" s="169"/>
      <c r="K1030" s="169"/>
      <c r="L1030" s="169"/>
      <c r="M1030" s="169"/>
      <c r="N1030" s="169"/>
      <c r="O1030" s="169"/>
      <c r="P1030" s="169"/>
      <c r="Q1030" s="169"/>
      <c r="R1030" s="169"/>
      <c r="S1030" s="169"/>
      <c r="T1030" s="169"/>
      <c r="U1030" s="170"/>
      <c r="V1030" s="171"/>
    </row>
    <row r="1031" spans="1:22" hidden="1" outlineLevel="2" x14ac:dyDescent="0.25">
      <c r="A1031" s="186">
        <f>SUMIFS(МКД!$A$6:$A$389,МКД!$D$6:$D$389,Таблица1[[#This Row],[2]])</f>
        <v>169</v>
      </c>
      <c r="B1031" s="168"/>
      <c r="C1031" s="182" t="s">
        <v>464</v>
      </c>
      <c r="D1031" s="167" t="s">
        <v>1670</v>
      </c>
      <c r="E1031" s="167" t="s">
        <v>1671</v>
      </c>
      <c r="F1031" s="167">
        <v>1</v>
      </c>
      <c r="G1031" s="168">
        <f>SUMIFS(Таблица1[[#This Row],[8]:[19]],$I$5:$T$5,"Выкуп")</f>
        <v>39.9</v>
      </c>
      <c r="H1031" s="168">
        <f>SUMIFS(Таблица1[[#This Row],[8]:[19]],$I$5:$T$5,"Аренда")</f>
        <v>0</v>
      </c>
      <c r="I1031" s="169">
        <v>39.9</v>
      </c>
      <c r="J1031" s="169"/>
      <c r="K1031" s="169"/>
      <c r="L1031" s="169"/>
      <c r="M1031" s="169"/>
      <c r="N1031" s="169"/>
      <c r="O1031" s="169"/>
      <c r="P1031" s="169"/>
      <c r="Q1031" s="169"/>
      <c r="R1031" s="169"/>
      <c r="S1031" s="169"/>
      <c r="T1031" s="169"/>
      <c r="U1031" s="170"/>
      <c r="V1031" s="171"/>
    </row>
    <row r="1032" spans="1:22" hidden="1" outlineLevel="2" x14ac:dyDescent="0.25">
      <c r="A1032" s="186">
        <f>SUMIFS(МКД!$A$6:$A$389,МКД!$D$6:$D$389,Таблица1[[#This Row],[2]])</f>
        <v>169</v>
      </c>
      <c r="B1032" s="168"/>
      <c r="C1032" s="182" t="s">
        <v>464</v>
      </c>
      <c r="D1032" s="167" t="s">
        <v>244</v>
      </c>
      <c r="E1032" s="167" t="s">
        <v>2203</v>
      </c>
      <c r="F1032" s="167">
        <v>1</v>
      </c>
      <c r="G1032" s="168">
        <f>SUMIFS(Таблица1[[#This Row],[8]:[19]],$I$5:$T$5,"Выкуп")</f>
        <v>74.099999999999994</v>
      </c>
      <c r="H1032" s="168">
        <f>SUMIFS(Таблица1[[#This Row],[8]:[19]],$I$5:$T$5,"Аренда")</f>
        <v>0</v>
      </c>
      <c r="I1032" s="169">
        <v>74.099999999999994</v>
      </c>
      <c r="J1032" s="169"/>
      <c r="K1032" s="169"/>
      <c r="L1032" s="169"/>
      <c r="M1032" s="169"/>
      <c r="N1032" s="169"/>
      <c r="O1032" s="169"/>
      <c r="P1032" s="169"/>
      <c r="Q1032" s="169"/>
      <c r="R1032" s="169"/>
      <c r="S1032" s="169"/>
      <c r="T1032" s="169"/>
      <c r="U1032" s="170"/>
      <c r="V1032" s="171"/>
    </row>
    <row r="1033" spans="1:22" hidden="1" outlineLevel="2" x14ac:dyDescent="0.25">
      <c r="A1033" s="186">
        <f>SUMIFS(МКД!$A$6:$A$389,МКД!$D$6:$D$389,Таблица1[[#This Row],[2]])</f>
        <v>169</v>
      </c>
      <c r="B1033" s="168"/>
      <c r="C1033" s="182" t="s">
        <v>464</v>
      </c>
      <c r="D1033" s="167" t="s">
        <v>245</v>
      </c>
      <c r="E1033" s="167" t="s">
        <v>2204</v>
      </c>
      <c r="F1033" s="167">
        <v>1</v>
      </c>
      <c r="G1033" s="168">
        <f>SUMIFS(Таблица1[[#This Row],[8]:[19]],$I$5:$T$5,"Выкуп")</f>
        <v>168.1</v>
      </c>
      <c r="H1033" s="168">
        <f>SUMIFS(Таблица1[[#This Row],[8]:[19]],$I$5:$T$5,"Аренда")</f>
        <v>0</v>
      </c>
      <c r="I1033" s="169">
        <v>168.1</v>
      </c>
      <c r="J1033" s="169"/>
      <c r="K1033" s="169"/>
      <c r="L1033" s="169"/>
      <c r="M1033" s="169"/>
      <c r="N1033" s="169"/>
      <c r="O1033" s="169"/>
      <c r="P1033" s="169"/>
      <c r="Q1033" s="169"/>
      <c r="R1033" s="169"/>
      <c r="S1033" s="169"/>
      <c r="T1033" s="169"/>
      <c r="U1033" s="170"/>
      <c r="V1033" s="171"/>
    </row>
    <row r="1034" spans="1:22" hidden="1" outlineLevel="2" x14ac:dyDescent="0.25">
      <c r="A1034" s="186">
        <f>SUMIFS(МКД!$A$6:$A$389,МКД!$D$6:$D$389,Таблица1[[#This Row],[2]])</f>
        <v>169</v>
      </c>
      <c r="B1034" s="168"/>
      <c r="C1034" s="182" t="s">
        <v>464</v>
      </c>
      <c r="D1034" s="167" t="s">
        <v>246</v>
      </c>
      <c r="E1034" s="167" t="s">
        <v>741</v>
      </c>
      <c r="F1034" s="167">
        <v>1</v>
      </c>
      <c r="G1034" s="168">
        <f>SUMIFS(Таблица1[[#This Row],[8]:[19]],$I$5:$T$5,"Выкуп")</f>
        <v>122.1</v>
      </c>
      <c r="H1034" s="168">
        <f>SUMIFS(Таблица1[[#This Row],[8]:[19]],$I$5:$T$5,"Аренда")</f>
        <v>0</v>
      </c>
      <c r="I1034" s="169">
        <v>122.1</v>
      </c>
      <c r="J1034" s="169"/>
      <c r="K1034" s="169"/>
      <c r="L1034" s="169"/>
      <c r="M1034" s="169"/>
      <c r="N1034" s="169"/>
      <c r="O1034" s="169"/>
      <c r="P1034" s="169"/>
      <c r="Q1034" s="169"/>
      <c r="R1034" s="169"/>
      <c r="S1034" s="169"/>
      <c r="T1034" s="169"/>
      <c r="U1034" s="170"/>
      <c r="V1034" s="171"/>
    </row>
    <row r="1035" spans="1:22" hidden="1" outlineLevel="2" x14ac:dyDescent="0.25">
      <c r="A1035" s="186">
        <f>SUMIFS(МКД!$A$6:$A$389,МКД!$D$6:$D$389,Таблица1[[#This Row],[2]])</f>
        <v>169</v>
      </c>
      <c r="B1035" s="168"/>
      <c r="C1035" s="182" t="s">
        <v>464</v>
      </c>
      <c r="D1035" s="167" t="s">
        <v>1673</v>
      </c>
      <c r="E1035" s="167" t="s">
        <v>1672</v>
      </c>
      <c r="F1035" s="167">
        <v>1</v>
      </c>
      <c r="G1035" s="168">
        <f>SUMIFS(Таблица1[[#This Row],[8]:[19]],$I$5:$T$5,"Выкуп")</f>
        <v>74</v>
      </c>
      <c r="H1035" s="168">
        <f>SUMIFS(Таблица1[[#This Row],[8]:[19]],$I$5:$T$5,"Аренда")</f>
        <v>0</v>
      </c>
      <c r="I1035" s="169">
        <v>74</v>
      </c>
      <c r="J1035" s="169"/>
      <c r="K1035" s="169"/>
      <c r="L1035" s="169"/>
      <c r="M1035" s="169"/>
      <c r="N1035" s="169"/>
      <c r="O1035" s="169"/>
      <c r="P1035" s="169"/>
      <c r="Q1035" s="169"/>
      <c r="R1035" s="169"/>
      <c r="S1035" s="169"/>
      <c r="T1035" s="169"/>
      <c r="U1035" s="170"/>
      <c r="V1035" s="171"/>
    </row>
    <row r="1036" spans="1:22" hidden="1" outlineLevel="2" x14ac:dyDescent="0.25">
      <c r="A1036" s="186">
        <f>SUMIFS(МКД!$A$6:$A$389,МКД!$D$6:$D$389,Таблица1[[#This Row],[2]])</f>
        <v>169</v>
      </c>
      <c r="B1036" s="168"/>
      <c r="C1036" s="182" t="s">
        <v>464</v>
      </c>
      <c r="D1036" s="167" t="s">
        <v>136</v>
      </c>
      <c r="E1036" s="167" t="s">
        <v>2205</v>
      </c>
      <c r="F1036" s="167">
        <v>1</v>
      </c>
      <c r="G1036" s="168">
        <f>SUMIFS(Таблица1[[#This Row],[8]:[19]],$I$5:$T$5,"Выкуп")</f>
        <v>0</v>
      </c>
      <c r="H1036" s="168">
        <f>SUMIFS(Таблица1[[#This Row],[8]:[19]],$I$5:$T$5,"Аренда")</f>
        <v>14</v>
      </c>
      <c r="I1036" s="169"/>
      <c r="J1036" s="169"/>
      <c r="K1036" s="169"/>
      <c r="L1036" s="169"/>
      <c r="M1036" s="169"/>
      <c r="N1036" s="169"/>
      <c r="O1036" s="167"/>
      <c r="P1036" s="169">
        <v>14</v>
      </c>
      <c r="Q1036" s="169"/>
      <c r="R1036" s="169"/>
      <c r="S1036" s="169"/>
      <c r="T1036" s="169"/>
      <c r="U1036" s="170"/>
      <c r="V1036" s="171"/>
    </row>
    <row r="1037" spans="1:22" hidden="1" outlineLevel="2" x14ac:dyDescent="0.25">
      <c r="A1037" s="186">
        <f>SUMIFS(МКД!$A$6:$A$389,МКД!$D$6:$D$389,Таблица1[[#This Row],[2]])</f>
        <v>169</v>
      </c>
      <c r="B1037" s="168"/>
      <c r="C1037" s="182" t="s">
        <v>464</v>
      </c>
      <c r="D1037" s="167" t="s">
        <v>2586</v>
      </c>
      <c r="E1037" s="167" t="s">
        <v>2206</v>
      </c>
      <c r="F1037" s="167">
        <v>1</v>
      </c>
      <c r="G1037" s="168">
        <f>SUMIFS(Таблица1[[#This Row],[8]:[19]],$I$5:$T$5,"Выкуп")</f>
        <v>0</v>
      </c>
      <c r="H1037" s="168">
        <f>SUMIFS(Таблица1[[#This Row],[8]:[19]],$I$5:$T$5,"Аренда")</f>
        <v>13.3</v>
      </c>
      <c r="I1037" s="169"/>
      <c r="J1037" s="169"/>
      <c r="K1037" s="169"/>
      <c r="L1037" s="169"/>
      <c r="M1037" s="169"/>
      <c r="N1037" s="169"/>
      <c r="O1037" s="167"/>
      <c r="P1037" s="169">
        <v>13.3</v>
      </c>
      <c r="Q1037" s="169"/>
      <c r="R1037" s="169"/>
      <c r="S1037" s="169"/>
      <c r="T1037" s="169"/>
      <c r="U1037" s="170"/>
      <c r="V1037" s="171"/>
    </row>
    <row r="1038" spans="1:22" hidden="1" outlineLevel="2" x14ac:dyDescent="0.25">
      <c r="A1038" s="186">
        <f>SUMIFS(МКД!$A$6:$A$389,МКД!$D$6:$D$389,Таблица1[[#This Row],[2]])</f>
        <v>169</v>
      </c>
      <c r="B1038" s="168"/>
      <c r="C1038" s="182" t="s">
        <v>464</v>
      </c>
      <c r="D1038" s="167" t="s">
        <v>2011</v>
      </c>
      <c r="E1038" s="167" t="s">
        <v>2010</v>
      </c>
      <c r="F1038" s="167">
        <v>1</v>
      </c>
      <c r="G1038" s="168">
        <f>SUMIFS(Таблица1[[#This Row],[8]:[19]],$I$5:$T$5,"Выкуп")</f>
        <v>78</v>
      </c>
      <c r="H1038" s="168">
        <f>SUMIFS(Таблица1[[#This Row],[8]:[19]],$I$5:$T$5,"Аренда")</f>
        <v>0</v>
      </c>
      <c r="I1038" s="169">
        <v>78</v>
      </c>
      <c r="J1038" s="169"/>
      <c r="K1038" s="169"/>
      <c r="L1038" s="169"/>
      <c r="M1038" s="169"/>
      <c r="N1038" s="169"/>
      <c r="O1038" s="169"/>
      <c r="P1038" s="169"/>
      <c r="Q1038" s="169"/>
      <c r="R1038" s="169"/>
      <c r="S1038" s="169"/>
      <c r="T1038" s="169"/>
      <c r="U1038" s="170"/>
      <c r="V1038" s="171"/>
    </row>
    <row r="1039" spans="1:22" hidden="1" outlineLevel="2" x14ac:dyDescent="0.25">
      <c r="A1039" s="186">
        <f>SUMIFS(МКД!$A$6:$A$389,МКД!$D$6:$D$389,Таблица1[[#This Row],[2]])</f>
        <v>169</v>
      </c>
      <c r="B1039" s="168"/>
      <c r="C1039" s="182" t="s">
        <v>464</v>
      </c>
      <c r="D1039" s="167" t="s">
        <v>1053</v>
      </c>
      <c r="E1039" s="167" t="s">
        <v>2752</v>
      </c>
      <c r="F1039" s="167">
        <v>1</v>
      </c>
      <c r="G1039" s="320">
        <f>SUMIFS(Таблица1[[#This Row],[8]:[19]],$I$5:$T$5,"Выкуп")</f>
        <v>300</v>
      </c>
      <c r="H1039" s="168">
        <f>SUMIFS(Таблица1[[#This Row],[8]:[19]],$I$5:$T$5,"Аренда")</f>
        <v>0</v>
      </c>
      <c r="I1039" s="169"/>
      <c r="J1039" s="169"/>
      <c r="K1039" s="169"/>
      <c r="L1039" s="169"/>
      <c r="M1039" s="278">
        <v>300</v>
      </c>
      <c r="N1039" s="169"/>
      <c r="O1039" s="169"/>
      <c r="P1039" s="169"/>
      <c r="Q1039" s="169"/>
      <c r="R1039" s="169"/>
      <c r="S1039" s="169"/>
      <c r="T1039" s="169"/>
      <c r="U1039" s="170"/>
      <c r="V1039" s="171"/>
    </row>
    <row r="1040" spans="1:22" ht="15" outlineLevel="1" collapsed="1" x14ac:dyDescent="0.25">
      <c r="A1040" s="186">
        <f>SUMIFS(МКД!$A$6:$A$389,МКД!$D$6:$D$389,Таблица1[[#This Row],[2]])</f>
        <v>170</v>
      </c>
      <c r="B1040" s="194">
        <f>SUMIFS(Таблица1[6],Таблица1[2],Таблица1[[#This Row],[2]])+SUMIFS(Таблица1[7],Таблица1[2],Таблица1[[#This Row],[2]])</f>
        <v>653.5</v>
      </c>
      <c r="C1040" s="185" t="s">
        <v>465</v>
      </c>
      <c r="D1040" s="196"/>
      <c r="E1040" s="196"/>
      <c r="F1040" s="196"/>
      <c r="G1040" s="168"/>
      <c r="H1040" s="197"/>
      <c r="I1040" s="196"/>
      <c r="J1040" s="196"/>
      <c r="K1040" s="196"/>
      <c r="L1040" s="196"/>
      <c r="M1040" s="196"/>
      <c r="N1040" s="196"/>
      <c r="O1040" s="196"/>
      <c r="P1040" s="196"/>
      <c r="Q1040" s="196"/>
      <c r="R1040" s="196"/>
      <c r="S1040" s="196"/>
      <c r="T1040" s="196"/>
      <c r="U1040" s="196"/>
      <c r="V1040" s="198"/>
    </row>
    <row r="1041" spans="1:22" hidden="1" outlineLevel="2" x14ac:dyDescent="0.25">
      <c r="A1041" s="186">
        <f>SUMIFS(МКД!$A$6:$A$389,МКД!$D$6:$D$389,Таблица1[[#This Row],[2]])</f>
        <v>170</v>
      </c>
      <c r="B1041" s="170"/>
      <c r="C1041" s="182" t="s">
        <v>465</v>
      </c>
      <c r="D1041" s="167" t="s">
        <v>1912</v>
      </c>
      <c r="E1041" s="167" t="s">
        <v>828</v>
      </c>
      <c r="F1041" s="167">
        <v>1</v>
      </c>
      <c r="G1041" s="168">
        <f>SUMIFS(Таблица1[[#This Row],[8]:[19]],$I$5:$T$5,"Выкуп")</f>
        <v>495.5</v>
      </c>
      <c r="H1041" s="168">
        <f>SUMIFS(Таблица1[[#This Row],[8]:[19]],$I$5:$T$5,"Аренда")</f>
        <v>0</v>
      </c>
      <c r="I1041" s="169">
        <v>495.5</v>
      </c>
      <c r="J1041" s="169"/>
      <c r="K1041" s="169"/>
      <c r="L1041" s="169"/>
      <c r="M1041" s="169"/>
      <c r="N1041" s="169"/>
      <c r="O1041" s="169"/>
      <c r="P1041" s="169"/>
      <c r="Q1041" s="169"/>
      <c r="R1041" s="169"/>
      <c r="S1041" s="169"/>
      <c r="T1041" s="169"/>
      <c r="U1041" s="170"/>
      <c r="V1041" s="171"/>
    </row>
    <row r="1042" spans="1:22" hidden="1" outlineLevel="2" x14ac:dyDescent="0.25">
      <c r="A1042" s="186">
        <f>SUMIFS(МКД!$A$6:$A$389,МКД!$D$6:$D$389,Таблица1[[#This Row],[2]])</f>
        <v>170</v>
      </c>
      <c r="B1042" s="170"/>
      <c r="C1042" s="182" t="s">
        <v>465</v>
      </c>
      <c r="D1042" s="167" t="s">
        <v>1053</v>
      </c>
      <c r="E1042" s="167" t="s">
        <v>2793</v>
      </c>
      <c r="F1042" s="167">
        <v>1</v>
      </c>
      <c r="G1042" s="168">
        <f>SUMIFS(Таблица1[[#This Row],[8]:[19]],$I$5:$T$5,"Выкуп")</f>
        <v>158</v>
      </c>
      <c r="H1042" s="168">
        <f>SUMIFS(Таблица1[[#This Row],[8]:[19]],$I$5:$T$5,"Аренда")</f>
        <v>0</v>
      </c>
      <c r="I1042" s="169"/>
      <c r="J1042" s="169"/>
      <c r="K1042" s="169"/>
      <c r="L1042" s="169"/>
      <c r="M1042" s="278">
        <v>158</v>
      </c>
      <c r="N1042" s="169"/>
      <c r="O1042" s="169"/>
      <c r="P1042" s="169"/>
      <c r="Q1042" s="169"/>
      <c r="R1042" s="169"/>
      <c r="S1042" s="169"/>
      <c r="T1042" s="169"/>
      <c r="U1042" s="170"/>
      <c r="V1042" s="171"/>
    </row>
    <row r="1043" spans="1:22" ht="15" outlineLevel="1" collapsed="1" x14ac:dyDescent="0.25">
      <c r="A1043" s="186">
        <f>SUMIFS(МКД!$A$6:$A$389,МКД!$D$6:$D$389,Таблица1[[#This Row],[2]])</f>
        <v>171</v>
      </c>
      <c r="B1043" s="194">
        <f>SUMIFS(Таблица1[6],Таблица1[2],Таблица1[[#This Row],[2]])+SUMIFS(Таблица1[7],Таблица1[2],Таблица1[[#This Row],[2]])</f>
        <v>0</v>
      </c>
      <c r="C1043" s="185" t="s">
        <v>699</v>
      </c>
      <c r="D1043" s="196"/>
      <c r="E1043" s="196"/>
      <c r="F1043" s="196"/>
      <c r="G1043" s="168"/>
      <c r="H1043" s="197"/>
      <c r="I1043" s="196"/>
      <c r="J1043" s="196"/>
      <c r="K1043" s="196"/>
      <c r="L1043" s="196"/>
      <c r="M1043" s="196"/>
      <c r="N1043" s="196"/>
      <c r="O1043" s="196"/>
      <c r="P1043" s="196"/>
      <c r="Q1043" s="196"/>
      <c r="R1043" s="196"/>
      <c r="S1043" s="196"/>
      <c r="T1043" s="196"/>
      <c r="U1043" s="196"/>
      <c r="V1043" s="198"/>
    </row>
    <row r="1044" spans="1:22" ht="15" hidden="1" outlineLevel="2" x14ac:dyDescent="0.25">
      <c r="A1044" s="186">
        <f>SUMIFS(МКД!$A$6:$A$389,МКД!$D$6:$D$389,Таблица1[[#This Row],[2]])</f>
        <v>171</v>
      </c>
      <c r="B1044" s="196"/>
      <c r="C1044" s="182" t="s">
        <v>699</v>
      </c>
      <c r="D1044" s="196"/>
      <c r="E1044" s="196"/>
      <c r="F1044" s="196"/>
      <c r="G1044" s="168">
        <f>SUMIFS(Таблица1[[#This Row],[8]:[19]],$I$5:$T$5,"Выкуп")</f>
        <v>0</v>
      </c>
      <c r="H1044" s="168">
        <f>SUMIFS(Таблица1[[#This Row],[8]:[19]],$I$5:$T$5,"Аренда")</f>
        <v>0</v>
      </c>
      <c r="I1044" s="196"/>
      <c r="J1044" s="196"/>
      <c r="K1044" s="196"/>
      <c r="L1044" s="196"/>
      <c r="M1044" s="196"/>
      <c r="N1044" s="196"/>
      <c r="O1044" s="196"/>
      <c r="P1044" s="196"/>
      <c r="Q1044" s="196"/>
      <c r="R1044" s="196"/>
      <c r="S1044" s="196"/>
      <c r="T1044" s="196"/>
      <c r="U1044" s="196"/>
      <c r="V1044" s="198"/>
    </row>
    <row r="1045" spans="1:22" ht="15" outlineLevel="1" collapsed="1" x14ac:dyDescent="0.25">
      <c r="A1045" s="186">
        <f>SUMIFS(МКД!$A$6:$A$389,МКД!$D$6:$D$389,Таблица1[[#This Row],[2]])</f>
        <v>172</v>
      </c>
      <c r="B1045" s="194">
        <f>SUMIFS(Таблица1[6],Таблица1[2],Таблица1[[#This Row],[2]])+SUMIFS(Таблица1[7],Таблица1[2],Таблица1[[#This Row],[2]])</f>
        <v>626.4</v>
      </c>
      <c r="C1045" s="185" t="s">
        <v>466</v>
      </c>
      <c r="D1045" s="196"/>
      <c r="E1045" s="196"/>
      <c r="F1045" s="196"/>
      <c r="G1045" s="168"/>
      <c r="H1045" s="197"/>
      <c r="I1045" s="196"/>
      <c r="J1045" s="196"/>
      <c r="K1045" s="196"/>
      <c r="L1045" s="196"/>
      <c r="M1045" s="196"/>
      <c r="N1045" s="196"/>
      <c r="O1045" s="196"/>
      <c r="P1045" s="196"/>
      <c r="Q1045" s="196"/>
      <c r="R1045" s="196"/>
      <c r="S1045" s="196"/>
      <c r="T1045" s="196"/>
      <c r="U1045" s="196"/>
      <c r="V1045" s="198"/>
    </row>
    <row r="1046" spans="1:22" hidden="1" outlineLevel="2" x14ac:dyDescent="0.25">
      <c r="A1046" s="186">
        <f>SUMIFS(МКД!$A$6:$A$389,МКД!$D$6:$D$389,Таблица1[[#This Row],[2]])</f>
        <v>172</v>
      </c>
      <c r="B1046" s="170"/>
      <c r="C1046" s="182" t="s">
        <v>466</v>
      </c>
      <c r="D1046" s="167" t="s">
        <v>247</v>
      </c>
      <c r="E1046" s="167" t="s">
        <v>1810</v>
      </c>
      <c r="F1046" s="167">
        <v>1</v>
      </c>
      <c r="G1046" s="168">
        <f>SUMIFS(Таблица1[[#This Row],[8]:[19]],$I$5:$T$5,"Выкуп")</f>
        <v>414.7</v>
      </c>
      <c r="H1046" s="168">
        <f>SUMIFS(Таблица1[[#This Row],[8]:[19]],$I$5:$T$5,"Аренда")</f>
        <v>0</v>
      </c>
      <c r="I1046" s="169"/>
      <c r="J1046" s="169"/>
      <c r="K1046" s="169">
        <f>414.7-37</f>
        <v>377.7</v>
      </c>
      <c r="L1046" s="169"/>
      <c r="M1046" s="169"/>
      <c r="N1046" s="169"/>
      <c r="O1046" s="169">
        <v>37</v>
      </c>
      <c r="P1046" s="169"/>
      <c r="Q1046" s="169"/>
      <c r="R1046" s="169"/>
      <c r="S1046" s="169"/>
      <c r="T1046" s="169"/>
      <c r="U1046" s="170"/>
      <c r="V1046" s="171"/>
    </row>
    <row r="1047" spans="1:22" hidden="1" outlineLevel="2" x14ac:dyDescent="0.25">
      <c r="A1047" s="186">
        <f>SUMIFS(МКД!$A$6:$A$389,МКД!$D$6:$D$389,Таблица1[[#This Row],[2]])</f>
        <v>172</v>
      </c>
      <c r="B1047" s="168"/>
      <c r="C1047" s="182" t="s">
        <v>466</v>
      </c>
      <c r="D1047" s="167" t="s">
        <v>2785</v>
      </c>
      <c r="E1047" s="167" t="s">
        <v>2784</v>
      </c>
      <c r="F1047" s="167">
        <v>1</v>
      </c>
      <c r="G1047" s="168">
        <f>SUMIFS(Таблица1[[#This Row],[8]:[19]],$I$5:$T$5,"Выкуп")</f>
        <v>41.5</v>
      </c>
      <c r="H1047" s="168">
        <f>SUMIFS(Таблица1[[#This Row],[8]:[19]],$I$5:$T$5,"Аренда")</f>
        <v>0</v>
      </c>
      <c r="I1047" s="169">
        <v>41.5</v>
      </c>
      <c r="J1047" s="169"/>
      <c r="K1047" s="169"/>
      <c r="L1047" s="169"/>
      <c r="M1047" s="169"/>
      <c r="N1047" s="169"/>
      <c r="O1047" s="169"/>
      <c r="P1047" s="169"/>
      <c r="Q1047" s="169"/>
      <c r="R1047" s="169"/>
      <c r="S1047" s="169"/>
      <c r="T1047" s="169"/>
      <c r="U1047" s="170"/>
      <c r="V1047" s="171"/>
    </row>
    <row r="1048" spans="1:22" hidden="1" outlineLevel="2" x14ac:dyDescent="0.25">
      <c r="A1048" s="186">
        <f>SUMIFS(МКД!$A$6:$A$389,МКД!$D$6:$D$389,Таблица1[[#This Row],[2]])</f>
        <v>172</v>
      </c>
      <c r="B1048" s="168"/>
      <c r="C1048" s="182" t="s">
        <v>466</v>
      </c>
      <c r="D1048" s="167" t="s">
        <v>245</v>
      </c>
      <c r="E1048" s="167" t="s">
        <v>1752</v>
      </c>
      <c r="F1048" s="167">
        <v>1</v>
      </c>
      <c r="G1048" s="168">
        <f>SUMIFS(Таблица1[[#This Row],[8]:[19]],$I$5:$T$5,"Выкуп")</f>
        <v>125.7</v>
      </c>
      <c r="H1048" s="168">
        <f>SUMIFS(Таблица1[[#This Row],[8]:[19]],$I$5:$T$5,"Аренда")</f>
        <v>0</v>
      </c>
      <c r="I1048" s="169">
        <v>125.7</v>
      </c>
      <c r="J1048" s="169"/>
      <c r="K1048" s="169"/>
      <c r="L1048" s="169"/>
      <c r="M1048" s="169"/>
      <c r="N1048" s="169"/>
      <c r="O1048" s="169"/>
      <c r="P1048" s="169"/>
      <c r="Q1048" s="169"/>
      <c r="R1048" s="169"/>
      <c r="S1048" s="169"/>
      <c r="T1048" s="169"/>
      <c r="U1048" s="170"/>
      <c r="V1048" s="171"/>
    </row>
    <row r="1049" spans="1:22" hidden="1" outlineLevel="2" x14ac:dyDescent="0.25">
      <c r="A1049" s="186">
        <f>SUMIFS(МКД!$A$6:$A$389,МКД!$D$6:$D$389,Таблица1[[#This Row],[2]])</f>
        <v>172</v>
      </c>
      <c r="B1049" s="168"/>
      <c r="C1049" s="182" t="s">
        <v>466</v>
      </c>
      <c r="D1049" s="167" t="s">
        <v>1593</v>
      </c>
      <c r="E1049" s="273" t="s">
        <v>1751</v>
      </c>
      <c r="F1049" s="167">
        <v>1</v>
      </c>
      <c r="G1049" s="168">
        <f>SUMIFS(Таблица1[[#This Row],[8]:[19]],$I$5:$T$5,"Выкуп")</f>
        <v>44.5</v>
      </c>
      <c r="H1049" s="168">
        <f>SUMIFS(Таблица1[[#This Row],[8]:[19]],$I$5:$T$5,"Аренда")</f>
        <v>0</v>
      </c>
      <c r="I1049" s="169"/>
      <c r="J1049" s="169"/>
      <c r="K1049" s="169">
        <v>44.5</v>
      </c>
      <c r="L1049" s="169"/>
      <c r="M1049" s="169"/>
      <c r="N1049" s="169"/>
      <c r="O1049" s="169"/>
      <c r="P1049" s="169"/>
      <c r="Q1049" s="169"/>
      <c r="R1049" s="169"/>
      <c r="S1049" s="169"/>
      <c r="T1049" s="169"/>
      <c r="U1049" s="170"/>
      <c r="V1049" s="171"/>
    </row>
    <row r="1050" spans="1:22" ht="15" outlineLevel="1" collapsed="1" x14ac:dyDescent="0.25">
      <c r="A1050" s="186">
        <f>SUMIFS(МКД!$A$6:$A$389,МКД!$D$6:$D$389,Таблица1[[#This Row],[2]])</f>
        <v>173</v>
      </c>
      <c r="B1050" s="194">
        <f>SUMIFS(Таблица1[6],Таблица1[2],Таблица1[[#This Row],[2]])+SUMIFS(Таблица1[7],Таблица1[2],Таблица1[[#This Row],[2]])</f>
        <v>605.70000000000005</v>
      </c>
      <c r="C1050" s="185" t="s">
        <v>700</v>
      </c>
      <c r="D1050" s="196"/>
      <c r="E1050" s="196"/>
      <c r="F1050" s="196"/>
      <c r="G1050" s="168"/>
      <c r="H1050" s="197"/>
      <c r="I1050" s="196"/>
      <c r="J1050" s="196"/>
      <c r="K1050" s="196"/>
      <c r="L1050" s="196"/>
      <c r="M1050" s="196"/>
      <c r="N1050" s="196"/>
      <c r="O1050" s="196"/>
      <c r="P1050" s="196"/>
      <c r="Q1050" s="196"/>
      <c r="R1050" s="196"/>
      <c r="S1050" s="196"/>
      <c r="T1050" s="196"/>
      <c r="U1050" s="196"/>
      <c r="V1050" s="198"/>
    </row>
    <row r="1051" spans="1:22" hidden="1" outlineLevel="2" x14ac:dyDescent="0.25">
      <c r="A1051" s="186">
        <f>SUMIFS(МКД!$A$6:$A$389,МКД!$D$6:$D$389,Таблица1[[#This Row],[2]])</f>
        <v>173</v>
      </c>
      <c r="B1051" s="170"/>
      <c r="C1051" s="182" t="s">
        <v>700</v>
      </c>
      <c r="D1051" s="167" t="s">
        <v>248</v>
      </c>
      <c r="E1051" s="167" t="s">
        <v>2506</v>
      </c>
      <c r="F1051" s="167">
        <v>1</v>
      </c>
      <c r="G1051" s="168">
        <f>SUMIFS(Таблица1[[#This Row],[8]:[19]],$I$5:$T$5,"Выкуп")</f>
        <v>72.900000000000006</v>
      </c>
      <c r="H1051" s="168">
        <f>SUMIFS(Таблица1[[#This Row],[8]:[19]],$I$5:$T$5,"Аренда")</f>
        <v>0</v>
      </c>
      <c r="I1051" s="169">
        <v>72.900000000000006</v>
      </c>
      <c r="J1051" s="169"/>
      <c r="K1051" s="169"/>
      <c r="L1051" s="169"/>
      <c r="M1051" s="169"/>
      <c r="N1051" s="169"/>
      <c r="O1051" s="169"/>
      <c r="P1051" s="169"/>
      <c r="Q1051" s="169"/>
      <c r="R1051" s="169"/>
      <c r="S1051" s="169"/>
      <c r="T1051" s="169"/>
      <c r="U1051" s="170"/>
      <c r="V1051" s="171"/>
    </row>
    <row r="1052" spans="1:22" hidden="1" outlineLevel="2" x14ac:dyDescent="0.25">
      <c r="A1052" s="186">
        <f>SUMIFS(МКД!$A$6:$A$389,МКД!$D$6:$D$389,Таблица1[[#This Row],[2]])</f>
        <v>173</v>
      </c>
      <c r="B1052" s="168"/>
      <c r="C1052" s="182" t="s">
        <v>700</v>
      </c>
      <c r="D1052" s="167" t="s">
        <v>2616</v>
      </c>
      <c r="E1052" s="167" t="s">
        <v>2617</v>
      </c>
      <c r="F1052" s="167">
        <v>1</v>
      </c>
      <c r="G1052" s="168">
        <f>SUMIFS(Таблица1[[#This Row],[8]:[19]],$I$5:$T$5,"Выкуп")</f>
        <v>81</v>
      </c>
      <c r="H1052" s="168">
        <f>SUMIFS(Таблица1[[#This Row],[8]:[19]],$I$5:$T$5,"Аренда")</f>
        <v>0</v>
      </c>
      <c r="I1052" s="169">
        <v>70.400000000000006</v>
      </c>
      <c r="J1052" s="169"/>
      <c r="K1052" s="169"/>
      <c r="L1052" s="169"/>
      <c r="M1052" s="169"/>
      <c r="N1052" s="169"/>
      <c r="O1052" s="169"/>
      <c r="P1052" s="169"/>
      <c r="Q1052" s="169"/>
      <c r="R1052" s="169"/>
      <c r="S1052" s="169">
        <v>10.6</v>
      </c>
      <c r="T1052" s="169"/>
      <c r="U1052" s="170"/>
      <c r="V1052" s="171"/>
    </row>
    <row r="1053" spans="1:22" hidden="1" outlineLevel="2" x14ac:dyDescent="0.25">
      <c r="A1053" s="186">
        <f>SUMIFS(МКД!$A$6:$A$389,МКД!$D$6:$D$389,Таблица1[[#This Row],[2]])</f>
        <v>173</v>
      </c>
      <c r="B1053" s="168"/>
      <c r="C1053" s="182" t="s">
        <v>700</v>
      </c>
      <c r="D1053" s="167" t="s">
        <v>2490</v>
      </c>
      <c r="E1053" s="167" t="s">
        <v>2507</v>
      </c>
      <c r="F1053" s="167">
        <v>1</v>
      </c>
      <c r="G1053" s="168">
        <f>SUMIFS(Таблица1[[#This Row],[8]:[19]],$I$5:$T$5,"Выкуп")</f>
        <v>71.3</v>
      </c>
      <c r="H1053" s="168">
        <f>SUMIFS(Таблица1[[#This Row],[8]:[19]],$I$5:$T$5,"Аренда")</f>
        <v>0</v>
      </c>
      <c r="I1053" s="169">
        <v>71.3</v>
      </c>
      <c r="J1053" s="169"/>
      <c r="K1053" s="169"/>
      <c r="L1053" s="169"/>
      <c r="M1053" s="169"/>
      <c r="N1053" s="169"/>
      <c r="O1053" s="169"/>
      <c r="P1053" s="169"/>
      <c r="Q1053" s="169"/>
      <c r="R1053" s="169"/>
      <c r="S1053" s="169"/>
      <c r="T1053" s="169"/>
      <c r="U1053" s="170"/>
      <c r="V1053" s="171"/>
    </row>
    <row r="1054" spans="1:22" hidden="1" outlineLevel="2" x14ac:dyDescent="0.25">
      <c r="A1054" s="186">
        <f>SUMIFS(МКД!$A$6:$A$389,МКД!$D$6:$D$389,Таблица1[[#This Row],[2]])</f>
        <v>173</v>
      </c>
      <c r="B1054" s="168"/>
      <c r="C1054" s="182" t="s">
        <v>700</v>
      </c>
      <c r="D1054" s="167" t="s">
        <v>2514</v>
      </c>
      <c r="E1054" s="167" t="s">
        <v>1222</v>
      </c>
      <c r="F1054" s="167">
        <v>1</v>
      </c>
      <c r="G1054" s="168">
        <f>SUMIFS(Таблица1[[#This Row],[8]:[19]],$I$5:$T$5,"Выкуп")</f>
        <v>49.4</v>
      </c>
      <c r="H1054" s="168">
        <f>SUMIFS(Таблица1[[#This Row],[8]:[19]],$I$5:$T$5,"Аренда")</f>
        <v>0</v>
      </c>
      <c r="I1054" s="169">
        <v>49.4</v>
      </c>
      <c r="J1054" s="169"/>
      <c r="K1054" s="169"/>
      <c r="L1054" s="169"/>
      <c r="M1054" s="169"/>
      <c r="N1054" s="169"/>
      <c r="O1054" s="169"/>
      <c r="P1054" s="169"/>
      <c r="Q1054" s="169"/>
      <c r="R1054" s="169"/>
      <c r="S1054" s="169"/>
      <c r="T1054" s="169"/>
      <c r="U1054" s="170"/>
      <c r="V1054" s="171"/>
    </row>
    <row r="1055" spans="1:22" hidden="1" outlineLevel="2" x14ac:dyDescent="0.25">
      <c r="A1055" s="186">
        <f>SUMIFS(МКД!$A$6:$A$389,МКД!$D$6:$D$389,Таблица1[[#This Row],[2]])</f>
        <v>173</v>
      </c>
      <c r="B1055" s="168"/>
      <c r="C1055" s="182" t="s">
        <v>700</v>
      </c>
      <c r="D1055" s="167" t="s">
        <v>2509</v>
      </c>
      <c r="E1055" s="167" t="s">
        <v>2508</v>
      </c>
      <c r="F1055" s="167">
        <v>1</v>
      </c>
      <c r="G1055" s="168">
        <f>SUMIFS(Таблица1[[#This Row],[8]:[19]],$I$5:$T$5,"Выкуп")</f>
        <v>54.3</v>
      </c>
      <c r="H1055" s="168">
        <f>SUMIFS(Таблица1[[#This Row],[8]:[19]],$I$5:$T$5,"Аренда")</f>
        <v>0</v>
      </c>
      <c r="I1055" s="169">
        <v>54.3</v>
      </c>
      <c r="J1055" s="169"/>
      <c r="K1055" s="169"/>
      <c r="L1055" s="169"/>
      <c r="M1055" s="169"/>
      <c r="N1055" s="169"/>
      <c r="O1055" s="169"/>
      <c r="P1055" s="169"/>
      <c r="Q1055" s="169"/>
      <c r="R1055" s="169"/>
      <c r="S1055" s="169"/>
      <c r="T1055" s="169"/>
      <c r="U1055" s="170"/>
      <c r="V1055" s="171"/>
    </row>
    <row r="1056" spans="1:22" hidden="1" outlineLevel="2" x14ac:dyDescent="0.25">
      <c r="A1056" s="186">
        <f>SUMIFS(МКД!$A$6:$A$389,МКД!$D$6:$D$389,Таблица1[[#This Row],[2]])</f>
        <v>173</v>
      </c>
      <c r="B1056" s="168"/>
      <c r="C1056" s="182" t="s">
        <v>700</v>
      </c>
      <c r="D1056" s="167" t="s">
        <v>2509</v>
      </c>
      <c r="E1056" s="167" t="s">
        <v>2510</v>
      </c>
      <c r="F1056" s="167">
        <v>1</v>
      </c>
      <c r="G1056" s="168">
        <f>SUMIFS(Таблица1[[#This Row],[8]:[19]],$I$5:$T$5,"Выкуп")</f>
        <v>0</v>
      </c>
      <c r="H1056" s="168">
        <f>SUMIFS(Таблица1[[#This Row],[8]:[19]],$I$5:$T$5,"Аренда")</f>
        <v>41.65</v>
      </c>
      <c r="I1056" s="169"/>
      <c r="J1056" s="169"/>
      <c r="K1056" s="169"/>
      <c r="L1056" s="169">
        <v>41.65</v>
      </c>
      <c r="M1056" s="169"/>
      <c r="N1056" s="169"/>
      <c r="O1056" s="169"/>
      <c r="P1056" s="169"/>
      <c r="Q1056" s="169"/>
      <c r="R1056" s="169"/>
      <c r="S1056" s="169"/>
      <c r="T1056" s="169"/>
      <c r="U1056" s="170"/>
      <c r="V1056" s="171"/>
    </row>
    <row r="1057" spans="1:22" hidden="1" outlineLevel="2" x14ac:dyDescent="0.25">
      <c r="A1057" s="186">
        <f>SUMIFS(МКД!$A$6:$A$389,МКД!$D$6:$D$389,Таблица1[[#This Row],[2]])</f>
        <v>173</v>
      </c>
      <c r="B1057" s="168"/>
      <c r="C1057" s="182" t="s">
        <v>700</v>
      </c>
      <c r="D1057" s="167" t="s">
        <v>249</v>
      </c>
      <c r="E1057" s="167" t="s">
        <v>2511</v>
      </c>
      <c r="F1057" s="167">
        <v>1</v>
      </c>
      <c r="G1057" s="168">
        <f>SUMIFS(Таблица1[[#This Row],[8]:[19]],$I$5:$T$5,"Выкуп")</f>
        <v>87.5</v>
      </c>
      <c r="H1057" s="168">
        <f>SUMIFS(Таблица1[[#This Row],[8]:[19]],$I$5:$T$5,"Аренда")</f>
        <v>0</v>
      </c>
      <c r="I1057" s="169">
        <v>87.5</v>
      </c>
      <c r="J1057" s="169"/>
      <c r="K1057" s="169"/>
      <c r="L1057" s="169"/>
      <c r="M1057" s="169"/>
      <c r="N1057" s="169"/>
      <c r="O1057" s="169"/>
      <c r="P1057" s="169"/>
      <c r="Q1057" s="169"/>
      <c r="R1057" s="169"/>
      <c r="S1057" s="169"/>
      <c r="T1057" s="169"/>
      <c r="U1057" s="170"/>
      <c r="V1057" s="171"/>
    </row>
    <row r="1058" spans="1:22" hidden="1" outlineLevel="2" x14ac:dyDescent="0.25">
      <c r="A1058" s="186">
        <f>SUMIFS(МКД!$A$6:$A$389,МКД!$D$6:$D$389,Таблица1[[#This Row],[2]])</f>
        <v>173</v>
      </c>
      <c r="B1058" s="168"/>
      <c r="C1058" s="182" t="s">
        <v>700</v>
      </c>
      <c r="D1058" s="167" t="s">
        <v>250</v>
      </c>
      <c r="E1058" s="167" t="s">
        <v>2510</v>
      </c>
      <c r="F1058" s="167">
        <v>1</v>
      </c>
      <c r="G1058" s="168">
        <f>SUMIFS(Таблица1[[#This Row],[8]:[19]],$I$5:$T$5,"Выкуп")</f>
        <v>0</v>
      </c>
      <c r="H1058" s="168">
        <f>SUMIFS(Таблица1[[#This Row],[8]:[19]],$I$5:$T$5,"Аренда")</f>
        <v>72.05</v>
      </c>
      <c r="I1058" s="167"/>
      <c r="J1058" s="167"/>
      <c r="K1058" s="169"/>
      <c r="L1058" s="169">
        <v>72.05</v>
      </c>
      <c r="M1058" s="169"/>
      <c r="N1058" s="169"/>
      <c r="O1058" s="169"/>
      <c r="P1058" s="169"/>
      <c r="Q1058" s="169"/>
      <c r="R1058" s="169"/>
      <c r="S1058" s="169"/>
      <c r="T1058" s="169"/>
      <c r="U1058" s="170"/>
      <c r="V1058" s="171"/>
    </row>
    <row r="1059" spans="1:22" hidden="1" outlineLevel="2" x14ac:dyDescent="0.25">
      <c r="A1059" s="186">
        <f>SUMIFS(МКД!$A$6:$A$389,МКД!$D$6:$D$389,Таблица1[[#This Row],[2]])</f>
        <v>173</v>
      </c>
      <c r="B1059" s="168"/>
      <c r="C1059" s="182" t="s">
        <v>700</v>
      </c>
      <c r="D1059" s="167" t="s">
        <v>2513</v>
      </c>
      <c r="E1059" s="167" t="s">
        <v>2512</v>
      </c>
      <c r="F1059" s="167">
        <v>1</v>
      </c>
      <c r="G1059" s="168">
        <f>SUMIFS(Таблица1[[#This Row],[8]:[19]],$I$5:$T$5,"Выкуп")</f>
        <v>75.599999999999994</v>
      </c>
      <c r="H1059" s="168">
        <f>SUMIFS(Таблица1[[#This Row],[8]:[19]],$I$5:$T$5,"Аренда")</f>
        <v>0</v>
      </c>
      <c r="I1059" s="169">
        <v>75.599999999999994</v>
      </c>
      <c r="J1059" s="169"/>
      <c r="K1059" s="169"/>
      <c r="L1059" s="169"/>
      <c r="M1059" s="169"/>
      <c r="N1059" s="169"/>
      <c r="O1059" s="169"/>
      <c r="P1059" s="169"/>
      <c r="Q1059" s="169"/>
      <c r="R1059" s="169"/>
      <c r="S1059" s="169"/>
      <c r="T1059" s="169"/>
      <c r="U1059" s="170"/>
      <c r="V1059" s="171"/>
    </row>
    <row r="1060" spans="1:22" ht="15" outlineLevel="1" collapsed="1" x14ac:dyDescent="0.25">
      <c r="A1060" s="186">
        <f>SUMIFS(МКД!$A$6:$A$389,МКД!$D$6:$D$389,Таблица1[[#This Row],[2]])</f>
        <v>174</v>
      </c>
      <c r="B1060" s="194">
        <f>SUMIFS(Таблица1[6],Таблица1[2],Таблица1[[#This Row],[2]])+SUMIFS(Таблица1[7],Таблица1[2],Таблица1[[#This Row],[2]])</f>
        <v>0</v>
      </c>
      <c r="C1060" s="185" t="s">
        <v>701</v>
      </c>
      <c r="D1060" s="196"/>
      <c r="E1060" s="196"/>
      <c r="F1060" s="196"/>
      <c r="G1060" s="168"/>
      <c r="H1060" s="197"/>
      <c r="I1060" s="196"/>
      <c r="J1060" s="196"/>
      <c r="K1060" s="196"/>
      <c r="L1060" s="196"/>
      <c r="M1060" s="196"/>
      <c r="N1060" s="196"/>
      <c r="O1060" s="196"/>
      <c r="P1060" s="196"/>
      <c r="Q1060" s="196"/>
      <c r="R1060" s="196"/>
      <c r="S1060" s="196"/>
      <c r="T1060" s="196"/>
      <c r="U1060" s="196"/>
      <c r="V1060" s="198"/>
    </row>
    <row r="1061" spans="1:22" ht="15" hidden="1" outlineLevel="2" x14ac:dyDescent="0.25">
      <c r="A1061" s="186">
        <f>SUMIFS(МКД!$A$6:$A$389,МКД!$D$6:$D$389,Таблица1[[#This Row],[2]])</f>
        <v>174</v>
      </c>
      <c r="B1061" s="196"/>
      <c r="C1061" s="182" t="s">
        <v>701</v>
      </c>
      <c r="D1061" s="196"/>
      <c r="E1061" s="196"/>
      <c r="F1061" s="196"/>
      <c r="G1061" s="168">
        <f>SUMIFS(Таблица1[[#This Row],[8]:[19]],$I$5:$T$5,"Выкуп")</f>
        <v>0</v>
      </c>
      <c r="H1061" s="168">
        <f>SUMIFS(Таблица1[[#This Row],[8]:[19]],$I$5:$T$5,"Аренда")</f>
        <v>0</v>
      </c>
      <c r="I1061" s="196"/>
      <c r="J1061" s="196"/>
      <c r="K1061" s="196"/>
      <c r="L1061" s="196"/>
      <c r="M1061" s="196"/>
      <c r="N1061" s="196"/>
      <c r="O1061" s="196"/>
      <c r="P1061" s="196"/>
      <c r="Q1061" s="196"/>
      <c r="R1061" s="196"/>
      <c r="S1061" s="196"/>
      <c r="T1061" s="196"/>
      <c r="U1061" s="196"/>
      <c r="V1061" s="198"/>
    </row>
    <row r="1062" spans="1:22" ht="15" outlineLevel="1" collapsed="1" x14ac:dyDescent="0.25">
      <c r="A1062" s="186">
        <f>SUMIFS(МКД!$A$6:$A$389,МКД!$D$6:$D$389,Таблица1[[#This Row],[2]])</f>
        <v>176</v>
      </c>
      <c r="B1062" s="194">
        <f>SUMIFS(Таблица1[6],Таблица1[2],Таблица1[[#This Row],[2]])+SUMIFS(Таблица1[7],Таблица1[2],Таблица1[[#This Row],[2]])</f>
        <v>742.9</v>
      </c>
      <c r="C1062" s="185" t="s">
        <v>702</v>
      </c>
      <c r="D1062" s="196"/>
      <c r="E1062" s="196"/>
      <c r="F1062" s="196"/>
      <c r="G1062" s="168"/>
      <c r="H1062" s="197"/>
      <c r="I1062" s="196"/>
      <c r="J1062" s="196"/>
      <c r="K1062" s="196"/>
      <c r="L1062" s="196"/>
      <c r="M1062" s="196"/>
      <c r="N1062" s="196"/>
      <c r="O1062" s="196"/>
      <c r="P1062" s="196"/>
      <c r="Q1062" s="196"/>
      <c r="R1062" s="196"/>
      <c r="S1062" s="196"/>
      <c r="T1062" s="196"/>
      <c r="U1062" s="196"/>
      <c r="V1062" s="198"/>
    </row>
    <row r="1063" spans="1:22" hidden="1" outlineLevel="2" x14ac:dyDescent="0.25">
      <c r="A1063" s="186">
        <f>SUMIFS(МКД!$A$6:$A$389,МКД!$D$6:$D$389,Таблица1[[#This Row],[2]])</f>
        <v>176</v>
      </c>
      <c r="B1063" s="170"/>
      <c r="C1063" s="182" t="s">
        <v>702</v>
      </c>
      <c r="D1063" s="167" t="s">
        <v>1525</v>
      </c>
      <c r="E1063" s="167" t="s">
        <v>2706</v>
      </c>
      <c r="F1063" s="167">
        <v>1</v>
      </c>
      <c r="G1063" s="168">
        <f>SUMIFS(Таблица1[[#This Row],[8]:[19]],$I$5:$T$5,"Выкуп")</f>
        <v>31.9</v>
      </c>
      <c r="H1063" s="168">
        <f>SUMIFS(Таблица1[[#This Row],[8]:[19]],$I$5:$T$5,"Аренда")</f>
        <v>0</v>
      </c>
      <c r="I1063" s="169"/>
      <c r="J1063" s="169"/>
      <c r="K1063" s="169">
        <f>34.5-2.6</f>
        <v>31.9</v>
      </c>
      <c r="L1063" s="169"/>
      <c r="M1063" s="169"/>
      <c r="N1063" s="169"/>
      <c r="O1063" s="169"/>
      <c r="P1063" s="169"/>
      <c r="Q1063" s="169"/>
      <c r="R1063" s="169"/>
      <c r="S1063" s="169"/>
      <c r="T1063" s="169"/>
      <c r="U1063" s="170"/>
      <c r="V1063" s="171"/>
    </row>
    <row r="1064" spans="1:22" hidden="1" outlineLevel="2" x14ac:dyDescent="0.25">
      <c r="A1064" s="186">
        <f>SUMIFS(МКД!$A$6:$A$389,МКД!$D$6:$D$389,Таблица1[[#This Row],[2]])</f>
        <v>176</v>
      </c>
      <c r="B1064" s="170"/>
      <c r="C1064" s="182" t="s">
        <v>702</v>
      </c>
      <c r="D1064" s="167" t="s">
        <v>1053</v>
      </c>
      <c r="E1064" s="167" t="s">
        <v>2711</v>
      </c>
      <c r="F1064" s="167">
        <v>1</v>
      </c>
      <c r="G1064" s="168">
        <f>SUMIFS(Таблица1[[#This Row],[8]:[19]],$I$5:$T$5,"Выкуп")</f>
        <v>2.15</v>
      </c>
      <c r="H1064" s="168">
        <f>SUMIFS(Таблица1[[#This Row],[8]:[19]],$I$5:$T$5,"Аренда")</f>
        <v>0</v>
      </c>
      <c r="I1064" s="169"/>
      <c r="J1064" s="169"/>
      <c r="K1064" s="357">
        <v>2.15</v>
      </c>
      <c r="L1064" s="169"/>
      <c r="M1064" s="169"/>
      <c r="N1064" s="169"/>
      <c r="O1064" s="169"/>
      <c r="P1064" s="169"/>
      <c r="Q1064" s="169"/>
      <c r="R1064" s="169"/>
      <c r="S1064" s="169"/>
      <c r="T1064" s="169"/>
      <c r="U1064" s="170"/>
      <c r="V1064" s="171"/>
    </row>
    <row r="1065" spans="1:22" hidden="1" outlineLevel="2" x14ac:dyDescent="0.25">
      <c r="A1065" s="186">
        <f>SUMIFS(МКД!$A$6:$A$389,МКД!$D$6:$D$389,Таблица1[[#This Row],[2]])</f>
        <v>176</v>
      </c>
      <c r="B1065" s="170"/>
      <c r="C1065" s="182" t="s">
        <v>702</v>
      </c>
      <c r="D1065" s="167" t="s">
        <v>1525</v>
      </c>
      <c r="E1065" s="167" t="s">
        <v>2714</v>
      </c>
      <c r="F1065" s="167">
        <v>1</v>
      </c>
      <c r="G1065" s="168">
        <f>SUMIFS(Таблица1[[#This Row],[8]:[19]],$I$5:$T$5,"Выкуп")</f>
        <v>2.25</v>
      </c>
      <c r="H1065" s="168">
        <f>SUMIFS(Таблица1[[#This Row],[8]:[19]],$I$5:$T$5,"Аренда")</f>
        <v>0</v>
      </c>
      <c r="I1065" s="169"/>
      <c r="J1065" s="169"/>
      <c r="K1065" s="278">
        <f>2.25</f>
        <v>2.25</v>
      </c>
      <c r="L1065" s="169"/>
      <c r="M1065" s="169"/>
      <c r="N1065" s="169"/>
      <c r="O1065" s="169"/>
      <c r="P1065" s="169"/>
      <c r="Q1065" s="169"/>
      <c r="R1065" s="169"/>
      <c r="S1065" s="169"/>
      <c r="T1065" s="169"/>
      <c r="U1065" s="170"/>
      <c r="V1065" s="171"/>
    </row>
    <row r="1066" spans="1:22" hidden="1" outlineLevel="2" x14ac:dyDescent="0.25">
      <c r="A1066" s="186">
        <f>SUMIFS(МКД!$A$6:$A$389,МКД!$D$6:$D$389,Таблица1[[#This Row],[2]])</f>
        <v>176</v>
      </c>
      <c r="B1066" s="168"/>
      <c r="C1066" s="182" t="s">
        <v>702</v>
      </c>
      <c r="D1066" s="167" t="s">
        <v>2713</v>
      </c>
      <c r="E1066" s="167" t="s">
        <v>2711</v>
      </c>
      <c r="F1066" s="167">
        <v>1</v>
      </c>
      <c r="G1066" s="168">
        <f>SUMIFS(Таблица1[[#This Row],[8]:[19]],$I$5:$T$5,"Выкуп")</f>
        <v>1</v>
      </c>
      <c r="H1066" s="168">
        <f>SUMIFS(Таблица1[[#This Row],[8]:[19]],$I$5:$T$5,"Аренда")</f>
        <v>0</v>
      </c>
      <c r="I1066" s="169"/>
      <c r="J1066" s="169"/>
      <c r="K1066" s="278">
        <f>2.25-2.25+1</f>
        <v>1</v>
      </c>
      <c r="L1066" s="169"/>
      <c r="M1066" s="169"/>
      <c r="N1066" s="169"/>
      <c r="O1066" s="169"/>
      <c r="P1066" s="169"/>
      <c r="Q1066" s="169"/>
      <c r="R1066" s="169"/>
      <c r="S1066" s="169"/>
      <c r="T1066" s="169"/>
      <c r="U1066" s="170"/>
      <c r="V1066" s="171"/>
    </row>
    <row r="1067" spans="1:22" hidden="1" outlineLevel="2" x14ac:dyDescent="0.25">
      <c r="A1067" s="186">
        <f>SUMIFS(МКД!$A$6:$A$389,МКД!$D$6:$D$389,Таблица1[[#This Row],[2]])</f>
        <v>176</v>
      </c>
      <c r="B1067" s="168"/>
      <c r="C1067" s="182" t="s">
        <v>702</v>
      </c>
      <c r="D1067" s="167" t="s">
        <v>2708</v>
      </c>
      <c r="E1067" s="167" t="s">
        <v>2710</v>
      </c>
      <c r="F1067" s="167">
        <v>1</v>
      </c>
      <c r="G1067" s="168">
        <f>SUMIFS(Таблица1[[#This Row],[8]:[19]],$I$5:$T$5,"Выкуп")</f>
        <v>2.6</v>
      </c>
      <c r="H1067" s="168">
        <f>SUMIFS(Таблица1[[#This Row],[8]:[19]],$I$5:$T$5,"Аренда")</f>
        <v>0</v>
      </c>
      <c r="I1067" s="169"/>
      <c r="J1067" s="169"/>
      <c r="K1067" s="357">
        <v>2.6</v>
      </c>
      <c r="L1067" s="169"/>
      <c r="M1067" s="169"/>
      <c r="N1067" s="169"/>
      <c r="O1067" s="169"/>
      <c r="P1067" s="169"/>
      <c r="Q1067" s="169"/>
      <c r="R1067" s="169"/>
      <c r="S1067" s="169"/>
      <c r="T1067" s="169"/>
      <c r="U1067" s="170"/>
      <c r="V1067" s="171"/>
    </row>
    <row r="1068" spans="1:22" hidden="1" outlineLevel="2" x14ac:dyDescent="0.25">
      <c r="A1068" s="186">
        <f>SUMIFS(МКД!$A$6:$A$389,МКД!$D$6:$D$389,Таблица1[[#This Row],[2]])</f>
        <v>176</v>
      </c>
      <c r="B1068" s="168"/>
      <c r="C1068" s="182" t="s">
        <v>702</v>
      </c>
      <c r="D1068" s="167" t="s">
        <v>1526</v>
      </c>
      <c r="E1068" s="167" t="s">
        <v>2711</v>
      </c>
      <c r="F1068" s="167">
        <v>1</v>
      </c>
      <c r="G1068" s="168">
        <f>SUMIFS(Таблица1[[#This Row],[8]:[19]],$I$5:$T$5,"Выкуп")</f>
        <v>1</v>
      </c>
      <c r="H1068" s="168">
        <f>SUMIFS(Таблица1[[#This Row],[8]:[19]],$I$5:$T$5,"Аренда")</f>
        <v>0</v>
      </c>
      <c r="I1068" s="169"/>
      <c r="J1068" s="169"/>
      <c r="K1068" s="278">
        <f>2.25-2.25+1</f>
        <v>1</v>
      </c>
      <c r="L1068" s="169"/>
      <c r="M1068" s="169"/>
      <c r="N1068" s="169"/>
      <c r="O1068" s="169"/>
      <c r="P1068" s="169"/>
      <c r="Q1068" s="169"/>
      <c r="R1068" s="169"/>
      <c r="S1068" s="169"/>
      <c r="T1068" s="169"/>
      <c r="U1068" s="170"/>
      <c r="V1068" s="171"/>
    </row>
    <row r="1069" spans="1:22" hidden="1" outlineLevel="2" x14ac:dyDescent="0.25">
      <c r="A1069" s="186">
        <f>SUMIFS(МКД!$A$6:$A$389,МКД!$D$6:$D$389,Таблица1[[#This Row],[2]])</f>
        <v>176</v>
      </c>
      <c r="B1069" s="168"/>
      <c r="C1069" s="182" t="s">
        <v>702</v>
      </c>
      <c r="D1069" s="167" t="s">
        <v>2712</v>
      </c>
      <c r="E1069" s="167" t="s">
        <v>2709</v>
      </c>
      <c r="F1069" s="167">
        <v>1</v>
      </c>
      <c r="G1069" s="168">
        <f>SUMIFS(Таблица1[[#This Row],[8]:[19]],$I$5:$T$5,"Выкуп")</f>
        <v>7.1</v>
      </c>
      <c r="H1069" s="168">
        <f>SUMIFS(Таблица1[[#This Row],[8]:[19]],$I$5:$T$5,"Аренда")</f>
        <v>0</v>
      </c>
      <c r="I1069" s="169"/>
      <c r="J1069" s="169"/>
      <c r="K1069" s="278">
        <f>7.1</f>
        <v>7.1</v>
      </c>
      <c r="L1069" s="169"/>
      <c r="M1069" s="169"/>
      <c r="N1069" s="169"/>
      <c r="O1069" s="169"/>
      <c r="P1069" s="169"/>
      <c r="Q1069" s="169"/>
      <c r="R1069" s="169"/>
      <c r="S1069" s="169"/>
      <c r="T1069" s="169"/>
      <c r="U1069" s="170"/>
      <c r="V1069" s="171"/>
    </row>
    <row r="1070" spans="1:22" hidden="1" outlineLevel="2" x14ac:dyDescent="0.25">
      <c r="A1070" s="186">
        <f>SUMIFS(МКД!$A$6:$A$389,МКД!$D$6:$D$389,Таблица1[[#This Row],[2]])</f>
        <v>176</v>
      </c>
      <c r="B1070" s="168"/>
      <c r="C1070" s="182" t="s">
        <v>702</v>
      </c>
      <c r="D1070" s="167" t="s">
        <v>1526</v>
      </c>
      <c r="E1070" s="167" t="s">
        <v>2709</v>
      </c>
      <c r="F1070" s="167">
        <v>1</v>
      </c>
      <c r="G1070" s="168">
        <f>SUMIFS(Таблица1[[#This Row],[8]:[19]],$I$5:$T$5,"Выкуп")</f>
        <v>7.1</v>
      </c>
      <c r="H1070" s="168">
        <f>SUMIFS(Таблица1[[#This Row],[8]:[19]],$I$5:$T$5,"Аренда")</f>
        <v>0</v>
      </c>
      <c r="I1070" s="169"/>
      <c r="J1070" s="169"/>
      <c r="K1070" s="169">
        <f>9.35-2.25</f>
        <v>7.1</v>
      </c>
      <c r="L1070" s="169"/>
      <c r="M1070" s="169"/>
      <c r="N1070" s="169"/>
      <c r="O1070" s="169"/>
      <c r="P1070" s="169"/>
      <c r="Q1070" s="169"/>
      <c r="R1070" s="169"/>
      <c r="S1070" s="169"/>
      <c r="T1070" s="169"/>
      <c r="U1070" s="170"/>
      <c r="V1070" s="171"/>
    </row>
    <row r="1071" spans="1:22" hidden="1" outlineLevel="2" x14ac:dyDescent="0.25">
      <c r="A1071" s="186">
        <f>SUMIFS(МКД!$A$6:$A$389,МКД!$D$6:$D$389,Таблица1[[#This Row],[2]])</f>
        <v>176</v>
      </c>
      <c r="B1071" s="168"/>
      <c r="C1071" s="182" t="s">
        <v>702</v>
      </c>
      <c r="D1071" s="167" t="s">
        <v>1849</v>
      </c>
      <c r="E1071" s="167" t="s">
        <v>2707</v>
      </c>
      <c r="F1071" s="167">
        <v>1</v>
      </c>
      <c r="G1071" s="168">
        <f>SUMIFS(Таблица1[[#This Row],[8]:[19]],$I$5:$T$5,"Выкуп")</f>
        <v>18.7</v>
      </c>
      <c r="H1071" s="168">
        <f>SUMIFS(Таблица1[[#This Row],[8]:[19]],$I$5:$T$5,"Аренда")</f>
        <v>0</v>
      </c>
      <c r="I1071" s="169"/>
      <c r="J1071" s="169"/>
      <c r="K1071" s="169">
        <f>18.7</f>
        <v>18.7</v>
      </c>
      <c r="L1071" s="169"/>
      <c r="M1071" s="169"/>
      <c r="N1071" s="169"/>
      <c r="O1071" s="169"/>
      <c r="P1071" s="169"/>
      <c r="Q1071" s="169"/>
      <c r="R1071" s="169"/>
      <c r="S1071" s="169"/>
      <c r="T1071" s="169"/>
      <c r="U1071" s="170"/>
      <c r="V1071" s="171"/>
    </row>
    <row r="1072" spans="1:22" hidden="1" outlineLevel="2" x14ac:dyDescent="0.25">
      <c r="A1072" s="186">
        <f>SUMIFS(МКД!$A$6:$A$389,МКД!$D$6:$D$389,Таблица1[[#This Row],[2]])</f>
        <v>176</v>
      </c>
      <c r="B1072" s="168"/>
      <c r="C1072" s="182" t="s">
        <v>702</v>
      </c>
      <c r="D1072" s="167" t="s">
        <v>251</v>
      </c>
      <c r="E1072" s="167" t="s">
        <v>2212</v>
      </c>
      <c r="F1072" s="167">
        <v>1</v>
      </c>
      <c r="G1072" s="168">
        <f>SUMIFS(Таблица1[[#This Row],[8]:[19]],$I$5:$T$5,"Выкуп")</f>
        <v>75.8</v>
      </c>
      <c r="H1072" s="168">
        <f>SUMIFS(Таблица1[[#This Row],[8]:[19]],$I$5:$T$5,"Аренда")</f>
        <v>0</v>
      </c>
      <c r="I1072" s="169">
        <v>75.8</v>
      </c>
      <c r="J1072" s="169"/>
      <c r="K1072" s="169"/>
      <c r="L1072" s="169"/>
      <c r="M1072" s="169"/>
      <c r="N1072" s="169"/>
      <c r="O1072" s="169"/>
      <c r="P1072" s="169"/>
      <c r="Q1072" s="169"/>
      <c r="R1072" s="169"/>
      <c r="S1072" s="169"/>
      <c r="T1072" s="169"/>
      <c r="U1072" s="170"/>
      <c r="V1072" s="171"/>
    </row>
    <row r="1073" spans="1:22" hidden="1" outlineLevel="2" x14ac:dyDescent="0.25">
      <c r="A1073" s="186">
        <f>SUMIFS(МКД!$A$6:$A$389,МКД!$D$6:$D$389,Таблица1[[#This Row],[2]])</f>
        <v>176</v>
      </c>
      <c r="B1073" s="168"/>
      <c r="C1073" s="182" t="s">
        <v>702</v>
      </c>
      <c r="D1073" s="167" t="s">
        <v>1429</v>
      </c>
      <c r="E1073" s="167" t="s">
        <v>2209</v>
      </c>
      <c r="F1073" s="167">
        <v>1</v>
      </c>
      <c r="G1073" s="168">
        <f>SUMIFS(Таблица1[[#This Row],[8]:[19]],$I$5:$T$5,"Выкуп")</f>
        <v>54.1</v>
      </c>
      <c r="H1073" s="168">
        <f>SUMIFS(Таблица1[[#This Row],[8]:[19]],$I$5:$T$5,"Аренда")</f>
        <v>0</v>
      </c>
      <c r="I1073" s="169">
        <v>54.1</v>
      </c>
      <c r="J1073" s="169"/>
      <c r="K1073" s="169"/>
      <c r="L1073" s="169"/>
      <c r="M1073" s="169"/>
      <c r="N1073" s="169"/>
      <c r="O1073" s="169"/>
      <c r="P1073" s="169"/>
      <c r="Q1073" s="169"/>
      <c r="R1073" s="169"/>
      <c r="S1073" s="169"/>
      <c r="T1073" s="169"/>
      <c r="U1073" s="170"/>
      <c r="V1073" s="171"/>
    </row>
    <row r="1074" spans="1:22" hidden="1" outlineLevel="2" x14ac:dyDescent="0.25">
      <c r="A1074" s="186">
        <f>SUMIFS(МКД!$A$6:$A$389,МКД!$D$6:$D$389,Таблица1[[#This Row],[2]])</f>
        <v>176</v>
      </c>
      <c r="B1074" s="168"/>
      <c r="C1074" s="182" t="s">
        <v>702</v>
      </c>
      <c r="D1074" s="167" t="s">
        <v>2213</v>
      </c>
      <c r="E1074" s="167" t="s">
        <v>2214</v>
      </c>
      <c r="F1074" s="167">
        <v>1</v>
      </c>
      <c r="G1074" s="168">
        <f>SUMIFS(Таблица1[[#This Row],[8]:[19]],$I$5:$T$5,"Выкуп")</f>
        <v>51.7</v>
      </c>
      <c r="H1074" s="168">
        <f>SUMIFS(Таблица1[[#This Row],[8]:[19]],$I$5:$T$5,"Аренда")</f>
        <v>0</v>
      </c>
      <c r="I1074" s="169">
        <v>51.7</v>
      </c>
      <c r="J1074" s="169"/>
      <c r="K1074" s="169"/>
      <c r="L1074" s="169"/>
      <c r="M1074" s="169"/>
      <c r="N1074" s="169"/>
      <c r="O1074" s="169"/>
      <c r="P1074" s="169"/>
      <c r="Q1074" s="169"/>
      <c r="R1074" s="169"/>
      <c r="S1074" s="169"/>
      <c r="T1074" s="169"/>
      <c r="U1074" s="170"/>
      <c r="V1074" s="171"/>
    </row>
    <row r="1075" spans="1:22" hidden="1" outlineLevel="2" x14ac:dyDescent="0.25">
      <c r="A1075" s="186">
        <f>SUMIFS(МКД!$A$6:$A$389,МКД!$D$6:$D$389,Таблица1[[#This Row],[2]])</f>
        <v>176</v>
      </c>
      <c r="B1075" s="168"/>
      <c r="C1075" s="182" t="s">
        <v>702</v>
      </c>
      <c r="D1075" s="167" t="s">
        <v>2210</v>
      </c>
      <c r="E1075" s="167" t="s">
        <v>2211</v>
      </c>
      <c r="F1075" s="167">
        <v>1</v>
      </c>
      <c r="G1075" s="168">
        <f>SUMIFS(Таблица1[[#This Row],[8]:[19]],$I$5:$T$5,"Выкуп")</f>
        <v>0</v>
      </c>
      <c r="H1075" s="168">
        <f>SUMIFS(Таблица1[[#This Row],[8]:[19]],$I$5:$T$5,"Аренда")</f>
        <v>8</v>
      </c>
      <c r="I1075" s="169"/>
      <c r="J1075" s="169"/>
      <c r="K1075" s="169"/>
      <c r="L1075" s="169"/>
      <c r="M1075" s="169"/>
      <c r="N1075" s="169"/>
      <c r="O1075" s="167"/>
      <c r="P1075" s="169">
        <v>8</v>
      </c>
      <c r="Q1075" s="169"/>
      <c r="R1075" s="169"/>
      <c r="S1075" s="169"/>
      <c r="T1075" s="169"/>
      <c r="U1075" s="170"/>
      <c r="V1075" s="171"/>
    </row>
    <row r="1076" spans="1:22" hidden="1" outlineLevel="2" x14ac:dyDescent="0.25">
      <c r="A1076" s="186">
        <f>SUMIFS(МКД!$A$6:$A$389,МКД!$D$6:$D$389,Таблица1[[#This Row],[2]])</f>
        <v>176</v>
      </c>
      <c r="B1076" s="168"/>
      <c r="C1076" s="182" t="s">
        <v>702</v>
      </c>
      <c r="D1076" s="167" t="s">
        <v>2215</v>
      </c>
      <c r="E1076" s="167" t="s">
        <v>2216</v>
      </c>
      <c r="F1076" s="167">
        <v>1</v>
      </c>
      <c r="G1076" s="168">
        <f>SUMIFS(Таблица1[[#This Row],[8]:[19]],$I$5:$T$5,"Выкуп")</f>
        <v>75.2</v>
      </c>
      <c r="H1076" s="168">
        <f>SUMIFS(Таблица1[[#This Row],[8]:[19]],$I$5:$T$5,"Аренда")</f>
        <v>0</v>
      </c>
      <c r="I1076" s="169">
        <v>75.2</v>
      </c>
      <c r="J1076" s="169"/>
      <c r="K1076" s="169"/>
      <c r="L1076" s="169"/>
      <c r="M1076" s="169"/>
      <c r="N1076" s="169"/>
      <c r="O1076" s="169"/>
      <c r="P1076" s="169"/>
      <c r="Q1076" s="169"/>
      <c r="R1076" s="169"/>
      <c r="S1076" s="169"/>
      <c r="T1076" s="169"/>
      <c r="U1076" s="170"/>
      <c r="V1076" s="171"/>
    </row>
    <row r="1077" spans="1:22" hidden="1" outlineLevel="2" x14ac:dyDescent="0.25">
      <c r="A1077" s="186">
        <f>SUMIFS(МКД!$A$6:$A$389,МКД!$D$6:$D$389,Таблица1[[#This Row],[2]])</f>
        <v>176</v>
      </c>
      <c r="B1077" s="168"/>
      <c r="C1077" s="182" t="s">
        <v>702</v>
      </c>
      <c r="D1077" s="167" t="s">
        <v>1421</v>
      </c>
      <c r="E1077" s="167" t="s">
        <v>1143</v>
      </c>
      <c r="F1077" s="167">
        <v>1</v>
      </c>
      <c r="G1077" s="168">
        <f>SUMIFS(Таблица1[[#This Row],[8]:[19]],$I$5:$T$5,"Выкуп")</f>
        <v>53.2</v>
      </c>
      <c r="H1077" s="168">
        <f>SUMIFS(Таблица1[[#This Row],[8]:[19]],$I$5:$T$5,"Аренда")</f>
        <v>0</v>
      </c>
      <c r="I1077" s="169">
        <v>53.2</v>
      </c>
      <c r="J1077" s="169"/>
      <c r="K1077" s="169"/>
      <c r="L1077" s="169"/>
      <c r="M1077" s="169"/>
      <c r="N1077" s="169"/>
      <c r="O1077" s="169"/>
      <c r="P1077" s="169"/>
      <c r="Q1077" s="169"/>
      <c r="R1077" s="169"/>
      <c r="S1077" s="169"/>
      <c r="T1077" s="169"/>
      <c r="U1077" s="170"/>
      <c r="V1077" s="171"/>
    </row>
    <row r="1078" spans="1:22" hidden="1" outlineLevel="2" x14ac:dyDescent="0.25">
      <c r="A1078" s="186">
        <f>SUMIFS(МКД!$A$6:$A$389,МКД!$D$6:$D$389,Таблица1[[#This Row],[2]])</f>
        <v>176</v>
      </c>
      <c r="B1078" s="168"/>
      <c r="C1078" s="182" t="s">
        <v>702</v>
      </c>
      <c r="D1078" s="167" t="s">
        <v>252</v>
      </c>
      <c r="E1078" s="167" t="s">
        <v>2217</v>
      </c>
      <c r="F1078" s="167">
        <v>1</v>
      </c>
      <c r="G1078" s="168">
        <f>SUMIFS(Таблица1[[#This Row],[8]:[19]],$I$5:$T$5,"Выкуп")</f>
        <v>75.5</v>
      </c>
      <c r="H1078" s="168">
        <f>SUMIFS(Таблица1[[#This Row],[8]:[19]],$I$5:$T$5,"Аренда")</f>
        <v>0</v>
      </c>
      <c r="I1078" s="169">
        <v>75.5</v>
      </c>
      <c r="J1078" s="169"/>
      <c r="K1078" s="169"/>
      <c r="L1078" s="169"/>
      <c r="M1078" s="169"/>
      <c r="N1078" s="169"/>
      <c r="O1078" s="169"/>
      <c r="P1078" s="169"/>
      <c r="Q1078" s="169"/>
      <c r="R1078" s="169"/>
      <c r="S1078" s="169"/>
      <c r="T1078" s="169"/>
      <c r="U1078" s="170"/>
      <c r="V1078" s="171"/>
    </row>
    <row r="1079" spans="1:22" hidden="1" outlineLevel="2" x14ac:dyDescent="0.25">
      <c r="A1079" s="186">
        <f>SUMIFS(МКД!$A$6:$A$389,МКД!$D$6:$D$389,Таблица1[[#This Row],[2]])</f>
        <v>176</v>
      </c>
      <c r="B1079" s="168"/>
      <c r="C1079" s="182" t="s">
        <v>702</v>
      </c>
      <c r="D1079" s="167" t="s">
        <v>254</v>
      </c>
      <c r="E1079" s="167" t="s">
        <v>253</v>
      </c>
      <c r="F1079" s="167">
        <v>1</v>
      </c>
      <c r="G1079" s="168">
        <f>SUMIFS(Таблица1[[#This Row],[8]:[19]],$I$5:$T$5,"Выкуп")</f>
        <v>0</v>
      </c>
      <c r="H1079" s="168">
        <f>SUMIFS(Таблица1[[#This Row],[8]:[19]],$I$5:$T$5,"Аренда")</f>
        <v>134.4</v>
      </c>
      <c r="I1079" s="169"/>
      <c r="J1079" s="169"/>
      <c r="K1079" s="167"/>
      <c r="L1079" s="169">
        <v>134.4</v>
      </c>
      <c r="M1079" s="169"/>
      <c r="N1079" s="169"/>
      <c r="O1079" s="169"/>
      <c r="P1079" s="169"/>
      <c r="Q1079" s="169"/>
      <c r="R1079" s="169"/>
      <c r="S1079" s="169"/>
      <c r="T1079" s="169"/>
      <c r="U1079" s="170"/>
      <c r="V1079" s="171"/>
    </row>
    <row r="1080" spans="1:22" hidden="1" outlineLevel="2" x14ac:dyDescent="0.25">
      <c r="A1080" s="186">
        <f>SUMIFS(МКД!$A$6:$A$389,МКД!$D$6:$D$389,Таблица1[[#This Row],[2]])</f>
        <v>176</v>
      </c>
      <c r="B1080" s="168"/>
      <c r="C1080" s="182" t="s">
        <v>702</v>
      </c>
      <c r="D1080" s="167" t="s">
        <v>255</v>
      </c>
      <c r="E1080" s="167" t="s">
        <v>256</v>
      </c>
      <c r="F1080" s="167">
        <v>1</v>
      </c>
      <c r="G1080" s="168">
        <f>SUMIFS(Таблица1[[#This Row],[8]:[19]],$I$5:$T$5,"Выкуп")</f>
        <v>0</v>
      </c>
      <c r="H1080" s="168">
        <f>SUMIFS(Таблица1[[#This Row],[8]:[19]],$I$5:$T$5,"Аренда")</f>
        <v>102.9</v>
      </c>
      <c r="I1080" s="169"/>
      <c r="J1080" s="169"/>
      <c r="K1080" s="167"/>
      <c r="L1080" s="169">
        <v>102.9</v>
      </c>
      <c r="M1080" s="169"/>
      <c r="N1080" s="169"/>
      <c r="O1080" s="169"/>
      <c r="P1080" s="169"/>
      <c r="Q1080" s="169"/>
      <c r="R1080" s="169"/>
      <c r="S1080" s="169"/>
      <c r="T1080" s="169"/>
      <c r="U1080" s="170"/>
      <c r="V1080" s="171"/>
    </row>
    <row r="1081" spans="1:22" hidden="1" outlineLevel="2" x14ac:dyDescent="0.25">
      <c r="A1081" s="186">
        <f>SUMIFS(МКД!$A$6:$A$389,МКД!$D$6:$D$389,Таблица1[[#This Row],[2]])</f>
        <v>176</v>
      </c>
      <c r="B1081" s="168"/>
      <c r="C1081" s="182" t="s">
        <v>702</v>
      </c>
      <c r="D1081" s="167" t="s">
        <v>257</v>
      </c>
      <c r="E1081" s="167" t="s">
        <v>2705</v>
      </c>
      <c r="F1081" s="167">
        <v>1</v>
      </c>
      <c r="G1081" s="168">
        <f>SUMIFS(Таблица1[[#This Row],[8]:[19]],$I$5:$T$5,"Выкуп")</f>
        <v>0</v>
      </c>
      <c r="H1081" s="168">
        <f>SUMIFS(Таблица1[[#This Row],[8]:[19]],$I$5:$T$5,"Аренда")</f>
        <v>38.299999999999997</v>
      </c>
      <c r="I1081" s="169"/>
      <c r="J1081" s="169"/>
      <c r="K1081" s="167"/>
      <c r="L1081" s="169">
        <v>38.299999999999997</v>
      </c>
      <c r="M1081" s="169"/>
      <c r="N1081" s="169"/>
      <c r="O1081" s="169"/>
      <c r="P1081" s="169"/>
      <c r="Q1081" s="169"/>
      <c r="R1081" s="169"/>
      <c r="S1081" s="169"/>
      <c r="T1081" s="169"/>
      <c r="U1081" s="170"/>
      <c r="V1081" s="171"/>
    </row>
    <row r="1082" spans="1:22" ht="15" outlineLevel="1" collapsed="1" x14ac:dyDescent="0.25">
      <c r="A1082" s="186">
        <f>SUMIFS(МКД!$A$6:$A$389,МКД!$D$6:$D$389,Таблица1[[#This Row],[2]])</f>
        <v>177</v>
      </c>
      <c r="B1082" s="194">
        <f>SUMIFS(Таблица1[6],Таблица1[2],Таблица1[[#This Row],[2]])+SUMIFS(Таблица1[7],Таблица1[2],Таблица1[[#This Row],[2]])</f>
        <v>1578</v>
      </c>
      <c r="C1082" s="185" t="s">
        <v>600</v>
      </c>
      <c r="D1082" s="196"/>
      <c r="E1082" s="196"/>
      <c r="F1082" s="196"/>
      <c r="G1082" s="168"/>
      <c r="H1082" s="197"/>
      <c r="I1082" s="196"/>
      <c r="J1082" s="196"/>
      <c r="K1082" s="196"/>
      <c r="L1082" s="196"/>
      <c r="M1082" s="196"/>
      <c r="N1082" s="196"/>
      <c r="O1082" s="196"/>
      <c r="P1082" s="196"/>
      <c r="Q1082" s="196"/>
      <c r="R1082" s="196"/>
      <c r="S1082" s="196"/>
      <c r="T1082" s="196"/>
      <c r="U1082" s="196"/>
      <c r="V1082" s="198"/>
    </row>
    <row r="1083" spans="1:22" hidden="1" outlineLevel="2" x14ac:dyDescent="0.25">
      <c r="A1083" s="186">
        <f>SUMIFS(МКД!$A$6:$A$389,МКД!$D$6:$D$389,Таблица1[[#This Row],[2]])</f>
        <v>177</v>
      </c>
      <c r="B1083" s="170"/>
      <c r="C1083" s="182" t="s">
        <v>600</v>
      </c>
      <c r="D1083" s="167" t="s">
        <v>258</v>
      </c>
      <c r="E1083" s="167" t="s">
        <v>2222</v>
      </c>
      <c r="F1083" s="167">
        <v>1</v>
      </c>
      <c r="G1083" s="168">
        <f>SUMIFS(Таблица1[[#This Row],[8]:[19]],$I$5:$T$5,"Выкуп")</f>
        <v>215.5</v>
      </c>
      <c r="H1083" s="168">
        <f>SUMIFS(Таблица1[[#This Row],[8]:[19]],$I$5:$T$5,"Аренда")</f>
        <v>0</v>
      </c>
      <c r="I1083" s="169">
        <v>215.5</v>
      </c>
      <c r="J1083" s="169"/>
      <c r="K1083" s="169"/>
      <c r="L1083" s="169"/>
      <c r="M1083" s="169"/>
      <c r="N1083" s="169"/>
      <c r="O1083" s="169"/>
      <c r="P1083" s="169"/>
      <c r="Q1083" s="169"/>
      <c r="R1083" s="169"/>
      <c r="S1083" s="169"/>
      <c r="T1083" s="169"/>
      <c r="U1083" s="170"/>
      <c r="V1083" s="171"/>
    </row>
    <row r="1084" spans="1:22" hidden="1" outlineLevel="2" x14ac:dyDescent="0.25">
      <c r="A1084" s="186">
        <f>SUMIFS(МКД!$A$6:$A$389,МКД!$D$6:$D$389,Таблица1[[#This Row],[2]])</f>
        <v>177</v>
      </c>
      <c r="B1084" s="168"/>
      <c r="C1084" s="182" t="s">
        <v>600</v>
      </c>
      <c r="D1084" s="167" t="s">
        <v>1850</v>
      </c>
      <c r="E1084" s="167" t="s">
        <v>2223</v>
      </c>
      <c r="F1084" s="167">
        <v>1</v>
      </c>
      <c r="G1084" s="168">
        <f>SUMIFS(Таблица1[[#This Row],[8]:[19]],$I$5:$T$5,"Выкуп")</f>
        <v>112.5</v>
      </c>
      <c r="H1084" s="168">
        <f>SUMIFS(Таблица1[[#This Row],[8]:[19]],$I$5:$T$5,"Аренда")</f>
        <v>0</v>
      </c>
      <c r="I1084" s="169">
        <v>112.5</v>
      </c>
      <c r="J1084" s="169"/>
      <c r="K1084" s="169"/>
      <c r="L1084" s="169"/>
      <c r="M1084" s="169"/>
      <c r="N1084" s="169"/>
      <c r="O1084" s="169"/>
      <c r="P1084" s="169"/>
      <c r="Q1084" s="169"/>
      <c r="R1084" s="169"/>
      <c r="S1084" s="169"/>
      <c r="T1084" s="169"/>
      <c r="U1084" s="170"/>
      <c r="V1084" s="171"/>
    </row>
    <row r="1085" spans="1:22" hidden="1" outlineLevel="2" x14ac:dyDescent="0.25">
      <c r="A1085" s="186">
        <f>SUMIFS(МКД!$A$6:$A$389,МКД!$D$6:$D$389,Таблица1[[#This Row],[2]])</f>
        <v>177</v>
      </c>
      <c r="B1085" s="168"/>
      <c r="C1085" s="182" t="s">
        <v>600</v>
      </c>
      <c r="D1085" s="167" t="s">
        <v>1986</v>
      </c>
      <c r="E1085" s="167" t="s">
        <v>2224</v>
      </c>
      <c r="F1085" s="167">
        <v>1</v>
      </c>
      <c r="G1085" s="168">
        <f>SUMIFS(Таблица1[[#This Row],[8]:[19]],$I$5:$T$5,"Выкуп")</f>
        <v>37.4</v>
      </c>
      <c r="H1085" s="168">
        <f>SUMIFS(Таблица1[[#This Row],[8]:[19]],$I$5:$T$5,"Аренда")</f>
        <v>0</v>
      </c>
      <c r="I1085" s="169">
        <v>37.4</v>
      </c>
      <c r="J1085" s="169"/>
      <c r="K1085" s="169"/>
      <c r="L1085" s="169"/>
      <c r="M1085" s="169"/>
      <c r="N1085" s="169"/>
      <c r="O1085" s="169"/>
      <c r="P1085" s="169"/>
      <c r="Q1085" s="169"/>
      <c r="R1085" s="169"/>
      <c r="S1085" s="169"/>
      <c r="T1085" s="169"/>
      <c r="U1085" s="170"/>
      <c r="V1085" s="171"/>
    </row>
    <row r="1086" spans="1:22" hidden="1" outlineLevel="2" x14ac:dyDescent="0.25">
      <c r="A1086" s="186">
        <f>SUMIFS(МКД!$A$6:$A$389,МКД!$D$6:$D$389,Таблица1[[#This Row],[2]])</f>
        <v>177</v>
      </c>
      <c r="B1086" s="168"/>
      <c r="C1086" s="182" t="s">
        <v>600</v>
      </c>
      <c r="D1086" s="167" t="s">
        <v>1469</v>
      </c>
      <c r="E1086" s="167" t="s">
        <v>1470</v>
      </c>
      <c r="F1086" s="167">
        <v>1</v>
      </c>
      <c r="G1086" s="168">
        <f>SUMIFS(Таблица1[[#This Row],[8]:[19]],$I$5:$T$5,"Выкуп")</f>
        <v>66.2</v>
      </c>
      <c r="H1086" s="168">
        <f>SUMIFS(Таблица1[[#This Row],[8]:[19]],$I$5:$T$5,"Аренда")</f>
        <v>0</v>
      </c>
      <c r="I1086" s="169">
        <v>66.2</v>
      </c>
      <c r="J1086" s="169"/>
      <c r="K1086" s="169"/>
      <c r="L1086" s="169"/>
      <c r="M1086" s="169"/>
      <c r="N1086" s="169"/>
      <c r="O1086" s="169"/>
      <c r="P1086" s="169"/>
      <c r="Q1086" s="169"/>
      <c r="R1086" s="169"/>
      <c r="S1086" s="169"/>
      <c r="T1086" s="169"/>
      <c r="U1086" s="170"/>
      <c r="V1086" s="171"/>
    </row>
    <row r="1087" spans="1:22" hidden="1" outlineLevel="2" x14ac:dyDescent="0.25">
      <c r="A1087" s="186">
        <f>SUMIFS(МКД!$A$6:$A$389,МКД!$D$6:$D$389,Таблица1[[#This Row],[2]])</f>
        <v>177</v>
      </c>
      <c r="B1087" s="168"/>
      <c r="C1087" s="182" t="s">
        <v>600</v>
      </c>
      <c r="D1087" s="167" t="s">
        <v>1593</v>
      </c>
      <c r="E1087" s="273" t="s">
        <v>1753</v>
      </c>
      <c r="F1087" s="167">
        <v>1</v>
      </c>
      <c r="G1087" s="168">
        <f>SUMIFS(Таблица1[[#This Row],[8]:[19]],$I$5:$T$5,"Выкуп")</f>
        <v>102.2</v>
      </c>
      <c r="H1087" s="168">
        <f>SUMIFS(Таблица1[[#This Row],[8]:[19]],$I$5:$T$5,"Аренда")</f>
        <v>0</v>
      </c>
      <c r="I1087" s="169"/>
      <c r="J1087" s="169"/>
      <c r="K1087" s="169">
        <v>102.2</v>
      </c>
      <c r="L1087" s="169"/>
      <c r="M1087" s="169"/>
      <c r="N1087" s="169"/>
      <c r="O1087" s="169"/>
      <c r="P1087" s="169"/>
      <c r="Q1087" s="169"/>
      <c r="R1087" s="169"/>
      <c r="S1087" s="169"/>
      <c r="T1087" s="169"/>
      <c r="U1087" s="170"/>
      <c r="V1087" s="171"/>
    </row>
    <row r="1088" spans="1:22" hidden="1" outlineLevel="2" x14ac:dyDescent="0.25">
      <c r="A1088" s="186">
        <f>SUMIFS(МКД!$A$6:$A$389,МКД!$D$6:$D$389,Таблица1[[#This Row],[2]])</f>
        <v>177</v>
      </c>
      <c r="B1088" s="168"/>
      <c r="C1088" s="182" t="s">
        <v>600</v>
      </c>
      <c r="D1088" s="167" t="s">
        <v>2226</v>
      </c>
      <c r="E1088" s="167" t="s">
        <v>2225</v>
      </c>
      <c r="F1088" s="167">
        <v>1</v>
      </c>
      <c r="G1088" s="168">
        <f>SUMIFS(Таблица1[[#This Row],[8]:[19]],$I$5:$T$5,"Выкуп")</f>
        <v>136.1</v>
      </c>
      <c r="H1088" s="168">
        <f>SUMIFS(Таблица1[[#This Row],[8]:[19]],$I$5:$T$5,"Аренда")</f>
        <v>0</v>
      </c>
      <c r="I1088" s="169">
        <v>136.1</v>
      </c>
      <c r="J1088" s="169"/>
      <c r="K1088" s="169"/>
      <c r="L1088" s="169"/>
      <c r="M1088" s="169"/>
      <c r="N1088" s="169"/>
      <c r="O1088" s="169"/>
      <c r="P1088" s="169"/>
      <c r="Q1088" s="169"/>
      <c r="R1088" s="169"/>
      <c r="S1088" s="169"/>
      <c r="T1088" s="169"/>
      <c r="U1088" s="170"/>
      <c r="V1088" s="171"/>
    </row>
    <row r="1089" spans="1:22" hidden="1" outlineLevel="2" x14ac:dyDescent="0.25">
      <c r="A1089" s="186">
        <f>SUMIFS(МКД!$A$6:$A$389,МКД!$D$6:$D$389,Таблица1[[#This Row],[2]])</f>
        <v>177</v>
      </c>
      <c r="B1089" s="168"/>
      <c r="C1089" s="182" t="s">
        <v>600</v>
      </c>
      <c r="D1089" s="167" t="s">
        <v>1705</v>
      </c>
      <c r="E1089" s="167" t="s">
        <v>1704</v>
      </c>
      <c r="F1089" s="167">
        <v>1</v>
      </c>
      <c r="G1089" s="168">
        <f>SUMIFS(Таблица1[[#This Row],[8]:[19]],$I$5:$T$5,"Выкуп")</f>
        <v>108.2</v>
      </c>
      <c r="H1089" s="168">
        <f>SUMIFS(Таблица1[[#This Row],[8]:[19]],$I$5:$T$5,"Аренда")</f>
        <v>0</v>
      </c>
      <c r="I1089" s="169">
        <v>108.2</v>
      </c>
      <c r="J1089" s="169"/>
      <c r="K1089" s="169"/>
      <c r="L1089" s="169"/>
      <c r="M1089" s="169"/>
      <c r="N1089" s="169"/>
      <c r="O1089" s="169"/>
      <c r="P1089" s="169"/>
      <c r="Q1089" s="169"/>
      <c r="R1089" s="169"/>
      <c r="S1089" s="169"/>
      <c r="T1089" s="169"/>
      <c r="U1089" s="170"/>
      <c r="V1089" s="171"/>
    </row>
    <row r="1090" spans="1:22" hidden="1" outlineLevel="2" x14ac:dyDescent="0.25">
      <c r="A1090" s="186">
        <f>SUMIFS(МКД!$A$6:$A$389,МКД!$D$6:$D$389,Таблица1[[#This Row],[2]])</f>
        <v>177</v>
      </c>
      <c r="B1090" s="168"/>
      <c r="C1090" s="182" t="s">
        <v>600</v>
      </c>
      <c r="D1090" s="167" t="s">
        <v>259</v>
      </c>
      <c r="E1090" s="167" t="s">
        <v>2227</v>
      </c>
      <c r="F1090" s="167">
        <v>1</v>
      </c>
      <c r="G1090" s="168">
        <f>SUMIFS(Таблица1[[#This Row],[8]:[19]],$I$5:$T$5,"Выкуп")</f>
        <v>81.8</v>
      </c>
      <c r="H1090" s="168">
        <f>SUMIFS(Таблица1[[#This Row],[8]:[19]],$I$5:$T$5,"Аренда")</f>
        <v>0</v>
      </c>
      <c r="I1090" s="169">
        <v>81.8</v>
      </c>
      <c r="J1090" s="169"/>
      <c r="K1090" s="169"/>
      <c r="L1090" s="169"/>
      <c r="M1090" s="169"/>
      <c r="N1090" s="169"/>
      <c r="O1090" s="169"/>
      <c r="P1090" s="169"/>
      <c r="Q1090" s="169"/>
      <c r="R1090" s="169"/>
      <c r="S1090" s="169"/>
      <c r="T1090" s="169"/>
      <c r="U1090" s="170"/>
      <c r="V1090" s="171"/>
    </row>
    <row r="1091" spans="1:22" hidden="1" outlineLevel="2" x14ac:dyDescent="0.25">
      <c r="A1091" s="186">
        <f>SUMIFS(МКД!$A$6:$A$389,МКД!$D$6:$D$389,Таблица1[[#This Row],[2]])</f>
        <v>177</v>
      </c>
      <c r="B1091" s="168"/>
      <c r="C1091" s="182" t="s">
        <v>600</v>
      </c>
      <c r="D1091" s="167" t="s">
        <v>2220</v>
      </c>
      <c r="E1091" s="167" t="s">
        <v>2221</v>
      </c>
      <c r="F1091" s="167">
        <v>1</v>
      </c>
      <c r="G1091" s="168">
        <f>SUMIFS(Таблица1[[#This Row],[8]:[19]],$I$5:$T$5,"Выкуп")</f>
        <v>0</v>
      </c>
      <c r="H1091" s="168">
        <f>SUMIFS(Таблица1[[#This Row],[8]:[19]],$I$5:$T$5,"Аренда")</f>
        <v>13.7</v>
      </c>
      <c r="I1091" s="169"/>
      <c r="J1091" s="169"/>
      <c r="K1091" s="169"/>
      <c r="L1091" s="169"/>
      <c r="M1091" s="169"/>
      <c r="N1091" s="169"/>
      <c r="O1091" s="169"/>
      <c r="P1091" s="169">
        <v>13.7</v>
      </c>
      <c r="Q1091" s="169"/>
      <c r="R1091" s="169"/>
      <c r="S1091" s="169"/>
      <c r="T1091" s="169"/>
      <c r="U1091" s="170"/>
      <c r="V1091" s="171"/>
    </row>
    <row r="1092" spans="1:22" hidden="1" outlineLevel="2" x14ac:dyDescent="0.25">
      <c r="A1092" s="186">
        <f>SUMIFS(МКД!$A$6:$A$389,МКД!$D$6:$D$389,Таблица1[[#This Row],[2]])</f>
        <v>177</v>
      </c>
      <c r="B1092" s="168"/>
      <c r="C1092" s="182" t="s">
        <v>600</v>
      </c>
      <c r="D1092" s="167" t="s">
        <v>260</v>
      </c>
      <c r="E1092" s="167" t="s">
        <v>1001</v>
      </c>
      <c r="F1092" s="167">
        <v>1</v>
      </c>
      <c r="G1092" s="168">
        <f>SUMIFS(Таблица1[[#This Row],[8]:[19]],$I$5:$T$5,"Выкуп")</f>
        <v>81.5</v>
      </c>
      <c r="H1092" s="168">
        <f>SUMIFS(Таблица1[[#This Row],[8]:[19]],$I$5:$T$5,"Аренда")</f>
        <v>0</v>
      </c>
      <c r="I1092" s="169">
        <v>81.5</v>
      </c>
      <c r="J1092" s="169"/>
      <c r="K1092" s="169"/>
      <c r="L1092" s="169"/>
      <c r="M1092" s="169"/>
      <c r="N1092" s="169"/>
      <c r="O1092" s="169"/>
      <c r="P1092" s="169"/>
      <c r="Q1092" s="169"/>
      <c r="R1092" s="169"/>
      <c r="S1092" s="169"/>
      <c r="T1092" s="169"/>
      <c r="U1092" s="170"/>
      <c r="V1092" s="171"/>
    </row>
    <row r="1093" spans="1:22" hidden="1" outlineLevel="2" x14ac:dyDescent="0.25">
      <c r="A1093" s="186">
        <f>SUMIFS(МКД!$A$6:$A$389,МКД!$D$6:$D$389,Таблица1[[#This Row],[2]])</f>
        <v>177</v>
      </c>
      <c r="B1093" s="168"/>
      <c r="C1093" s="182" t="s">
        <v>600</v>
      </c>
      <c r="D1093" s="167" t="s">
        <v>261</v>
      </c>
      <c r="E1093" s="167" t="s">
        <v>2228</v>
      </c>
      <c r="F1093" s="167">
        <v>1</v>
      </c>
      <c r="G1093" s="168">
        <f>SUMIFS(Таблица1[[#This Row],[8]:[19]],$I$5:$T$5,"Выкуп")</f>
        <v>43.3</v>
      </c>
      <c r="H1093" s="168">
        <f>SUMIFS(Таблица1[[#This Row],[8]:[19]],$I$5:$T$5,"Аренда")</f>
        <v>0</v>
      </c>
      <c r="I1093" s="169">
        <v>43.3</v>
      </c>
      <c r="J1093" s="169"/>
      <c r="K1093" s="169"/>
      <c r="L1093" s="169"/>
      <c r="M1093" s="169"/>
      <c r="N1093" s="169"/>
      <c r="O1093" s="169"/>
      <c r="P1093" s="169"/>
      <c r="Q1093" s="169"/>
      <c r="R1093" s="169"/>
      <c r="S1093" s="169"/>
      <c r="T1093" s="169"/>
      <c r="U1093" s="170"/>
      <c r="V1093" s="171"/>
    </row>
    <row r="1094" spans="1:22" hidden="1" outlineLevel="2" x14ac:dyDescent="0.25">
      <c r="A1094" s="186">
        <f>SUMIFS(МКД!$A$6:$A$389,МКД!$D$6:$D$389,Таблица1[[#This Row],[2]])</f>
        <v>177</v>
      </c>
      <c r="B1094" s="168"/>
      <c r="C1094" s="182" t="s">
        <v>600</v>
      </c>
      <c r="D1094" s="167" t="s">
        <v>2218</v>
      </c>
      <c r="E1094" s="167" t="s">
        <v>2219</v>
      </c>
      <c r="F1094" s="167">
        <v>1</v>
      </c>
      <c r="G1094" s="168">
        <f>SUMIFS(Таблица1[[#This Row],[8]:[19]],$I$5:$T$5,"Выкуп")</f>
        <v>0</v>
      </c>
      <c r="H1094" s="168">
        <f>SUMIFS(Таблица1[[#This Row],[8]:[19]],$I$5:$T$5,"Аренда")</f>
        <v>13.7</v>
      </c>
      <c r="I1094" s="169"/>
      <c r="J1094" s="169"/>
      <c r="K1094" s="169"/>
      <c r="L1094" s="169"/>
      <c r="M1094" s="169"/>
      <c r="N1094" s="169"/>
      <c r="O1094" s="169"/>
      <c r="P1094" s="169">
        <v>13.7</v>
      </c>
      <c r="Q1094" s="169"/>
      <c r="R1094" s="169"/>
      <c r="S1094" s="169"/>
      <c r="T1094" s="169"/>
      <c r="U1094" s="170"/>
      <c r="V1094" s="171"/>
    </row>
    <row r="1095" spans="1:22" hidden="1" outlineLevel="2" x14ac:dyDescent="0.25">
      <c r="A1095" s="186">
        <f>SUMIFS(МКД!$A$6:$A$389,МКД!$D$6:$D$389,Таблица1[[#This Row],[2]])</f>
        <v>177</v>
      </c>
      <c r="B1095" s="168"/>
      <c r="C1095" s="182" t="s">
        <v>600</v>
      </c>
      <c r="D1095" s="167" t="s">
        <v>1394</v>
      </c>
      <c r="E1095" s="167" t="s">
        <v>2832</v>
      </c>
      <c r="F1095" s="167">
        <v>1</v>
      </c>
      <c r="G1095" s="168">
        <f>SUMIFS(Таблица1[[#This Row],[8]:[19]],$I$5:$T$5,"Выкуп")</f>
        <v>38.9</v>
      </c>
      <c r="H1095" s="168">
        <f>SUMIFS(Таблица1[[#This Row],[8]:[19]],$I$5:$T$5,"Аренда")</f>
        <v>0</v>
      </c>
      <c r="I1095" s="169"/>
      <c r="J1095" s="169"/>
      <c r="K1095" s="169"/>
      <c r="L1095" s="169"/>
      <c r="M1095" s="278">
        <v>38.9</v>
      </c>
      <c r="N1095" s="169"/>
      <c r="O1095" s="169"/>
      <c r="P1095" s="169"/>
      <c r="Q1095" s="169"/>
      <c r="R1095" s="169"/>
      <c r="S1095" s="169"/>
      <c r="T1095" s="169"/>
      <c r="U1095" s="170"/>
      <c r="V1095" s="171"/>
    </row>
    <row r="1096" spans="1:22" hidden="1" outlineLevel="2" x14ac:dyDescent="0.25">
      <c r="A1096" s="186">
        <f>SUMIFS(МКД!$A$6:$A$389,МКД!$D$6:$D$389,Таблица1[[#This Row],[2]])</f>
        <v>177</v>
      </c>
      <c r="B1096" s="168"/>
      <c r="C1096" s="182" t="s">
        <v>600</v>
      </c>
      <c r="D1096" s="167" t="s">
        <v>1053</v>
      </c>
      <c r="E1096" s="167" t="s">
        <v>2832</v>
      </c>
      <c r="F1096" s="167">
        <v>1</v>
      </c>
      <c r="G1096" s="168">
        <f>SUMIFS(Таблица1[[#This Row],[8]:[19]],$I$5:$T$5,"Выкуп")</f>
        <v>527</v>
      </c>
      <c r="H1096" s="168">
        <f>SUMIFS(Таблица1[[#This Row],[8]:[19]],$I$5:$T$5,"Аренда")</f>
        <v>0</v>
      </c>
      <c r="I1096" s="169"/>
      <c r="J1096" s="169"/>
      <c r="K1096" s="169"/>
      <c r="L1096" s="169"/>
      <c r="M1096" s="278">
        <v>527</v>
      </c>
      <c r="N1096" s="169"/>
      <c r="O1096" s="169"/>
      <c r="P1096" s="169"/>
      <c r="Q1096" s="169"/>
      <c r="R1096" s="169"/>
      <c r="S1096" s="169"/>
      <c r="T1096" s="169"/>
      <c r="U1096" s="170"/>
      <c r="V1096" s="171"/>
    </row>
    <row r="1097" spans="1:22" ht="15" outlineLevel="1" collapsed="1" x14ac:dyDescent="0.25">
      <c r="A1097" s="186">
        <f>SUMIFS(МКД!$A$6:$A$389,МКД!$D$6:$D$389,Таблица1[[#This Row],[2]])</f>
        <v>178</v>
      </c>
      <c r="B1097" s="194">
        <f>SUMIFS(Таблица1[6],Таблица1[2],Таблица1[[#This Row],[2]])+SUMIFS(Таблица1[7],Таблица1[2],Таблица1[[#This Row],[2]])</f>
        <v>418.5</v>
      </c>
      <c r="C1097" s="185" t="s">
        <v>601</v>
      </c>
      <c r="D1097" s="196"/>
      <c r="E1097" s="196"/>
      <c r="F1097" s="196"/>
      <c r="G1097" s="168"/>
      <c r="H1097" s="197"/>
      <c r="I1097" s="196"/>
      <c r="J1097" s="196"/>
      <c r="K1097" s="196"/>
      <c r="L1097" s="196"/>
      <c r="M1097" s="196"/>
      <c r="N1097" s="196"/>
      <c r="O1097" s="196"/>
      <c r="P1097" s="196"/>
      <c r="Q1097" s="196"/>
      <c r="R1097" s="196"/>
      <c r="S1097" s="196"/>
      <c r="T1097" s="196"/>
      <c r="U1097" s="196"/>
      <c r="V1097" s="198"/>
    </row>
    <row r="1098" spans="1:22" hidden="1" outlineLevel="2" x14ac:dyDescent="0.25">
      <c r="A1098" s="186">
        <f>SUMIFS(МКД!$A$6:$A$389,МКД!$D$6:$D$389,Таблица1[[#This Row],[2]])</f>
        <v>178</v>
      </c>
      <c r="B1098" s="170"/>
      <c r="C1098" s="182" t="s">
        <v>601</v>
      </c>
      <c r="D1098" s="167" t="s">
        <v>1539</v>
      </c>
      <c r="E1098" s="167" t="s">
        <v>237</v>
      </c>
      <c r="F1098" s="167">
        <v>1</v>
      </c>
      <c r="G1098" s="168">
        <f>SUMIFS(Таблица1[[#This Row],[8]:[19]],$I$5:$T$5,"Выкуп")</f>
        <v>125.7</v>
      </c>
      <c r="H1098" s="168">
        <f>SUMIFS(Таблица1[[#This Row],[8]:[19]],$I$5:$T$5,"Аренда")</f>
        <v>0</v>
      </c>
      <c r="I1098" s="169">
        <v>125.7</v>
      </c>
      <c r="J1098" s="169"/>
      <c r="K1098" s="169"/>
      <c r="L1098" s="169"/>
      <c r="M1098" s="169"/>
      <c r="N1098" s="169"/>
      <c r="O1098" s="169"/>
      <c r="P1098" s="169"/>
      <c r="Q1098" s="169"/>
      <c r="R1098" s="169"/>
      <c r="S1098" s="169"/>
      <c r="T1098" s="169"/>
      <c r="U1098" s="170"/>
      <c r="V1098" s="171"/>
    </row>
    <row r="1099" spans="1:22" hidden="1" outlineLevel="2" x14ac:dyDescent="0.25">
      <c r="A1099" s="186">
        <f>SUMIFS(МКД!$A$6:$A$389,МКД!$D$6:$D$389,Таблица1[[#This Row],[2]])</f>
        <v>178</v>
      </c>
      <c r="B1099" s="170"/>
      <c r="C1099" s="182" t="s">
        <v>601</v>
      </c>
      <c r="D1099" s="167" t="s">
        <v>1053</v>
      </c>
      <c r="E1099" s="167" t="s">
        <v>1949</v>
      </c>
      <c r="F1099" s="167">
        <v>1</v>
      </c>
      <c r="G1099" s="168">
        <f>SUMIFS(Таблица1[[#This Row],[8]:[19]],$I$5:$T$5,"Выкуп")</f>
        <v>29.2</v>
      </c>
      <c r="H1099" s="168">
        <f>SUMIFS(Таблица1[[#This Row],[8]:[19]],$I$5:$T$5,"Аренда")</f>
        <v>0</v>
      </c>
      <c r="I1099" s="169">
        <v>29.2</v>
      </c>
      <c r="J1099" s="169"/>
      <c r="K1099" s="169"/>
      <c r="L1099" s="169"/>
      <c r="M1099" s="169"/>
      <c r="N1099" s="169"/>
      <c r="O1099" s="169"/>
      <c r="P1099" s="169"/>
      <c r="Q1099" s="169"/>
      <c r="R1099" s="169"/>
      <c r="S1099" s="169"/>
      <c r="T1099" s="169"/>
      <c r="U1099" s="170"/>
      <c r="V1099" s="171"/>
    </row>
    <row r="1100" spans="1:22" hidden="1" outlineLevel="2" x14ac:dyDescent="0.25">
      <c r="A1100" s="186">
        <f>SUMIFS(МКД!$A$6:$A$389,МКД!$D$6:$D$389,Таблица1[[#This Row],[2]])</f>
        <v>178</v>
      </c>
      <c r="B1100" s="170"/>
      <c r="C1100" s="182" t="s">
        <v>601</v>
      </c>
      <c r="D1100" s="167" t="s">
        <v>1599</v>
      </c>
      <c r="E1100" s="167" t="s">
        <v>762</v>
      </c>
      <c r="F1100" s="167">
        <v>1</v>
      </c>
      <c r="G1100" s="168">
        <f>SUMIFS(Таблица1[[#This Row],[8]:[19]],$I$5:$T$5,"Выкуп")</f>
        <v>12.1</v>
      </c>
      <c r="H1100" s="168">
        <f>SUMIFS(Таблица1[[#This Row],[8]:[19]],$I$5:$T$5,"Аренда")</f>
        <v>0</v>
      </c>
      <c r="I1100" s="169">
        <v>12.1</v>
      </c>
      <c r="J1100" s="169"/>
      <c r="K1100" s="169"/>
      <c r="L1100" s="169"/>
      <c r="M1100" s="169"/>
      <c r="N1100" s="169"/>
      <c r="O1100" s="169"/>
      <c r="P1100" s="169"/>
      <c r="Q1100" s="169"/>
      <c r="R1100" s="169"/>
      <c r="S1100" s="169"/>
      <c r="T1100" s="169"/>
      <c r="U1100" s="170"/>
      <c r="V1100" s="171"/>
    </row>
    <row r="1101" spans="1:22" hidden="1" outlineLevel="2" x14ac:dyDescent="0.25">
      <c r="A1101" s="186">
        <f>SUMIFS(МКД!$A$6:$A$389,МКД!$D$6:$D$389,Таблица1[[#This Row],[2]])</f>
        <v>178</v>
      </c>
      <c r="B1101" s="170"/>
      <c r="C1101" s="182" t="s">
        <v>601</v>
      </c>
      <c r="D1101" s="167" t="s">
        <v>1540</v>
      </c>
      <c r="E1101" s="167" t="s">
        <v>76</v>
      </c>
      <c r="F1101" s="167">
        <v>1</v>
      </c>
      <c r="G1101" s="168">
        <f>SUMIFS(Таблица1[[#This Row],[8]:[19]],$I$5:$T$5,"Выкуп")</f>
        <v>14.9</v>
      </c>
      <c r="H1101" s="168">
        <f>SUMIFS(Таблица1[[#This Row],[8]:[19]],$I$5:$T$5,"Аренда")</f>
        <v>0</v>
      </c>
      <c r="I1101" s="169">
        <v>14.9</v>
      </c>
      <c r="J1101" s="169"/>
      <c r="K1101" s="169"/>
      <c r="L1101" s="169"/>
      <c r="M1101" s="169"/>
      <c r="N1101" s="169"/>
      <c r="O1101" s="169"/>
      <c r="P1101" s="169"/>
      <c r="Q1101" s="169"/>
      <c r="R1101" s="169"/>
      <c r="S1101" s="169"/>
      <c r="T1101" s="169"/>
      <c r="U1101" s="170"/>
      <c r="V1101" s="171"/>
    </row>
    <row r="1102" spans="1:22" hidden="1" outlineLevel="2" x14ac:dyDescent="0.25">
      <c r="A1102" s="186">
        <f>SUMIFS(МКД!$A$6:$A$389,МКД!$D$6:$D$389,Таблица1[[#This Row],[2]])</f>
        <v>178</v>
      </c>
      <c r="B1102" s="168"/>
      <c r="C1102" s="182" t="s">
        <v>601</v>
      </c>
      <c r="D1102" s="167" t="s">
        <v>189</v>
      </c>
      <c r="E1102" s="167" t="s">
        <v>121</v>
      </c>
      <c r="F1102" s="167"/>
      <c r="G1102" s="168">
        <f>SUMIFS(Таблица1[[#This Row],[8]:[19]],$I$5:$T$5,"Выкуп")</f>
        <v>0</v>
      </c>
      <c r="H1102" s="168">
        <f>SUMIFS(Таблица1[[#This Row],[8]:[19]],$I$5:$T$5,"Аренда")</f>
        <v>37.4</v>
      </c>
      <c r="I1102" s="167"/>
      <c r="J1102" s="169">
        <v>37.4</v>
      </c>
      <c r="K1102" s="169"/>
      <c r="L1102" s="169"/>
      <c r="M1102" s="169"/>
      <c r="N1102" s="169"/>
      <c r="O1102" s="169"/>
      <c r="P1102" s="169"/>
      <c r="Q1102" s="169"/>
      <c r="R1102" s="169"/>
      <c r="S1102" s="169"/>
      <c r="T1102" s="169"/>
      <c r="U1102" s="170"/>
      <c r="V1102" s="171"/>
    </row>
    <row r="1103" spans="1:22" hidden="1" outlineLevel="2" x14ac:dyDescent="0.25">
      <c r="A1103" s="186">
        <f>SUMIFS(МКД!$A$6:$A$389,МКД!$D$6:$D$389,Таблица1[[#This Row],[2]])</f>
        <v>178</v>
      </c>
      <c r="B1103" s="168"/>
      <c r="C1103" s="182" t="s">
        <v>601</v>
      </c>
      <c r="D1103" s="167" t="s">
        <v>1053</v>
      </c>
      <c r="E1103" s="167" t="s">
        <v>2827</v>
      </c>
      <c r="F1103" s="167"/>
      <c r="G1103" s="168">
        <f>SUMIFS(Таблица1[[#This Row],[8]:[19]],$I$5:$T$5,"Выкуп")</f>
        <v>199.2</v>
      </c>
      <c r="H1103" s="168">
        <f>SUMIFS(Таблица1[[#This Row],[8]:[19]],$I$5:$T$5,"Аренда")</f>
        <v>0</v>
      </c>
      <c r="I1103" s="167"/>
      <c r="J1103" s="169"/>
      <c r="K1103" s="169"/>
      <c r="L1103" s="169"/>
      <c r="M1103" s="169">
        <v>199.2</v>
      </c>
      <c r="N1103" s="169"/>
      <c r="O1103" s="169"/>
      <c r="P1103" s="169"/>
      <c r="Q1103" s="169"/>
      <c r="R1103" s="169"/>
      <c r="S1103" s="169"/>
      <c r="T1103" s="169"/>
      <c r="U1103" s="170"/>
      <c r="V1103" s="171"/>
    </row>
    <row r="1104" spans="1:22" ht="15" outlineLevel="1" collapsed="1" x14ac:dyDescent="0.25">
      <c r="A1104" s="186">
        <f>SUMIFS(МКД!$A$6:$A$389,МКД!$D$6:$D$389,Таблица1[[#This Row],[2]])</f>
        <v>179</v>
      </c>
      <c r="B1104" s="194">
        <f>SUMIFS(Таблица1[6],Таблица1[2],Таблица1[[#This Row],[2]])+SUMIFS(Таблица1[7],Таблица1[2],Таблица1[[#This Row],[2]])</f>
        <v>133.6</v>
      </c>
      <c r="C1104" s="185" t="s">
        <v>703</v>
      </c>
      <c r="D1104" s="196"/>
      <c r="E1104" s="196"/>
      <c r="F1104" s="196"/>
      <c r="G1104" s="168"/>
      <c r="H1104" s="197"/>
      <c r="I1104" s="196"/>
      <c r="J1104" s="196"/>
      <c r="K1104" s="196"/>
      <c r="L1104" s="196"/>
      <c r="M1104" s="196"/>
      <c r="N1104" s="196"/>
      <c r="O1104" s="196"/>
      <c r="P1104" s="196"/>
      <c r="Q1104" s="196"/>
      <c r="R1104" s="196"/>
      <c r="S1104" s="196"/>
      <c r="T1104" s="196"/>
      <c r="U1104" s="196"/>
      <c r="V1104" s="198"/>
    </row>
    <row r="1105" spans="1:22" hidden="1" outlineLevel="2" x14ac:dyDescent="0.25">
      <c r="A1105" s="186">
        <f>SUMIFS(МКД!$A$6:$A$389,МКД!$D$6:$D$389,Таблица1[[#This Row],[2]])</f>
        <v>179</v>
      </c>
      <c r="B1105" s="170"/>
      <c r="C1105" s="182" t="s">
        <v>703</v>
      </c>
      <c r="D1105" s="167" t="s">
        <v>1053</v>
      </c>
      <c r="E1105" s="167" t="s">
        <v>762</v>
      </c>
      <c r="F1105" s="167"/>
      <c r="G1105" s="168">
        <f>SUMIFS(Таблица1[[#This Row],[8]:[19]],$I$5:$T$5,"Выкуп")</f>
        <v>133.6</v>
      </c>
      <c r="H1105" s="168">
        <f>SUMIFS(Таблица1[[#This Row],[8]:[19]],$I$5:$T$5,"Аренда")</f>
        <v>0</v>
      </c>
      <c r="I1105" s="169"/>
      <c r="J1105" s="169"/>
      <c r="K1105" s="167">
        <v>133.6</v>
      </c>
      <c r="L1105" s="169"/>
      <c r="M1105" s="169"/>
      <c r="N1105" s="169"/>
      <c r="O1105" s="169"/>
      <c r="P1105" s="169"/>
      <c r="Q1105" s="169"/>
      <c r="R1105" s="169"/>
      <c r="S1105" s="169"/>
      <c r="T1105" s="169"/>
      <c r="U1105" s="170"/>
      <c r="V1105" s="171"/>
    </row>
    <row r="1106" spans="1:22" ht="15" outlineLevel="1" collapsed="1" x14ac:dyDescent="0.25">
      <c r="A1106" s="186">
        <f>SUMIFS(МКД!$A$6:$A$389,МКД!$D$6:$D$389,Таблица1[[#This Row],[2]])</f>
        <v>180</v>
      </c>
      <c r="B1106" s="194">
        <f>SUMIFS(Таблица1[6],Таблица1[2],Таблица1[[#This Row],[2]])+SUMIFS(Таблица1[7],Таблица1[2],Таблица1[[#This Row],[2]])</f>
        <v>105.9</v>
      </c>
      <c r="C1106" s="185" t="s">
        <v>704</v>
      </c>
      <c r="D1106" s="196"/>
      <c r="E1106" s="196"/>
      <c r="F1106" s="196"/>
      <c r="G1106" s="168"/>
      <c r="H1106" s="197"/>
      <c r="I1106" s="196"/>
      <c r="J1106" s="196"/>
      <c r="K1106" s="196"/>
      <c r="L1106" s="196"/>
      <c r="M1106" s="196"/>
      <c r="N1106" s="196"/>
      <c r="O1106" s="196"/>
      <c r="P1106" s="196"/>
      <c r="Q1106" s="196"/>
      <c r="R1106" s="196"/>
      <c r="S1106" s="196"/>
      <c r="T1106" s="196"/>
      <c r="U1106" s="196"/>
      <c r="V1106" s="198"/>
    </row>
    <row r="1107" spans="1:22" hidden="1" outlineLevel="2" x14ac:dyDescent="0.25">
      <c r="A1107" s="186">
        <f>SUMIFS(МКД!$A$6:$A$389,МКД!$D$6:$D$389,Таблица1[[#This Row],[2]])</f>
        <v>180</v>
      </c>
      <c r="B1107" s="170"/>
      <c r="C1107" s="182" t="s">
        <v>704</v>
      </c>
      <c r="D1107" s="167" t="s">
        <v>1472</v>
      </c>
      <c r="E1107" s="167" t="s">
        <v>1471</v>
      </c>
      <c r="F1107" s="167">
        <v>1</v>
      </c>
      <c r="G1107" s="168">
        <f>SUMIFS(Таблица1[[#This Row],[8]:[19]],$I$5:$T$5,"Выкуп")</f>
        <v>105.9</v>
      </c>
      <c r="H1107" s="168">
        <f>SUMIFS(Таблица1[[#This Row],[8]:[19]],$I$5:$T$5,"Аренда")</f>
        <v>0</v>
      </c>
      <c r="I1107" s="169">
        <v>105.9</v>
      </c>
      <c r="J1107" s="169"/>
      <c r="K1107" s="169"/>
      <c r="L1107" s="169"/>
      <c r="M1107" s="169"/>
      <c r="N1107" s="169"/>
      <c r="O1107" s="169"/>
      <c r="P1107" s="169"/>
      <c r="Q1107" s="169"/>
      <c r="R1107" s="169"/>
      <c r="S1107" s="169"/>
      <c r="T1107" s="169"/>
      <c r="U1107" s="170"/>
      <c r="V1107" s="171"/>
    </row>
    <row r="1108" spans="1:22" ht="15" outlineLevel="1" collapsed="1" x14ac:dyDescent="0.25">
      <c r="A1108" s="186">
        <f>SUMIFS(МКД!$A$6:$A$389,МКД!$D$6:$D$389,Таблица1[[#This Row],[2]])</f>
        <v>181</v>
      </c>
      <c r="B1108" s="194">
        <f>SUMIFS(Таблица1[6],Таблица1[2],Таблица1[[#This Row],[2]])+SUMIFS(Таблица1[7],Таблица1[2],Таблица1[[#This Row],[2]])</f>
        <v>1631.1999999999998</v>
      </c>
      <c r="C1108" s="185" t="s">
        <v>602</v>
      </c>
      <c r="D1108" s="196"/>
      <c r="E1108" s="196"/>
      <c r="F1108" s="196"/>
      <c r="G1108" s="168"/>
      <c r="H1108" s="197"/>
      <c r="I1108" s="196"/>
      <c r="J1108" s="196"/>
      <c r="K1108" s="196"/>
      <c r="L1108" s="196"/>
      <c r="M1108" s="196"/>
      <c r="N1108" s="196"/>
      <c r="O1108" s="196"/>
      <c r="P1108" s="196"/>
      <c r="Q1108" s="196"/>
      <c r="R1108" s="196"/>
      <c r="S1108" s="196"/>
      <c r="T1108" s="196"/>
      <c r="U1108" s="196"/>
      <c r="V1108" s="198"/>
    </row>
    <row r="1109" spans="1:22" hidden="1" outlineLevel="2" x14ac:dyDescent="0.25">
      <c r="A1109" s="186">
        <f>SUMIFS(МКД!$A$6:$A$389,МКД!$D$6:$D$389,Таблица1[[#This Row],[2]])</f>
        <v>181</v>
      </c>
      <c r="B1109" s="170"/>
      <c r="C1109" s="182" t="s">
        <v>602</v>
      </c>
      <c r="D1109" s="167" t="s">
        <v>2229</v>
      </c>
      <c r="E1109" s="167" t="s">
        <v>2230</v>
      </c>
      <c r="F1109" s="167">
        <v>1</v>
      </c>
      <c r="G1109" s="168">
        <f>SUMIFS(Таблица1[[#This Row],[8]:[19]],$I$5:$T$5,"Выкуп")</f>
        <v>51</v>
      </c>
      <c r="H1109" s="168">
        <f>SUMIFS(Таблица1[[#This Row],[8]:[19]],$I$5:$T$5,"Аренда")</f>
        <v>0</v>
      </c>
      <c r="I1109" s="169">
        <v>51</v>
      </c>
      <c r="J1109" s="169"/>
      <c r="K1109" s="169"/>
      <c r="L1109" s="169"/>
      <c r="M1109" s="169"/>
      <c r="N1109" s="169"/>
      <c r="O1109" s="169"/>
      <c r="P1109" s="169"/>
      <c r="Q1109" s="169"/>
      <c r="R1109" s="169"/>
      <c r="S1109" s="169"/>
      <c r="T1109" s="169"/>
      <c r="U1109" s="170"/>
      <c r="V1109" s="171"/>
    </row>
    <row r="1110" spans="1:22" hidden="1" outlineLevel="2" x14ac:dyDescent="0.25">
      <c r="A1110" s="186">
        <f>SUMIFS(МКД!$A$6:$A$389,МКД!$D$6:$D$389,Таблица1[[#This Row],[2]])</f>
        <v>181</v>
      </c>
      <c r="B1110" s="168"/>
      <c r="C1110" s="182" t="s">
        <v>602</v>
      </c>
      <c r="D1110" s="167" t="s">
        <v>2232</v>
      </c>
      <c r="E1110" s="167" t="s">
        <v>2231</v>
      </c>
      <c r="F1110" s="167">
        <v>1</v>
      </c>
      <c r="G1110" s="168">
        <f>SUMIFS(Таблица1[[#This Row],[8]:[19]],$I$5:$T$5,"Выкуп")</f>
        <v>138.69999999999999</v>
      </c>
      <c r="H1110" s="168">
        <f>SUMIFS(Таблица1[[#This Row],[8]:[19]],$I$5:$T$5,"Аренда")</f>
        <v>0</v>
      </c>
      <c r="I1110" s="169">
        <v>138.69999999999999</v>
      </c>
      <c r="J1110" s="169"/>
      <c r="K1110" s="169"/>
      <c r="L1110" s="169"/>
      <c r="M1110" s="169"/>
      <c r="N1110" s="169"/>
      <c r="O1110" s="169"/>
      <c r="P1110" s="169"/>
      <c r="Q1110" s="169"/>
      <c r="R1110" s="169"/>
      <c r="S1110" s="169"/>
      <c r="T1110" s="169"/>
      <c r="U1110" s="170"/>
      <c r="V1110" s="171"/>
    </row>
    <row r="1111" spans="1:22" hidden="1" outlineLevel="2" x14ac:dyDescent="0.25">
      <c r="A1111" s="186">
        <f>SUMIFS(МКД!$A$6:$A$389,МКД!$D$6:$D$389,Таблица1[[#This Row],[2]])</f>
        <v>181</v>
      </c>
      <c r="B1111" s="168"/>
      <c r="C1111" s="182" t="s">
        <v>602</v>
      </c>
      <c r="D1111" s="167" t="s">
        <v>1593</v>
      </c>
      <c r="E1111" s="273" t="s">
        <v>1732</v>
      </c>
      <c r="F1111" s="167">
        <v>1</v>
      </c>
      <c r="G1111" s="168">
        <f>SUMIFS(Таблица1[[#This Row],[8]:[19]],$I$5:$T$5,"Выкуп")</f>
        <v>92.5</v>
      </c>
      <c r="H1111" s="168">
        <f>SUMIFS(Таблица1[[#This Row],[8]:[19]],$I$5:$T$5,"Аренда")</f>
        <v>0</v>
      </c>
      <c r="I1111" s="169"/>
      <c r="J1111" s="169"/>
      <c r="K1111" s="169">
        <v>92.5</v>
      </c>
      <c r="L1111" s="169"/>
      <c r="M1111" s="169"/>
      <c r="N1111" s="169"/>
      <c r="O1111" s="169"/>
      <c r="P1111" s="169"/>
      <c r="Q1111" s="169"/>
      <c r="R1111" s="169"/>
      <c r="S1111" s="169"/>
      <c r="T1111" s="169"/>
      <c r="U1111" s="170"/>
      <c r="V1111" s="171"/>
    </row>
    <row r="1112" spans="1:22" hidden="1" outlineLevel="2" x14ac:dyDescent="0.25">
      <c r="A1112" s="186">
        <f>SUMIFS(МКД!$A$6:$A$389,МКД!$D$6:$D$389,Таблица1[[#This Row],[2]])</f>
        <v>181</v>
      </c>
      <c r="B1112" s="168"/>
      <c r="C1112" s="182" t="s">
        <v>602</v>
      </c>
      <c r="D1112" s="167" t="s">
        <v>2742</v>
      </c>
      <c r="E1112" s="167" t="s">
        <v>2233</v>
      </c>
      <c r="F1112" s="167">
        <v>1</v>
      </c>
      <c r="G1112" s="168">
        <f>SUMIFS(Таблица1[[#This Row],[8]:[19]],$I$5:$T$5,"Выкуп")</f>
        <v>280.2</v>
      </c>
      <c r="H1112" s="168">
        <f>SUMIFS(Таблица1[[#This Row],[8]:[19]],$I$5:$T$5,"Аренда")</f>
        <v>0</v>
      </c>
      <c r="I1112" s="169"/>
      <c r="J1112" s="169"/>
      <c r="K1112" s="169">
        <v>280.2</v>
      </c>
      <c r="L1112" s="169"/>
      <c r="M1112" s="169"/>
      <c r="N1112" s="169"/>
      <c r="O1112" s="169"/>
      <c r="P1112" s="169"/>
      <c r="Q1112" s="169"/>
      <c r="R1112" s="169"/>
      <c r="S1112" s="169"/>
      <c r="T1112" s="169"/>
      <c r="U1112" s="170"/>
      <c r="V1112" s="171"/>
    </row>
    <row r="1113" spans="1:22" hidden="1" outlineLevel="2" x14ac:dyDescent="0.25">
      <c r="A1113" s="186">
        <f>SUMIFS(МКД!$A$6:$A$389,МКД!$D$6:$D$389,Таблица1[[#This Row],[2]])</f>
        <v>181</v>
      </c>
      <c r="B1113" s="168"/>
      <c r="C1113" s="182" t="s">
        <v>602</v>
      </c>
      <c r="D1113" s="167" t="s">
        <v>2235</v>
      </c>
      <c r="E1113" s="167" t="s">
        <v>2234</v>
      </c>
      <c r="F1113" s="167">
        <v>1</v>
      </c>
      <c r="G1113" s="168">
        <f>SUMIFS(Таблица1[[#This Row],[8]:[19]],$I$5:$T$5,"Выкуп")</f>
        <v>41.9</v>
      </c>
      <c r="H1113" s="168">
        <f>SUMIFS(Таблица1[[#This Row],[8]:[19]],$I$5:$T$5,"Аренда")</f>
        <v>0</v>
      </c>
      <c r="I1113" s="169">
        <v>41.9</v>
      </c>
      <c r="J1113" s="169"/>
      <c r="K1113" s="169"/>
      <c r="L1113" s="169"/>
      <c r="M1113" s="169"/>
      <c r="N1113" s="169"/>
      <c r="O1113" s="169"/>
      <c r="P1113" s="169"/>
      <c r="Q1113" s="169"/>
      <c r="R1113" s="169"/>
      <c r="S1113" s="169"/>
      <c r="T1113" s="169"/>
      <c r="U1113" s="170"/>
      <c r="V1113" s="171"/>
    </row>
    <row r="1114" spans="1:22" hidden="1" outlineLevel="2" x14ac:dyDescent="0.25">
      <c r="A1114" s="186">
        <f>SUMIFS(МКД!$A$6:$A$389,МКД!$D$6:$D$389,Таблица1[[#This Row],[2]])</f>
        <v>181</v>
      </c>
      <c r="B1114" s="168"/>
      <c r="C1114" s="182" t="s">
        <v>602</v>
      </c>
      <c r="D1114" s="167" t="s">
        <v>262</v>
      </c>
      <c r="E1114" s="167" t="s">
        <v>2236</v>
      </c>
      <c r="F1114" s="167">
        <v>1</v>
      </c>
      <c r="G1114" s="168">
        <f>SUMIFS(Таблица1[[#This Row],[8]:[19]],$I$5:$T$5,"Выкуп")</f>
        <v>70</v>
      </c>
      <c r="H1114" s="168">
        <f>SUMIFS(Таблица1[[#This Row],[8]:[19]],$I$5:$T$5,"Аренда")</f>
        <v>0</v>
      </c>
      <c r="I1114" s="169">
        <v>70</v>
      </c>
      <c r="J1114" s="169"/>
      <c r="K1114" s="169"/>
      <c r="L1114" s="169"/>
      <c r="M1114" s="169"/>
      <c r="N1114" s="169"/>
      <c r="O1114" s="169"/>
      <c r="P1114" s="169"/>
      <c r="Q1114" s="169"/>
      <c r="R1114" s="169"/>
      <c r="S1114" s="169"/>
      <c r="T1114" s="169"/>
      <c r="U1114" s="170"/>
      <c r="V1114" s="171"/>
    </row>
    <row r="1115" spans="1:22" hidden="1" outlineLevel="2" x14ac:dyDescent="0.25">
      <c r="A1115" s="186">
        <f>SUMIFS(МКД!$A$6:$A$389,МКД!$D$6:$D$389,Таблица1[[#This Row],[2]])</f>
        <v>181</v>
      </c>
      <c r="B1115" s="168"/>
      <c r="C1115" s="182" t="s">
        <v>602</v>
      </c>
      <c r="D1115" s="167" t="s">
        <v>1926</v>
      </c>
      <c r="E1115" s="167" t="s">
        <v>1925</v>
      </c>
      <c r="F1115" s="167">
        <v>1</v>
      </c>
      <c r="G1115" s="168">
        <f>SUMIFS(Таблица1[[#This Row],[8]:[19]],$I$5:$T$5,"Выкуп")</f>
        <v>172.2</v>
      </c>
      <c r="H1115" s="168">
        <f>SUMIFS(Таблица1[[#This Row],[8]:[19]],$I$5:$T$5,"Аренда")</f>
        <v>0</v>
      </c>
      <c r="I1115" s="169">
        <v>172.2</v>
      </c>
      <c r="J1115" s="169"/>
      <c r="K1115" s="169"/>
      <c r="L1115" s="169"/>
      <c r="M1115" s="169"/>
      <c r="N1115" s="169"/>
      <c r="O1115" s="169"/>
      <c r="P1115" s="169"/>
      <c r="Q1115" s="169"/>
      <c r="R1115" s="169"/>
      <c r="S1115" s="169"/>
      <c r="T1115" s="169"/>
      <c r="U1115" s="170"/>
      <c r="V1115" s="171"/>
    </row>
    <row r="1116" spans="1:22" hidden="1" outlineLevel="2" x14ac:dyDescent="0.25">
      <c r="A1116" s="186">
        <f>SUMIFS(МКД!$A$6:$A$389,МКД!$D$6:$D$389,Таблица1[[#This Row],[2]])</f>
        <v>181</v>
      </c>
      <c r="B1116" s="168"/>
      <c r="C1116" s="182" t="s">
        <v>602</v>
      </c>
      <c r="D1116" s="167" t="s">
        <v>2019</v>
      </c>
      <c r="E1116" s="167" t="s">
        <v>2237</v>
      </c>
      <c r="F1116" s="167">
        <v>1</v>
      </c>
      <c r="G1116" s="168">
        <f>SUMIFS(Таблица1[[#This Row],[8]:[19]],$I$5:$T$5,"Выкуп")</f>
        <v>41.7</v>
      </c>
      <c r="H1116" s="168">
        <f>SUMIFS(Таблица1[[#This Row],[8]:[19]],$I$5:$T$5,"Аренда")</f>
        <v>0</v>
      </c>
      <c r="I1116" s="169">
        <v>41.7</v>
      </c>
      <c r="J1116" s="169"/>
      <c r="K1116" s="169"/>
      <c r="L1116" s="169"/>
      <c r="M1116" s="169"/>
      <c r="N1116" s="169"/>
      <c r="O1116" s="169"/>
      <c r="P1116" s="169"/>
      <c r="Q1116" s="169"/>
      <c r="R1116" s="169"/>
      <c r="S1116" s="169"/>
      <c r="T1116" s="169"/>
      <c r="U1116" s="170"/>
      <c r="V1116" s="171"/>
    </row>
    <row r="1117" spans="1:22" hidden="1" outlineLevel="2" x14ac:dyDescent="0.25">
      <c r="A1117" s="186">
        <f>SUMIFS(МКД!$A$6:$A$389,МКД!$D$6:$D$389,Таблица1[[#This Row],[2]])</f>
        <v>181</v>
      </c>
      <c r="B1117" s="168"/>
      <c r="C1117" s="182" t="s">
        <v>602</v>
      </c>
      <c r="D1117" s="167" t="s">
        <v>2238</v>
      </c>
      <c r="E1117" s="167" t="s">
        <v>2239</v>
      </c>
      <c r="F1117" s="167">
        <v>1</v>
      </c>
      <c r="G1117" s="168">
        <f>SUMIFS(Таблица1[[#This Row],[8]:[19]],$I$5:$T$5,"Выкуп")</f>
        <v>53.4</v>
      </c>
      <c r="H1117" s="168">
        <f>SUMIFS(Таблица1[[#This Row],[8]:[19]],$I$5:$T$5,"Аренда")</f>
        <v>0</v>
      </c>
      <c r="I1117" s="169">
        <v>53.4</v>
      </c>
      <c r="J1117" s="169"/>
      <c r="K1117" s="169"/>
      <c r="L1117" s="169"/>
      <c r="M1117" s="169"/>
      <c r="N1117" s="169"/>
      <c r="O1117" s="169"/>
      <c r="P1117" s="169"/>
      <c r="Q1117" s="169"/>
      <c r="R1117" s="169"/>
      <c r="S1117" s="169"/>
      <c r="T1117" s="169"/>
      <c r="U1117" s="170"/>
      <c r="V1117" s="171"/>
    </row>
    <row r="1118" spans="1:22" hidden="1" outlineLevel="2" x14ac:dyDescent="0.25">
      <c r="A1118" s="186">
        <f>SUMIFS(МКД!$A$6:$A$389,МКД!$D$6:$D$389,Таблица1[[#This Row],[2]])</f>
        <v>181</v>
      </c>
      <c r="B1118" s="168"/>
      <c r="C1118" s="182" t="s">
        <v>602</v>
      </c>
      <c r="D1118" s="167" t="s">
        <v>2240</v>
      </c>
      <c r="E1118" s="167" t="s">
        <v>1543</v>
      </c>
      <c r="F1118" s="167">
        <v>1</v>
      </c>
      <c r="G1118" s="168">
        <f>SUMIFS(Таблица1[[#This Row],[8]:[19]],$I$5:$T$5,"Выкуп")</f>
        <v>42.5</v>
      </c>
      <c r="H1118" s="168">
        <f>SUMIFS(Таблица1[[#This Row],[8]:[19]],$I$5:$T$5,"Аренда")</f>
        <v>0</v>
      </c>
      <c r="I1118" s="169">
        <v>42.5</v>
      </c>
      <c r="J1118" s="169"/>
      <c r="K1118" s="169"/>
      <c r="L1118" s="169"/>
      <c r="M1118" s="169"/>
      <c r="N1118" s="169"/>
      <c r="O1118" s="169"/>
      <c r="P1118" s="169"/>
      <c r="Q1118" s="169"/>
      <c r="R1118" s="169"/>
      <c r="S1118" s="169"/>
      <c r="T1118" s="169"/>
      <c r="U1118" s="170"/>
      <c r="V1118" s="171"/>
    </row>
    <row r="1119" spans="1:22" hidden="1" outlineLevel="2" x14ac:dyDescent="0.25">
      <c r="A1119" s="186">
        <f>SUMIFS(МКД!$A$6:$A$389,МКД!$D$6:$D$389,Таблица1[[#This Row],[2]])</f>
        <v>181</v>
      </c>
      <c r="B1119" s="168"/>
      <c r="C1119" s="182" t="s">
        <v>602</v>
      </c>
      <c r="D1119" s="167" t="s">
        <v>2800</v>
      </c>
      <c r="E1119" s="167" t="s">
        <v>2241</v>
      </c>
      <c r="F1119" s="167">
        <v>1</v>
      </c>
      <c r="G1119" s="168">
        <f>SUMIFS(Таблица1[[#This Row],[8]:[19]],$I$5:$T$5,"Выкуп")</f>
        <v>42.6</v>
      </c>
      <c r="H1119" s="168">
        <f>SUMIFS(Таблица1[[#This Row],[8]:[19]],$I$5:$T$5,"Аренда")</f>
        <v>0</v>
      </c>
      <c r="I1119" s="169">
        <v>42.6</v>
      </c>
      <c r="J1119" s="169"/>
      <c r="K1119" s="169"/>
      <c r="L1119" s="169"/>
      <c r="M1119" s="169"/>
      <c r="N1119" s="169"/>
      <c r="O1119" s="169"/>
      <c r="P1119" s="169"/>
      <c r="Q1119" s="169"/>
      <c r="R1119" s="169"/>
      <c r="S1119" s="169"/>
      <c r="T1119" s="169"/>
      <c r="U1119" s="170"/>
      <c r="V1119" s="171"/>
    </row>
    <row r="1120" spans="1:22" hidden="1" outlineLevel="2" x14ac:dyDescent="0.25">
      <c r="A1120" s="186">
        <f>SUMIFS(МКД!$A$6:$A$389,МКД!$D$6:$D$389,Таблица1[[#This Row],[2]])</f>
        <v>181</v>
      </c>
      <c r="B1120" s="168"/>
      <c r="C1120" s="182" t="s">
        <v>602</v>
      </c>
      <c r="D1120" s="167" t="s">
        <v>1541</v>
      </c>
      <c r="E1120" s="167" t="s">
        <v>1542</v>
      </c>
      <c r="F1120" s="167">
        <v>1</v>
      </c>
      <c r="G1120" s="168">
        <f>SUMIFS(Таблица1[[#This Row],[8]:[19]],$I$5:$T$5,"Выкуп")</f>
        <v>59</v>
      </c>
      <c r="H1120" s="168">
        <f>SUMIFS(Таблица1[[#This Row],[8]:[19]],$I$5:$T$5,"Аренда")</f>
        <v>0</v>
      </c>
      <c r="I1120" s="169">
        <v>59</v>
      </c>
      <c r="J1120" s="169"/>
      <c r="K1120" s="169"/>
      <c r="L1120" s="169"/>
      <c r="M1120" s="169"/>
      <c r="N1120" s="169"/>
      <c r="O1120" s="169"/>
      <c r="P1120" s="169"/>
      <c r="Q1120" s="169"/>
      <c r="R1120" s="169"/>
      <c r="S1120" s="169"/>
      <c r="T1120" s="169"/>
      <c r="U1120" s="170"/>
      <c r="V1120" s="171"/>
    </row>
    <row r="1121" spans="1:22" hidden="1" outlineLevel="2" x14ac:dyDescent="0.25">
      <c r="A1121" s="186">
        <f>SUMIFS(МКД!$A$6:$A$389,МКД!$D$6:$D$389,Таблица1[[#This Row],[2]])</f>
        <v>181</v>
      </c>
      <c r="B1121" s="168"/>
      <c r="C1121" s="182" t="s">
        <v>602</v>
      </c>
      <c r="D1121" s="167" t="s">
        <v>2242</v>
      </c>
      <c r="E1121" s="167" t="s">
        <v>2243</v>
      </c>
      <c r="F1121" s="167">
        <v>1</v>
      </c>
      <c r="G1121" s="168">
        <f>SUMIFS(Таблица1[[#This Row],[8]:[19]],$I$5:$T$5,"Выкуп")</f>
        <v>83.8</v>
      </c>
      <c r="H1121" s="168">
        <f>SUMIFS(Таблица1[[#This Row],[8]:[19]],$I$5:$T$5,"Аренда")</f>
        <v>0</v>
      </c>
      <c r="I1121" s="169">
        <v>83.8</v>
      </c>
      <c r="J1121" s="169"/>
      <c r="K1121" s="169"/>
      <c r="L1121" s="169"/>
      <c r="M1121" s="169"/>
      <c r="N1121" s="169"/>
      <c r="O1121" s="169"/>
      <c r="P1121" s="169"/>
      <c r="Q1121" s="169"/>
      <c r="R1121" s="169"/>
      <c r="S1121" s="169"/>
      <c r="T1121" s="169"/>
      <c r="U1121" s="170"/>
      <c r="V1121" s="171"/>
    </row>
    <row r="1122" spans="1:22" hidden="1" outlineLevel="2" x14ac:dyDescent="0.25">
      <c r="A1122" s="186">
        <f>SUMIFS(МКД!$A$6:$A$389,МКД!$D$6:$D$389,Таблица1[[#This Row],[2]])</f>
        <v>181</v>
      </c>
      <c r="B1122" s="168"/>
      <c r="C1122" s="182" t="s">
        <v>602</v>
      </c>
      <c r="D1122" s="167" t="s">
        <v>263</v>
      </c>
      <c r="E1122" s="167" t="s">
        <v>1544</v>
      </c>
      <c r="F1122" s="167">
        <v>1</v>
      </c>
      <c r="G1122" s="168">
        <f>SUMIFS(Таблица1[[#This Row],[8]:[19]],$I$5:$T$5,"Выкуп")</f>
        <v>86.5</v>
      </c>
      <c r="H1122" s="168">
        <f>SUMIFS(Таблица1[[#This Row],[8]:[19]],$I$5:$T$5,"Аренда")</f>
        <v>0</v>
      </c>
      <c r="I1122" s="169">
        <v>86.5</v>
      </c>
      <c r="J1122" s="169"/>
      <c r="K1122" s="169"/>
      <c r="L1122" s="169"/>
      <c r="M1122" s="169"/>
      <c r="N1122" s="169"/>
      <c r="O1122" s="169"/>
      <c r="P1122" s="169"/>
      <c r="Q1122" s="169"/>
      <c r="R1122" s="169"/>
      <c r="S1122" s="169"/>
      <c r="T1122" s="169"/>
      <c r="U1122" s="170"/>
      <c r="V1122" s="171"/>
    </row>
    <row r="1123" spans="1:22" hidden="1" outlineLevel="2" x14ac:dyDescent="0.25">
      <c r="A1123" s="186">
        <f>SUMIFS(МКД!$A$6:$A$389,МКД!$D$6:$D$389,Таблица1[[#This Row],[2]])</f>
        <v>181</v>
      </c>
      <c r="B1123" s="168"/>
      <c r="C1123" s="182" t="s">
        <v>602</v>
      </c>
      <c r="D1123" s="167" t="s">
        <v>264</v>
      </c>
      <c r="E1123" s="167" t="s">
        <v>2244</v>
      </c>
      <c r="F1123" s="167">
        <v>1</v>
      </c>
      <c r="G1123" s="168">
        <f>SUMIFS(Таблица1[[#This Row],[8]:[19]],$I$5:$T$5,"Выкуп")</f>
        <v>67.8</v>
      </c>
      <c r="H1123" s="168">
        <f>SUMIFS(Таблица1[[#This Row],[8]:[19]],$I$5:$T$5,"Аренда")</f>
        <v>0</v>
      </c>
      <c r="I1123" s="169">
        <v>67.8</v>
      </c>
      <c r="J1123" s="169"/>
      <c r="K1123" s="169"/>
      <c r="L1123" s="169"/>
      <c r="M1123" s="169"/>
      <c r="N1123" s="169"/>
      <c r="O1123" s="169"/>
      <c r="P1123" s="169"/>
      <c r="Q1123" s="169"/>
      <c r="R1123" s="169"/>
      <c r="S1123" s="169"/>
      <c r="T1123" s="169"/>
      <c r="U1123" s="170"/>
      <c r="V1123" s="171"/>
    </row>
    <row r="1124" spans="1:22" hidden="1" outlineLevel="2" x14ac:dyDescent="0.25">
      <c r="A1124" s="186">
        <f>SUMIFS(МКД!$A$6:$A$389,МКД!$D$6:$D$389,Таблица1[[#This Row],[2]])</f>
        <v>181</v>
      </c>
      <c r="B1124" s="168"/>
      <c r="C1124" s="182" t="s">
        <v>602</v>
      </c>
      <c r="D1124" s="167"/>
      <c r="E1124" s="167" t="s">
        <v>2245</v>
      </c>
      <c r="F1124" s="167">
        <v>1</v>
      </c>
      <c r="G1124" s="168">
        <f>SUMIFS(Таблица1[[#This Row],[8]:[19]],$I$5:$T$5,"Выкуп")</f>
        <v>0</v>
      </c>
      <c r="H1124" s="168">
        <f>SUMIFS(Таблица1[[#This Row],[8]:[19]],$I$5:$T$5,"Аренда")</f>
        <v>0</v>
      </c>
      <c r="I1124" s="169"/>
      <c r="J1124" s="169"/>
      <c r="K1124" s="169"/>
      <c r="L1124" s="169"/>
      <c r="M1124" s="169"/>
      <c r="N1124" s="169"/>
      <c r="O1124" s="167"/>
      <c r="P1124" s="169">
        <f>12*0</f>
        <v>0</v>
      </c>
      <c r="Q1124" s="169"/>
      <c r="R1124" s="169"/>
      <c r="S1124" s="169"/>
      <c r="T1124" s="169"/>
      <c r="U1124" s="170"/>
      <c r="V1124" s="171"/>
    </row>
    <row r="1125" spans="1:22" hidden="1" outlineLevel="2" x14ac:dyDescent="0.25">
      <c r="A1125" s="186">
        <f>SUMIFS(МКД!$A$6:$A$389,МКД!$D$6:$D$389,Таблица1[[#This Row],[2]])</f>
        <v>181</v>
      </c>
      <c r="B1125" s="168"/>
      <c r="C1125" s="182" t="s">
        <v>602</v>
      </c>
      <c r="D1125" s="167" t="s">
        <v>265</v>
      </c>
      <c r="E1125" s="167" t="s">
        <v>2246</v>
      </c>
      <c r="F1125" s="167">
        <v>1</v>
      </c>
      <c r="G1125" s="168">
        <f>SUMIFS(Таблица1[[#This Row],[8]:[19]],$I$5:$T$5,"Выкуп")</f>
        <v>75.8</v>
      </c>
      <c r="H1125" s="168">
        <f>SUMIFS(Таблица1[[#This Row],[8]:[19]],$I$5:$T$5,"Аренда")</f>
        <v>0</v>
      </c>
      <c r="I1125" s="169">
        <v>75.8</v>
      </c>
      <c r="J1125" s="169"/>
      <c r="K1125" s="169"/>
      <c r="L1125" s="169"/>
      <c r="M1125" s="169"/>
      <c r="N1125" s="169"/>
      <c r="O1125" s="167"/>
      <c r="P1125" s="167"/>
      <c r="Q1125" s="169"/>
      <c r="R1125" s="169"/>
      <c r="S1125" s="169"/>
      <c r="T1125" s="169"/>
      <c r="U1125" s="170"/>
      <c r="V1125" s="171"/>
    </row>
    <row r="1126" spans="1:22" hidden="1" outlineLevel="2" x14ac:dyDescent="0.25">
      <c r="A1126" s="186">
        <f>SUMIFS(МКД!$A$6:$A$389,МКД!$D$6:$D$389,Таблица1[[#This Row],[2]])</f>
        <v>181</v>
      </c>
      <c r="B1126" s="168"/>
      <c r="C1126" s="182" t="s">
        <v>602</v>
      </c>
      <c r="D1126" s="167" t="s">
        <v>2019</v>
      </c>
      <c r="E1126" s="167" t="s">
        <v>63</v>
      </c>
      <c r="F1126" s="167"/>
      <c r="G1126" s="168">
        <f>SUMIFS(Таблица1[[#This Row],[8]:[19]],$I$5:$T$5,"Выкуп")</f>
        <v>75.5</v>
      </c>
      <c r="H1126" s="168">
        <f>SUMIFS(Таблица1[[#This Row],[8]:[19]],$I$5:$T$5,"Аренда")</f>
        <v>0</v>
      </c>
      <c r="I1126" s="169">
        <v>75.5</v>
      </c>
      <c r="J1126" s="169"/>
      <c r="K1126" s="169"/>
      <c r="L1126" s="169"/>
      <c r="M1126" s="169"/>
      <c r="N1126" s="169"/>
      <c r="O1126" s="167"/>
      <c r="P1126" s="167"/>
      <c r="Q1126" s="169"/>
      <c r="R1126" s="169"/>
      <c r="S1126" s="169"/>
      <c r="T1126" s="169"/>
      <c r="U1126" s="170"/>
      <c r="V1126" s="171"/>
    </row>
    <row r="1127" spans="1:22" hidden="1" outlineLevel="2" x14ac:dyDescent="0.25">
      <c r="A1127" s="186">
        <f>SUMIFS(МКД!$A$6:$A$389,МКД!$D$6:$D$389,Таблица1[[#This Row],[2]])</f>
        <v>181</v>
      </c>
      <c r="B1127" s="168"/>
      <c r="C1127" s="182" t="s">
        <v>602</v>
      </c>
      <c r="D1127" s="167" t="s">
        <v>2247</v>
      </c>
      <c r="E1127" s="167" t="s">
        <v>912</v>
      </c>
      <c r="F1127" s="167"/>
      <c r="G1127" s="168">
        <f>SUMIFS(Таблица1[[#This Row],[8]:[19]],$I$5:$T$5,"Выкуп")</f>
        <v>81.099999999999994</v>
      </c>
      <c r="H1127" s="168">
        <f>SUMIFS(Таблица1[[#This Row],[8]:[19]],$I$5:$T$5,"Аренда")</f>
        <v>0</v>
      </c>
      <c r="I1127" s="169">
        <v>81.099999999999994</v>
      </c>
      <c r="J1127" s="169"/>
      <c r="K1127" s="169"/>
      <c r="L1127" s="169"/>
      <c r="M1127" s="169"/>
      <c r="N1127" s="169"/>
      <c r="O1127" s="167"/>
      <c r="P1127" s="167"/>
      <c r="Q1127" s="169"/>
      <c r="R1127" s="169"/>
      <c r="S1127" s="169"/>
      <c r="T1127" s="169"/>
      <c r="U1127" s="170"/>
      <c r="V1127" s="171"/>
    </row>
    <row r="1128" spans="1:22" hidden="1" outlineLevel="2" x14ac:dyDescent="0.25">
      <c r="A1128" s="186">
        <f>SUMIFS(МКД!$A$6:$A$389,МКД!$D$6:$D$389,Таблица1[[#This Row],[2]])</f>
        <v>181</v>
      </c>
      <c r="B1128" s="168"/>
      <c r="C1128" s="182" t="s">
        <v>602</v>
      </c>
      <c r="D1128" s="167" t="s">
        <v>266</v>
      </c>
      <c r="E1128" s="167" t="s">
        <v>878</v>
      </c>
      <c r="F1128" s="167">
        <v>1</v>
      </c>
      <c r="G1128" s="168">
        <f>SUMIFS(Таблица1[[#This Row],[8]:[19]],$I$5:$T$5,"Выкуп")</f>
        <v>0</v>
      </c>
      <c r="H1128" s="168">
        <f>SUMIFS(Таблица1[[#This Row],[8]:[19]],$I$5:$T$5,"Аренда")</f>
        <v>10.9</v>
      </c>
      <c r="I1128" s="169"/>
      <c r="J1128" s="169"/>
      <c r="K1128" s="169"/>
      <c r="L1128" s="169"/>
      <c r="M1128" s="169"/>
      <c r="N1128" s="169"/>
      <c r="O1128" s="167"/>
      <c r="P1128" s="169">
        <v>10.9</v>
      </c>
      <c r="Q1128" s="169"/>
      <c r="R1128" s="169"/>
      <c r="S1128" s="169"/>
      <c r="T1128" s="169"/>
      <c r="U1128" s="170"/>
      <c r="V1128" s="171"/>
    </row>
    <row r="1129" spans="1:22" hidden="1" outlineLevel="2" x14ac:dyDescent="0.25">
      <c r="A1129" s="186">
        <f>SUMIFS(МКД!$A$6:$A$389,МКД!$D$6:$D$389,Таблица1[[#This Row],[2]])</f>
        <v>181</v>
      </c>
      <c r="B1129" s="168"/>
      <c r="C1129" s="182" t="s">
        <v>602</v>
      </c>
      <c r="D1129" s="167" t="s">
        <v>1531</v>
      </c>
      <c r="E1129" s="167" t="s">
        <v>982</v>
      </c>
      <c r="F1129" s="167"/>
      <c r="G1129" s="168">
        <f>SUMIFS(Таблица1[[#This Row],[8]:[19]],$I$5:$T$5,"Выкуп")</f>
        <v>64.099999999999994</v>
      </c>
      <c r="H1129" s="168">
        <f>SUMIFS(Таблица1[[#This Row],[8]:[19]],$I$5:$T$5,"Аренда")</f>
        <v>0</v>
      </c>
      <c r="I1129" s="169"/>
      <c r="J1129" s="169"/>
      <c r="K1129" s="169">
        <v>64.099999999999994</v>
      </c>
      <c r="L1129" s="169"/>
      <c r="M1129" s="169"/>
      <c r="N1129" s="169"/>
      <c r="O1129" s="169"/>
      <c r="P1129" s="169"/>
      <c r="Q1129" s="169"/>
      <c r="R1129" s="169"/>
      <c r="S1129" s="169"/>
      <c r="T1129" s="169"/>
      <c r="U1129" s="170"/>
      <c r="V1129" s="171"/>
    </row>
    <row r="1130" spans="1:22" ht="15" outlineLevel="1" collapsed="1" x14ac:dyDescent="0.25">
      <c r="A1130" s="186">
        <f>SUMIFS(МКД!$A$6:$A$389,МКД!$D$6:$D$389,Таблица1[[#This Row],[2]])</f>
        <v>182</v>
      </c>
      <c r="B1130" s="194">
        <f>SUMIFS(Таблица1[6],Таблица1[2],Таблица1[[#This Row],[2]])+SUMIFS(Таблица1[7],Таблица1[2],Таблица1[[#This Row],[2]])</f>
        <v>381</v>
      </c>
      <c r="C1130" s="185" t="s">
        <v>603</v>
      </c>
      <c r="D1130" s="196"/>
      <c r="E1130" s="196"/>
      <c r="F1130" s="196"/>
      <c r="G1130" s="168"/>
      <c r="H1130" s="197"/>
      <c r="I1130" s="196"/>
      <c r="J1130" s="196"/>
      <c r="K1130" s="196"/>
      <c r="L1130" s="196"/>
      <c r="M1130" s="196"/>
      <c r="N1130" s="196"/>
      <c r="O1130" s="196"/>
      <c r="P1130" s="196"/>
      <c r="Q1130" s="196"/>
      <c r="R1130" s="196"/>
      <c r="S1130" s="196"/>
      <c r="T1130" s="196"/>
      <c r="U1130" s="196"/>
      <c r="V1130" s="198"/>
    </row>
    <row r="1131" spans="1:22" hidden="1" outlineLevel="2" x14ac:dyDescent="0.25">
      <c r="A1131" s="186">
        <f>SUMIFS(МКД!$A$6:$A$389,МКД!$D$6:$D$389,Таблица1[[#This Row],[2]])</f>
        <v>182</v>
      </c>
      <c r="B1131" s="170"/>
      <c r="C1131" s="182" t="s">
        <v>603</v>
      </c>
      <c r="D1131" s="167" t="s">
        <v>1499</v>
      </c>
      <c r="E1131" s="167" t="s">
        <v>206</v>
      </c>
      <c r="F1131" s="167">
        <v>1</v>
      </c>
      <c r="G1131" s="168">
        <f>SUMIFS(Таблица1[[#This Row],[8]:[19]],$I$5:$T$5,"Выкуп")</f>
        <v>121.8</v>
      </c>
      <c r="H1131" s="168">
        <f>SUMIFS(Таблица1[[#This Row],[8]:[19]],$I$5:$T$5,"Аренда")</f>
        <v>0</v>
      </c>
      <c r="I1131" s="169">
        <v>121.8</v>
      </c>
      <c r="J1131" s="169"/>
      <c r="K1131" s="169"/>
      <c r="L1131" s="169"/>
      <c r="M1131" s="169"/>
      <c r="N1131" s="169"/>
      <c r="O1131" s="169"/>
      <c r="P1131" s="169"/>
      <c r="Q1131" s="169"/>
      <c r="R1131" s="169"/>
      <c r="S1131" s="169"/>
      <c r="T1131" s="169"/>
      <c r="U1131" s="170"/>
      <c r="V1131" s="171"/>
    </row>
    <row r="1132" spans="1:22" hidden="1" outlineLevel="2" x14ac:dyDescent="0.25">
      <c r="A1132" s="186">
        <f>SUMIFS(МКД!$A$6:$A$389,МКД!$D$6:$D$389,Таблица1[[#This Row],[2]])</f>
        <v>182</v>
      </c>
      <c r="B1132" s="168"/>
      <c r="C1132" s="182" t="s">
        <v>603</v>
      </c>
      <c r="D1132" s="167" t="s">
        <v>267</v>
      </c>
      <c r="E1132" s="167" t="s">
        <v>268</v>
      </c>
      <c r="F1132" s="167">
        <v>1</v>
      </c>
      <c r="G1132" s="168">
        <f>SUMIFS(Таблица1[[#This Row],[8]:[19]],$I$5:$T$5,"Выкуп")</f>
        <v>14.9</v>
      </c>
      <c r="H1132" s="168">
        <f>SUMIFS(Таблица1[[#This Row],[8]:[19]],$I$5:$T$5,"Аренда")</f>
        <v>0</v>
      </c>
      <c r="I1132" s="169">
        <v>14.9</v>
      </c>
      <c r="J1132" s="169"/>
      <c r="K1132" s="169"/>
      <c r="L1132" s="169"/>
      <c r="M1132" s="169"/>
      <c r="N1132" s="169"/>
      <c r="O1132" s="169"/>
      <c r="P1132" s="169"/>
      <c r="Q1132" s="169"/>
      <c r="R1132" s="169"/>
      <c r="S1132" s="169"/>
      <c r="T1132" s="169"/>
      <c r="U1132" s="170"/>
      <c r="V1132" s="171"/>
    </row>
    <row r="1133" spans="1:22" hidden="1" outlineLevel="2" x14ac:dyDescent="0.25">
      <c r="A1133" s="186">
        <f>SUMIFS(МКД!$A$6:$A$389,МКД!$D$6:$D$389,Таблица1[[#This Row],[2]])</f>
        <v>182</v>
      </c>
      <c r="B1133" s="168"/>
      <c r="C1133" s="182" t="s">
        <v>603</v>
      </c>
      <c r="D1133" s="167" t="s">
        <v>267</v>
      </c>
      <c r="E1133" s="167" t="s">
        <v>269</v>
      </c>
      <c r="F1133" s="167">
        <v>1</v>
      </c>
      <c r="G1133" s="168">
        <f>SUMIFS(Таблица1[[#This Row],[8]:[19]],$I$5:$T$5,"Выкуп")</f>
        <v>15.1</v>
      </c>
      <c r="H1133" s="168">
        <f>SUMIFS(Таблица1[[#This Row],[8]:[19]],$I$5:$T$5,"Аренда")</f>
        <v>0</v>
      </c>
      <c r="I1133" s="169">
        <v>15.1</v>
      </c>
      <c r="J1133" s="169"/>
      <c r="K1133" s="169"/>
      <c r="L1133" s="169"/>
      <c r="M1133" s="169"/>
      <c r="N1133" s="169"/>
      <c r="O1133" s="169"/>
      <c r="P1133" s="169"/>
      <c r="Q1133" s="169"/>
      <c r="R1133" s="169"/>
      <c r="S1133" s="169"/>
      <c r="T1133" s="169"/>
      <c r="U1133" s="170"/>
      <c r="V1133" s="171"/>
    </row>
    <row r="1134" spans="1:22" hidden="1" outlineLevel="2" x14ac:dyDescent="0.25">
      <c r="A1134" s="186">
        <f>SUMIFS(МКД!$A$6:$A$389,МКД!$D$6:$D$389,Таблица1[[#This Row],[2]])</f>
        <v>182</v>
      </c>
      <c r="B1134" s="168"/>
      <c r="C1134" s="182" t="s">
        <v>603</v>
      </c>
      <c r="D1134" s="167" t="s">
        <v>270</v>
      </c>
      <c r="E1134" s="167" t="s">
        <v>271</v>
      </c>
      <c r="F1134" s="167">
        <v>1</v>
      </c>
      <c r="G1134" s="168">
        <f>SUMIFS(Таблица1[[#This Row],[8]:[19]],$I$5:$T$5,"Выкуп")</f>
        <v>14.9</v>
      </c>
      <c r="H1134" s="168">
        <f>SUMIFS(Таблица1[[#This Row],[8]:[19]],$I$5:$T$5,"Аренда")</f>
        <v>0</v>
      </c>
      <c r="I1134" s="169">
        <v>14.9</v>
      </c>
      <c r="J1134" s="169"/>
      <c r="K1134" s="169"/>
      <c r="L1134" s="169"/>
      <c r="M1134" s="169"/>
      <c r="N1134" s="169"/>
      <c r="O1134" s="169"/>
      <c r="P1134" s="169"/>
      <c r="Q1134" s="169"/>
      <c r="R1134" s="169"/>
      <c r="S1134" s="169"/>
      <c r="T1134" s="169"/>
      <c r="U1134" s="170"/>
      <c r="V1134" s="171"/>
    </row>
    <row r="1135" spans="1:22" hidden="1" outlineLevel="2" x14ac:dyDescent="0.25">
      <c r="A1135" s="186">
        <f>SUMIFS(МКД!$A$6:$A$389,МКД!$D$6:$D$389,Таблица1[[#This Row],[2]])</f>
        <v>182</v>
      </c>
      <c r="B1135" s="168"/>
      <c r="C1135" s="182" t="s">
        <v>603</v>
      </c>
      <c r="D1135" s="167" t="s">
        <v>1053</v>
      </c>
      <c r="E1135" s="167" t="s">
        <v>272</v>
      </c>
      <c r="F1135" s="167">
        <v>1</v>
      </c>
      <c r="G1135" s="168">
        <f>SUMIFS(Таблица1[[#This Row],[8]:[19]],$I$5:$T$5,"Выкуп")</f>
        <v>15.2</v>
      </c>
      <c r="H1135" s="168">
        <f>SUMIFS(Таблица1[[#This Row],[8]:[19]],$I$5:$T$5,"Аренда")</f>
        <v>0</v>
      </c>
      <c r="I1135" s="169">
        <v>15.2</v>
      </c>
      <c r="J1135" s="169"/>
      <c r="K1135" s="169"/>
      <c r="L1135" s="169"/>
      <c r="M1135" s="169"/>
      <c r="N1135" s="169"/>
      <c r="O1135" s="169"/>
      <c r="P1135" s="169"/>
      <c r="Q1135" s="169"/>
      <c r="R1135" s="169"/>
      <c r="S1135" s="169"/>
      <c r="T1135" s="169"/>
      <c r="U1135" s="170"/>
      <c r="V1135" s="171"/>
    </row>
    <row r="1136" spans="1:22" hidden="1" outlineLevel="2" x14ac:dyDescent="0.25">
      <c r="A1136" s="186">
        <f>SUMIFS(МКД!$A$6:$A$389,МКД!$D$6:$D$389,Таблица1[[#This Row],[2]])</f>
        <v>182</v>
      </c>
      <c r="B1136" s="168"/>
      <c r="C1136" s="182" t="s">
        <v>603</v>
      </c>
      <c r="D1136" s="167" t="s">
        <v>189</v>
      </c>
      <c r="E1136" s="167" t="s">
        <v>121</v>
      </c>
      <c r="F1136" s="167"/>
      <c r="G1136" s="168">
        <f>SUMIFS(Таблица1[[#This Row],[8]:[19]],$I$5:$T$5,"Выкуп")</f>
        <v>0</v>
      </c>
      <c r="H1136" s="168">
        <f>SUMIFS(Таблица1[[#This Row],[8]:[19]],$I$5:$T$5,"Аренда")</f>
        <v>38.1</v>
      </c>
      <c r="I1136" s="167"/>
      <c r="J1136" s="169">
        <v>38.1</v>
      </c>
      <c r="K1136" s="169"/>
      <c r="L1136" s="169"/>
      <c r="M1136" s="169"/>
      <c r="N1136" s="169"/>
      <c r="O1136" s="169"/>
      <c r="P1136" s="169"/>
      <c r="Q1136" s="169"/>
      <c r="R1136" s="169"/>
      <c r="S1136" s="169"/>
      <c r="T1136" s="169"/>
      <c r="U1136" s="170"/>
      <c r="V1136" s="171"/>
    </row>
    <row r="1137" spans="1:22" hidden="1" outlineLevel="2" x14ac:dyDescent="0.25">
      <c r="A1137" s="186">
        <f>SUMIFS(МКД!$A$6:$A$389,МКД!$D$6:$D$389,Таблица1[[#This Row],[2]])</f>
        <v>182</v>
      </c>
      <c r="B1137" s="168"/>
      <c r="C1137" s="182" t="s">
        <v>603</v>
      </c>
      <c r="D1137" s="167" t="s">
        <v>1053</v>
      </c>
      <c r="E1137" s="167" t="s">
        <v>2827</v>
      </c>
      <c r="F1137" s="167"/>
      <c r="G1137" s="168">
        <f>SUMIFS(Таблица1[[#This Row],[8]:[19]],$I$5:$T$5,"Выкуп")</f>
        <v>161</v>
      </c>
      <c r="H1137" s="168">
        <f>SUMIFS(Таблица1[[#This Row],[8]:[19]],$I$5:$T$5,"Аренда")</f>
        <v>0</v>
      </c>
      <c r="I1137" s="167"/>
      <c r="J1137" s="169"/>
      <c r="K1137" s="169"/>
      <c r="L1137" s="169"/>
      <c r="M1137" s="278">
        <v>161</v>
      </c>
      <c r="N1137" s="169"/>
      <c r="O1137" s="169"/>
      <c r="P1137" s="169"/>
      <c r="Q1137" s="169"/>
      <c r="R1137" s="169"/>
      <c r="S1137" s="169"/>
      <c r="T1137" s="169"/>
      <c r="U1137" s="170"/>
      <c r="V1137" s="171"/>
    </row>
    <row r="1138" spans="1:22" ht="15" outlineLevel="1" collapsed="1" x14ac:dyDescent="0.25">
      <c r="A1138" s="186">
        <f>SUMIFS(МКД!$A$6:$A$389,МКД!$D$6:$D$389,Таблица1[[#This Row],[2]])</f>
        <v>183</v>
      </c>
      <c r="B1138" s="194">
        <f>SUMIFS(Таблица1[6],Таблица1[2],Таблица1[[#This Row],[2]])+SUMIFS(Таблица1[7],Таблица1[2],Таблица1[[#This Row],[2]])</f>
        <v>802.30000000000007</v>
      </c>
      <c r="C1138" s="185" t="s">
        <v>705</v>
      </c>
      <c r="D1138" s="196"/>
      <c r="E1138" s="196"/>
      <c r="F1138" s="196"/>
      <c r="G1138" s="168"/>
      <c r="H1138" s="197"/>
      <c r="I1138" s="196"/>
      <c r="J1138" s="196"/>
      <c r="K1138" s="196"/>
      <c r="L1138" s="196"/>
      <c r="M1138" s="196"/>
      <c r="N1138" s="196"/>
      <c r="O1138" s="196"/>
      <c r="P1138" s="196"/>
      <c r="Q1138" s="196"/>
      <c r="R1138" s="196"/>
      <c r="S1138" s="196"/>
      <c r="T1138" s="196"/>
      <c r="U1138" s="196"/>
      <c r="V1138" s="198"/>
    </row>
    <row r="1139" spans="1:22" hidden="1" outlineLevel="2" x14ac:dyDescent="0.25">
      <c r="A1139" s="186">
        <f>SUMIFS(МКД!$A$6:$A$389,МКД!$D$6:$D$389,Таблица1[[#This Row],[2]])</f>
        <v>183</v>
      </c>
      <c r="B1139" s="170"/>
      <c r="C1139" s="182" t="s">
        <v>705</v>
      </c>
      <c r="D1139" s="167" t="s">
        <v>1520</v>
      </c>
      <c r="E1139" s="167" t="s">
        <v>2657</v>
      </c>
      <c r="F1139" s="167">
        <v>1</v>
      </c>
      <c r="G1139" s="168">
        <f>SUMIFS(Таблица1[[#This Row],[8]:[19]],$I$5:$T$5,"Выкуп")</f>
        <v>75.400000000000006</v>
      </c>
      <c r="H1139" s="168">
        <f>SUMIFS(Таблица1[[#This Row],[8]:[19]],$I$5:$T$5,"Аренда")</f>
        <v>0</v>
      </c>
      <c r="I1139" s="169">
        <v>75.400000000000006</v>
      </c>
      <c r="J1139" s="169"/>
      <c r="K1139" s="169"/>
      <c r="L1139" s="169"/>
      <c r="M1139" s="169"/>
      <c r="N1139" s="169"/>
      <c r="O1139" s="169"/>
      <c r="P1139" s="169"/>
      <c r="Q1139" s="169"/>
      <c r="R1139" s="169"/>
      <c r="S1139" s="169"/>
      <c r="T1139" s="169"/>
      <c r="U1139" s="170"/>
      <c r="V1139" s="171"/>
    </row>
    <row r="1140" spans="1:22" hidden="1" outlineLevel="2" x14ac:dyDescent="0.25">
      <c r="A1140" s="186">
        <f>SUMIFS(МКД!$A$6:$A$389,МКД!$D$6:$D$389,Таблица1[[#This Row],[2]])</f>
        <v>183</v>
      </c>
      <c r="B1140" s="168"/>
      <c r="C1140" s="182" t="s">
        <v>705</v>
      </c>
      <c r="D1140" s="167" t="s">
        <v>840</v>
      </c>
      <c r="E1140" s="167" t="s">
        <v>2658</v>
      </c>
      <c r="F1140" s="167">
        <v>1</v>
      </c>
      <c r="G1140" s="168">
        <f>SUMIFS(Таблица1[[#This Row],[8]:[19]],$I$5:$T$5,"Выкуп")</f>
        <v>52</v>
      </c>
      <c r="H1140" s="168">
        <f>SUMIFS(Таблица1[[#This Row],[8]:[19]],$I$5:$T$5,"Аренда")</f>
        <v>0</v>
      </c>
      <c r="I1140" s="169">
        <v>52</v>
      </c>
      <c r="J1140" s="169"/>
      <c r="K1140" s="169"/>
      <c r="L1140" s="169"/>
      <c r="M1140" s="169"/>
      <c r="N1140" s="169"/>
      <c r="O1140" s="169"/>
      <c r="P1140" s="169"/>
      <c r="Q1140" s="169"/>
      <c r="R1140" s="169"/>
      <c r="S1140" s="169"/>
      <c r="T1140" s="169"/>
      <c r="U1140" s="170"/>
      <c r="V1140" s="171"/>
    </row>
    <row r="1141" spans="1:22" hidden="1" outlineLevel="2" x14ac:dyDescent="0.25">
      <c r="A1141" s="186">
        <f>SUMIFS(МКД!$A$6:$A$389,МКД!$D$6:$D$389,Таблица1[[#This Row],[2]])</f>
        <v>183</v>
      </c>
      <c r="B1141" s="168"/>
      <c r="C1141" s="182" t="s">
        <v>705</v>
      </c>
      <c r="D1141" s="167" t="s">
        <v>2656</v>
      </c>
      <c r="E1141" s="167" t="s">
        <v>2661</v>
      </c>
      <c r="F1141" s="167">
        <v>1</v>
      </c>
      <c r="G1141" s="168">
        <f>SUMIFS(Таблица1[[#This Row],[8]:[19]],$I$5:$T$5,"Выкуп")</f>
        <v>71.400000000000006</v>
      </c>
      <c r="H1141" s="168">
        <f>SUMIFS(Таблица1[[#This Row],[8]:[19]],$I$5:$T$5,"Аренда")</f>
        <v>0</v>
      </c>
      <c r="I1141" s="169">
        <v>71.400000000000006</v>
      </c>
      <c r="J1141" s="169"/>
      <c r="K1141" s="169"/>
      <c r="L1141" s="169"/>
      <c r="M1141" s="169"/>
      <c r="N1141" s="169"/>
      <c r="O1141" s="169"/>
      <c r="P1141" s="169"/>
      <c r="Q1141" s="169"/>
      <c r="R1141" s="169"/>
      <c r="S1141" s="169"/>
      <c r="T1141" s="169"/>
      <c r="U1141" s="170"/>
      <c r="V1141" s="171"/>
    </row>
    <row r="1142" spans="1:22" hidden="1" outlineLevel="2" x14ac:dyDescent="0.25">
      <c r="A1142" s="186">
        <f>SUMIFS(МКД!$A$6:$A$389,МКД!$D$6:$D$389,Таблица1[[#This Row],[2]])</f>
        <v>183</v>
      </c>
      <c r="B1142" s="168"/>
      <c r="C1142" s="182" t="s">
        <v>705</v>
      </c>
      <c r="D1142" s="167" t="s">
        <v>2509</v>
      </c>
      <c r="E1142" s="167" t="s">
        <v>2662</v>
      </c>
      <c r="F1142" s="167">
        <v>1</v>
      </c>
      <c r="G1142" s="168">
        <f>SUMIFS(Таблица1[[#This Row],[8]:[19]],$I$5:$T$5,"Выкуп")</f>
        <v>56</v>
      </c>
      <c r="H1142" s="168">
        <f>SUMIFS(Таблица1[[#This Row],[8]:[19]],$I$5:$T$5,"Аренда")</f>
        <v>0</v>
      </c>
      <c r="I1142" s="169">
        <v>56</v>
      </c>
      <c r="J1142" s="169"/>
      <c r="K1142" s="169"/>
      <c r="L1142" s="169"/>
      <c r="M1142" s="169"/>
      <c r="N1142" s="169"/>
      <c r="O1142" s="169"/>
      <c r="P1142" s="169"/>
      <c r="Q1142" s="169"/>
      <c r="R1142" s="169"/>
      <c r="S1142" s="169"/>
      <c r="T1142" s="169"/>
      <c r="U1142" s="170"/>
      <c r="V1142" s="171"/>
    </row>
    <row r="1143" spans="1:22" hidden="1" outlineLevel="2" x14ac:dyDescent="0.25">
      <c r="A1143" s="186">
        <f>SUMIFS(МКД!$A$6:$A$389,МКД!$D$6:$D$389,Таблица1[[#This Row],[2]])</f>
        <v>183</v>
      </c>
      <c r="B1143" s="168"/>
      <c r="C1143" s="182" t="s">
        <v>705</v>
      </c>
      <c r="D1143" s="167" t="s">
        <v>2659</v>
      </c>
      <c r="E1143" s="167" t="s">
        <v>2660</v>
      </c>
      <c r="F1143" s="167">
        <v>1</v>
      </c>
      <c r="G1143" s="168">
        <f>SUMIFS(Таблица1[[#This Row],[8]:[19]],$I$5:$T$5,"Выкуп")</f>
        <v>76.900000000000006</v>
      </c>
      <c r="H1143" s="168">
        <f>SUMIFS(Таблица1[[#This Row],[8]:[19]],$I$5:$T$5,"Аренда")</f>
        <v>0</v>
      </c>
      <c r="I1143" s="169">
        <v>76.900000000000006</v>
      </c>
      <c r="J1143" s="169"/>
      <c r="K1143" s="169"/>
      <c r="L1143" s="169"/>
      <c r="M1143" s="169"/>
      <c r="N1143" s="169"/>
      <c r="O1143" s="169"/>
      <c r="P1143" s="169"/>
      <c r="Q1143" s="169"/>
      <c r="R1143" s="169"/>
      <c r="S1143" s="169"/>
      <c r="T1143" s="169"/>
      <c r="U1143" s="170"/>
      <c r="V1143" s="171"/>
    </row>
    <row r="1144" spans="1:22" hidden="1" outlineLevel="2" x14ac:dyDescent="0.25">
      <c r="A1144" s="186">
        <f>SUMIFS(МКД!$A$6:$A$389,МКД!$D$6:$D$389,Таблица1[[#This Row],[2]])</f>
        <v>183</v>
      </c>
      <c r="B1144" s="168"/>
      <c r="C1144" s="182" t="s">
        <v>705</v>
      </c>
      <c r="D1144" s="167" t="s">
        <v>2664</v>
      </c>
      <c r="E1144" s="167" t="s">
        <v>2665</v>
      </c>
      <c r="F1144" s="167">
        <v>1</v>
      </c>
      <c r="G1144" s="168">
        <f>SUMIFS(Таблица1[[#This Row],[8]:[19]],$I$5:$T$5,"Выкуп")</f>
        <v>54.2</v>
      </c>
      <c r="H1144" s="168">
        <f>SUMIFS(Таблица1[[#This Row],[8]:[19]],$I$5:$T$5,"Аренда")</f>
        <v>0</v>
      </c>
      <c r="I1144" s="169">
        <v>54.2</v>
      </c>
      <c r="J1144" s="169"/>
      <c r="K1144" s="169"/>
      <c r="L1144" s="169"/>
      <c r="M1144" s="169"/>
      <c r="N1144" s="169"/>
      <c r="O1144" s="169"/>
      <c r="P1144" s="169"/>
      <c r="Q1144" s="169"/>
      <c r="R1144" s="169"/>
      <c r="S1144" s="169"/>
      <c r="T1144" s="169"/>
      <c r="U1144" s="170"/>
      <c r="V1144" s="171"/>
    </row>
    <row r="1145" spans="1:22" hidden="1" outlineLevel="2" x14ac:dyDescent="0.25">
      <c r="A1145" s="186">
        <f>SUMIFS(МКД!$A$6:$A$389,МКД!$D$6:$D$389,Таблица1[[#This Row],[2]])</f>
        <v>183</v>
      </c>
      <c r="B1145" s="168"/>
      <c r="C1145" s="182" t="s">
        <v>705</v>
      </c>
      <c r="D1145" s="167" t="s">
        <v>274</v>
      </c>
      <c r="E1145" s="167" t="s">
        <v>1169</v>
      </c>
      <c r="F1145" s="167">
        <v>1</v>
      </c>
      <c r="G1145" s="168">
        <f>SUMIFS(Таблица1[[#This Row],[8]:[19]],$I$5:$T$5,"Выкуп")</f>
        <v>71.7</v>
      </c>
      <c r="H1145" s="168">
        <f>SUMIFS(Таблица1[[#This Row],[8]:[19]],$I$5:$T$5,"Аренда")</f>
        <v>0</v>
      </c>
      <c r="I1145" s="169">
        <v>71.7</v>
      </c>
      <c r="J1145" s="169"/>
      <c r="K1145" s="169"/>
      <c r="L1145" s="169"/>
      <c r="M1145" s="169"/>
      <c r="N1145" s="169"/>
      <c r="O1145" s="169"/>
      <c r="P1145" s="169"/>
      <c r="Q1145" s="169"/>
      <c r="R1145" s="169"/>
      <c r="S1145" s="169"/>
      <c r="T1145" s="169"/>
      <c r="U1145" s="170"/>
      <c r="V1145" s="171"/>
    </row>
    <row r="1146" spans="1:22" hidden="1" outlineLevel="2" x14ac:dyDescent="0.25">
      <c r="A1146" s="186">
        <f>SUMIFS(МКД!$A$6:$A$389,МКД!$D$6:$D$389,Таблица1[[#This Row],[2]])</f>
        <v>183</v>
      </c>
      <c r="B1146" s="168"/>
      <c r="C1146" s="182" t="s">
        <v>705</v>
      </c>
      <c r="D1146" s="167" t="s">
        <v>2663</v>
      </c>
      <c r="E1146" s="167" t="s">
        <v>256</v>
      </c>
      <c r="F1146" s="167">
        <v>1</v>
      </c>
      <c r="G1146" s="168">
        <f>SUMIFS(Таблица1[[#This Row],[8]:[19]],$I$5:$T$5,"Выкуп")</f>
        <v>0</v>
      </c>
      <c r="H1146" s="168">
        <f>SUMIFS(Таблица1[[#This Row],[8]:[19]],$I$5:$T$5,"Аренда")</f>
        <v>220</v>
      </c>
      <c r="I1146" s="169"/>
      <c r="J1146" s="169"/>
      <c r="K1146" s="167"/>
      <c r="L1146" s="169">
        <v>220</v>
      </c>
      <c r="M1146" s="169"/>
      <c r="N1146" s="169"/>
      <c r="O1146" s="169"/>
      <c r="P1146" s="169"/>
      <c r="Q1146" s="169"/>
      <c r="R1146" s="169"/>
      <c r="S1146" s="169"/>
      <c r="T1146" s="169"/>
      <c r="U1146" s="170"/>
      <c r="V1146" s="171"/>
    </row>
    <row r="1147" spans="1:22" hidden="1" outlineLevel="2" x14ac:dyDescent="0.25">
      <c r="A1147" s="186">
        <f>SUMIFS(МКД!$A$6:$A$389,МКД!$D$6:$D$389,Таблица1[[#This Row],[2]])</f>
        <v>183</v>
      </c>
      <c r="B1147" s="168"/>
      <c r="C1147" s="182" t="s">
        <v>705</v>
      </c>
      <c r="D1147" s="167" t="s">
        <v>189</v>
      </c>
      <c r="E1147" s="167" t="s">
        <v>1383</v>
      </c>
      <c r="F1147" s="167">
        <v>1</v>
      </c>
      <c r="G1147" s="168">
        <f>SUMIFS(Таблица1[[#This Row],[8]:[19]],$I$5:$T$5,"Выкуп")</f>
        <v>0</v>
      </c>
      <c r="H1147" s="168">
        <f>SUMIFS(Таблица1[[#This Row],[8]:[19]],$I$5:$T$5,"Аренда")</f>
        <v>39</v>
      </c>
      <c r="I1147" s="169"/>
      <c r="J1147" s="169">
        <v>39</v>
      </c>
      <c r="K1147" s="167"/>
      <c r="L1147" s="169"/>
      <c r="M1147" s="169"/>
      <c r="N1147" s="169"/>
      <c r="O1147" s="169"/>
      <c r="P1147" s="169"/>
      <c r="Q1147" s="169"/>
      <c r="R1147" s="169"/>
      <c r="S1147" s="169"/>
      <c r="T1147" s="169"/>
      <c r="U1147" s="170"/>
      <c r="V1147" s="171"/>
    </row>
    <row r="1148" spans="1:22" hidden="1" outlineLevel="2" x14ac:dyDescent="0.25">
      <c r="A1148" s="186">
        <f>SUMIFS(МКД!$A$6:$A$389,МКД!$D$6:$D$389,Таблица1[[#This Row],[2]])</f>
        <v>183</v>
      </c>
      <c r="B1148" s="170"/>
      <c r="C1148" s="182" t="s">
        <v>705</v>
      </c>
      <c r="D1148" s="167" t="s">
        <v>1593</v>
      </c>
      <c r="E1148" s="273" t="s">
        <v>1754</v>
      </c>
      <c r="F1148" s="167">
        <v>1</v>
      </c>
      <c r="G1148" s="168">
        <f>SUMIFS(Таблица1[[#This Row],[8]:[19]],$I$5:$T$5,"Выкуп")</f>
        <v>85.7</v>
      </c>
      <c r="H1148" s="168">
        <f>SUMIFS(Таблица1[[#This Row],[8]:[19]],$I$5:$T$5,"Аренда")</f>
        <v>0</v>
      </c>
      <c r="I1148" s="169"/>
      <c r="J1148" s="169"/>
      <c r="K1148" s="169">
        <v>85.7</v>
      </c>
      <c r="L1148" s="169"/>
      <c r="M1148" s="169"/>
      <c r="N1148" s="169"/>
      <c r="O1148" s="169"/>
      <c r="P1148" s="169"/>
      <c r="Q1148" s="169"/>
      <c r="R1148" s="169"/>
      <c r="S1148" s="169"/>
      <c r="T1148" s="169"/>
      <c r="U1148" s="170"/>
      <c r="V1148" s="171"/>
    </row>
    <row r="1149" spans="1:22" ht="15" outlineLevel="1" collapsed="1" x14ac:dyDescent="0.25">
      <c r="A1149" s="186">
        <f>SUMIFS(МКД!$A$6:$A$389,МКД!$D$6:$D$389,Таблица1[[#This Row],[2]])</f>
        <v>185</v>
      </c>
      <c r="B1149" s="194">
        <f>SUMIFS(Таблица1[6],Таблица1[2],Таблица1[[#This Row],[2]])+SUMIFS(Таблица1[7],Таблица1[2],Таблица1[[#This Row],[2]])</f>
        <v>602.09999999999991</v>
      </c>
      <c r="C1149" s="185" t="s">
        <v>677</v>
      </c>
      <c r="D1149" s="196"/>
      <c r="E1149" s="196"/>
      <c r="F1149" s="196"/>
      <c r="G1149" s="168"/>
      <c r="H1149" s="197"/>
      <c r="I1149" s="196"/>
      <c r="J1149" s="196"/>
      <c r="K1149" s="196"/>
      <c r="L1149" s="196"/>
      <c r="M1149" s="196"/>
      <c r="N1149" s="196"/>
      <c r="O1149" s="196"/>
      <c r="P1149" s="196"/>
      <c r="Q1149" s="196"/>
      <c r="R1149" s="196"/>
      <c r="S1149" s="196"/>
      <c r="T1149" s="196"/>
      <c r="U1149" s="196"/>
      <c r="V1149" s="198"/>
    </row>
    <row r="1150" spans="1:22" hidden="1" outlineLevel="2" x14ac:dyDescent="0.25">
      <c r="A1150" s="186">
        <f>SUMIFS(МКД!$A$6:$A$389,МКД!$D$6:$D$389,Таблица1[[#This Row],[2]])</f>
        <v>185</v>
      </c>
      <c r="B1150" s="170"/>
      <c r="C1150" s="182" t="s">
        <v>677</v>
      </c>
      <c r="D1150" s="167" t="s">
        <v>1593</v>
      </c>
      <c r="E1150" s="273" t="s">
        <v>1755</v>
      </c>
      <c r="F1150" s="167">
        <v>1</v>
      </c>
      <c r="G1150" s="168">
        <f>SUMIFS(Таблица1[[#This Row],[8]:[19]],$I$5:$T$5,"Выкуп")</f>
        <v>84.6</v>
      </c>
      <c r="H1150" s="168">
        <f>SUMIFS(Таблица1[[#This Row],[8]:[19]],$I$5:$T$5,"Аренда")</f>
        <v>0</v>
      </c>
      <c r="I1150" s="169"/>
      <c r="J1150" s="169"/>
      <c r="K1150" s="169">
        <v>84.6</v>
      </c>
      <c r="L1150" s="169"/>
      <c r="M1150" s="169"/>
      <c r="N1150" s="169"/>
      <c r="O1150" s="169"/>
      <c r="P1150" s="169"/>
      <c r="Q1150" s="169"/>
      <c r="R1150" s="169"/>
      <c r="S1150" s="169"/>
      <c r="T1150" s="169"/>
      <c r="U1150" s="170"/>
      <c r="V1150" s="171"/>
    </row>
    <row r="1151" spans="1:22" hidden="1" outlineLevel="2" x14ac:dyDescent="0.25">
      <c r="A1151" s="186">
        <f>SUMIFS(МКД!$A$6:$A$389,МКД!$D$6:$D$389,Таблица1[[#This Row],[2]])</f>
        <v>185</v>
      </c>
      <c r="B1151" s="170"/>
      <c r="C1151" s="182" t="s">
        <v>677</v>
      </c>
      <c r="D1151" s="167" t="s">
        <v>2249</v>
      </c>
      <c r="E1151" s="167" t="s">
        <v>2250</v>
      </c>
      <c r="F1151" s="167">
        <v>1</v>
      </c>
      <c r="G1151" s="168">
        <f>SUMIFS(Таблица1[[#This Row],[8]:[19]],$I$5:$T$5,"Выкуп")</f>
        <v>75.599999999999994</v>
      </c>
      <c r="H1151" s="168">
        <f>SUMIFS(Таблица1[[#This Row],[8]:[19]],$I$5:$T$5,"Аренда")</f>
        <v>0</v>
      </c>
      <c r="I1151" s="169">
        <v>75.599999999999994</v>
      </c>
      <c r="J1151" s="169"/>
      <c r="K1151" s="169"/>
      <c r="L1151" s="169"/>
      <c r="M1151" s="169"/>
      <c r="N1151" s="169"/>
      <c r="O1151" s="169"/>
      <c r="P1151" s="169"/>
      <c r="Q1151" s="169"/>
      <c r="R1151" s="169"/>
      <c r="S1151" s="169"/>
      <c r="T1151" s="169"/>
      <c r="U1151" s="170"/>
      <c r="V1151" s="171"/>
    </row>
    <row r="1152" spans="1:22" hidden="1" outlineLevel="2" x14ac:dyDescent="0.25">
      <c r="A1152" s="186">
        <f>SUMIFS(МКД!$A$6:$A$389,МКД!$D$6:$D$389,Таблица1[[#This Row],[2]])</f>
        <v>185</v>
      </c>
      <c r="B1152" s="168"/>
      <c r="C1152" s="182" t="s">
        <v>677</v>
      </c>
      <c r="D1152" s="167" t="s">
        <v>275</v>
      </c>
      <c r="E1152" s="167" t="s">
        <v>2258</v>
      </c>
      <c r="F1152" s="167">
        <v>1</v>
      </c>
      <c r="G1152" s="168">
        <f>SUMIFS(Таблица1[[#This Row],[8]:[19]],$I$5:$T$5,"Выкуп")</f>
        <v>74.7</v>
      </c>
      <c r="H1152" s="168">
        <f>SUMIFS(Таблица1[[#This Row],[8]:[19]],$I$5:$T$5,"Аренда")</f>
        <v>0</v>
      </c>
      <c r="I1152" s="169">
        <v>74.7</v>
      </c>
      <c r="J1152" s="169"/>
      <c r="K1152" s="169"/>
      <c r="L1152" s="169"/>
      <c r="M1152" s="169"/>
      <c r="N1152" s="169"/>
      <c r="O1152" s="169"/>
      <c r="P1152" s="169"/>
      <c r="Q1152" s="169"/>
      <c r="R1152" s="169"/>
      <c r="S1152" s="169"/>
      <c r="T1152" s="169"/>
      <c r="U1152" s="170"/>
      <c r="V1152" s="171"/>
    </row>
    <row r="1153" spans="1:22" hidden="1" outlineLevel="2" x14ac:dyDescent="0.25">
      <c r="A1153" s="186">
        <f>SUMIFS(МКД!$A$6:$A$389,МКД!$D$6:$D$389,Таблица1[[#This Row],[2]])</f>
        <v>185</v>
      </c>
      <c r="B1153" s="168"/>
      <c r="C1153" s="182" t="s">
        <v>677</v>
      </c>
      <c r="D1153" s="167" t="s">
        <v>1873</v>
      </c>
      <c r="E1153" s="167" t="s">
        <v>2251</v>
      </c>
      <c r="F1153" s="167">
        <v>1</v>
      </c>
      <c r="G1153" s="168">
        <f>SUMIFS(Таблица1[[#This Row],[8]:[19]],$I$5:$T$5,"Выкуп")</f>
        <v>56.4</v>
      </c>
      <c r="H1153" s="168">
        <f>SUMIFS(Таблица1[[#This Row],[8]:[19]],$I$5:$T$5,"Аренда")</f>
        <v>0</v>
      </c>
      <c r="I1153" s="169">
        <v>56.4</v>
      </c>
      <c r="J1153" s="169"/>
      <c r="K1153" s="169"/>
      <c r="L1153" s="169"/>
      <c r="M1153" s="169"/>
      <c r="N1153" s="169"/>
      <c r="O1153" s="169"/>
      <c r="P1153" s="169"/>
      <c r="Q1153" s="169"/>
      <c r="R1153" s="169"/>
      <c r="S1153" s="169"/>
      <c r="T1153" s="169"/>
      <c r="U1153" s="170"/>
      <c r="V1153" s="171"/>
    </row>
    <row r="1154" spans="1:22" hidden="1" outlineLevel="2" x14ac:dyDescent="0.25">
      <c r="A1154" s="186">
        <f>SUMIFS(МКД!$A$6:$A$389,МКД!$D$6:$D$389,Таблица1[[#This Row],[2]])</f>
        <v>185</v>
      </c>
      <c r="B1154" s="168"/>
      <c r="C1154" s="182" t="s">
        <v>677</v>
      </c>
      <c r="D1154" s="167" t="s">
        <v>2254</v>
      </c>
      <c r="E1154" s="167" t="s">
        <v>2255</v>
      </c>
      <c r="F1154" s="167">
        <v>1</v>
      </c>
      <c r="G1154" s="168">
        <f>SUMIFS(Таблица1[[#This Row],[8]:[19]],$I$5:$T$5,"Выкуп")</f>
        <v>114.4</v>
      </c>
      <c r="H1154" s="168">
        <f>SUMIFS(Таблица1[[#This Row],[8]:[19]],$I$5:$T$5,"Аренда")</f>
        <v>0</v>
      </c>
      <c r="I1154" s="169">
        <v>114.4</v>
      </c>
      <c r="J1154" s="169"/>
      <c r="K1154" s="169"/>
      <c r="L1154" s="169"/>
      <c r="M1154" s="169"/>
      <c r="N1154" s="169"/>
      <c r="O1154" s="169"/>
      <c r="P1154" s="169"/>
      <c r="Q1154" s="169"/>
      <c r="R1154" s="169"/>
      <c r="S1154" s="169"/>
      <c r="T1154" s="169"/>
      <c r="U1154" s="170"/>
      <c r="V1154" s="171"/>
    </row>
    <row r="1155" spans="1:22" hidden="1" outlineLevel="2" x14ac:dyDescent="0.25">
      <c r="A1155" s="186">
        <f>SUMIFS(МКД!$A$6:$A$389,МКД!$D$6:$D$389,Таблица1[[#This Row],[2]])</f>
        <v>185</v>
      </c>
      <c r="B1155" s="168"/>
      <c r="C1155" s="182" t="s">
        <v>677</v>
      </c>
      <c r="D1155" s="167" t="s">
        <v>2253</v>
      </c>
      <c r="E1155" s="167" t="s">
        <v>2252</v>
      </c>
      <c r="F1155" s="167">
        <v>1</v>
      </c>
      <c r="G1155" s="168">
        <f>SUMIFS(Таблица1[[#This Row],[8]:[19]],$I$5:$T$5,"Выкуп")</f>
        <v>74.900000000000006</v>
      </c>
      <c r="H1155" s="168">
        <f>SUMIFS(Таблица1[[#This Row],[8]:[19]],$I$5:$T$5,"Аренда")</f>
        <v>0</v>
      </c>
      <c r="I1155" s="169">
        <v>74.900000000000006</v>
      </c>
      <c r="J1155" s="169"/>
      <c r="K1155" s="169"/>
      <c r="L1155" s="169"/>
      <c r="M1155" s="169"/>
      <c r="N1155" s="169"/>
      <c r="O1155" s="169"/>
      <c r="P1155" s="169"/>
      <c r="Q1155" s="169"/>
      <c r="R1155" s="169"/>
      <c r="S1155" s="169"/>
      <c r="T1155" s="169"/>
      <c r="U1155" s="170"/>
      <c r="V1155" s="171"/>
    </row>
    <row r="1156" spans="1:22" hidden="1" outlineLevel="2" x14ac:dyDescent="0.25">
      <c r="A1156" s="186">
        <f>SUMIFS(МКД!$A$6:$A$389,МКД!$D$6:$D$389,Таблица1[[#This Row],[2]])</f>
        <v>185</v>
      </c>
      <c r="B1156" s="168"/>
      <c r="C1156" s="182" t="s">
        <v>677</v>
      </c>
      <c r="D1156" s="167" t="s">
        <v>2256</v>
      </c>
      <c r="E1156" s="167" t="s">
        <v>2257</v>
      </c>
      <c r="F1156" s="167">
        <v>1</v>
      </c>
      <c r="G1156" s="168">
        <f>SUMIFS(Таблица1[[#This Row],[8]:[19]],$I$5:$T$5,"Выкуп")</f>
        <v>67.599999999999994</v>
      </c>
      <c r="H1156" s="168">
        <f>SUMIFS(Таблица1[[#This Row],[8]:[19]],$I$5:$T$5,"Аренда")</f>
        <v>0</v>
      </c>
      <c r="I1156" s="169">
        <v>67.599999999999994</v>
      </c>
      <c r="J1156" s="169"/>
      <c r="K1156" s="169"/>
      <c r="L1156" s="169"/>
      <c r="M1156" s="169"/>
      <c r="N1156" s="169"/>
      <c r="O1156" s="169"/>
      <c r="P1156" s="169"/>
      <c r="Q1156" s="169"/>
      <c r="R1156" s="169"/>
      <c r="S1156" s="169"/>
      <c r="T1156" s="169"/>
      <c r="U1156" s="170"/>
      <c r="V1156" s="171"/>
    </row>
    <row r="1157" spans="1:22" hidden="1" outlineLevel="2" x14ac:dyDescent="0.25">
      <c r="A1157" s="186">
        <f>SUMIFS(МКД!$A$6:$A$389,МКД!$D$6:$D$389,Таблица1[[#This Row],[2]])</f>
        <v>185</v>
      </c>
      <c r="B1157" s="168"/>
      <c r="C1157" s="182" t="s">
        <v>677</v>
      </c>
      <c r="D1157" s="167" t="s">
        <v>274</v>
      </c>
      <c r="E1157" s="167" t="s">
        <v>1439</v>
      </c>
      <c r="F1157" s="167">
        <v>1</v>
      </c>
      <c r="G1157" s="168">
        <f>SUMIFS(Таблица1[[#This Row],[8]:[19]],$I$5:$T$5,"Выкуп")</f>
        <v>53.9</v>
      </c>
      <c r="H1157" s="168">
        <f>SUMIFS(Таблица1[[#This Row],[8]:[19]],$I$5:$T$5,"Аренда")</f>
        <v>0</v>
      </c>
      <c r="I1157" s="169">
        <v>53.9</v>
      </c>
      <c r="J1157" s="169"/>
      <c r="K1157" s="169"/>
      <c r="L1157" s="169"/>
      <c r="M1157" s="169"/>
      <c r="N1157" s="169"/>
      <c r="O1157" s="169"/>
      <c r="P1157" s="169"/>
      <c r="Q1157" s="169"/>
      <c r="R1157" s="169"/>
      <c r="S1157" s="169"/>
      <c r="T1157" s="169"/>
      <c r="U1157" s="170"/>
      <c r="V1157" s="171"/>
    </row>
    <row r="1158" spans="1:22" ht="15" outlineLevel="1" collapsed="1" x14ac:dyDescent="0.25">
      <c r="A1158" s="186">
        <f>SUMIFS(МКД!$A$6:$A$389,МКД!$D$6:$D$389,Таблица1[[#This Row],[2]])</f>
        <v>186</v>
      </c>
      <c r="B1158" s="194">
        <f>SUMIFS(Таблица1[6],Таблица1[2],Таблица1[[#This Row],[2]])+SUMIFS(Таблица1[7],Таблица1[2],Таблица1[[#This Row],[2]])</f>
        <v>0</v>
      </c>
      <c r="C1158" s="185" t="s">
        <v>678</v>
      </c>
      <c r="D1158" s="196"/>
      <c r="E1158" s="196"/>
      <c r="F1158" s="196"/>
      <c r="G1158" s="168"/>
      <c r="H1158" s="197"/>
      <c r="I1158" s="196"/>
      <c r="J1158" s="196"/>
      <c r="K1158" s="196"/>
      <c r="L1158" s="196"/>
      <c r="M1158" s="196"/>
      <c r="N1158" s="196"/>
      <c r="O1158" s="196"/>
      <c r="P1158" s="196"/>
      <c r="Q1158" s="196"/>
      <c r="R1158" s="196"/>
      <c r="S1158" s="196"/>
      <c r="T1158" s="196"/>
      <c r="U1158" s="196"/>
      <c r="V1158" s="198"/>
    </row>
    <row r="1159" spans="1:22" ht="15" hidden="1" outlineLevel="2" x14ac:dyDescent="0.25">
      <c r="A1159" s="186">
        <f>SUMIFS(МКД!$A$6:$A$389,МКД!$D$6:$D$389,Таблица1[[#This Row],[2]])</f>
        <v>186</v>
      </c>
      <c r="B1159" s="196"/>
      <c r="C1159" s="182" t="s">
        <v>678</v>
      </c>
      <c r="D1159" s="196"/>
      <c r="E1159" s="196"/>
      <c r="F1159" s="196"/>
      <c r="G1159" s="168">
        <f>SUMIFS(Таблица1[[#This Row],[8]:[19]],$I$5:$T$5,"Выкуп")</f>
        <v>0</v>
      </c>
      <c r="H1159" s="168">
        <f>SUMIFS(Таблица1[[#This Row],[8]:[19]],$I$5:$T$5,"Аренда")</f>
        <v>0</v>
      </c>
      <c r="I1159" s="196"/>
      <c r="J1159" s="196"/>
      <c r="K1159" s="196"/>
      <c r="L1159" s="196"/>
      <c r="M1159" s="196"/>
      <c r="N1159" s="196"/>
      <c r="O1159" s="196"/>
      <c r="P1159" s="196"/>
      <c r="Q1159" s="196"/>
      <c r="R1159" s="196"/>
      <c r="S1159" s="196"/>
      <c r="T1159" s="196"/>
      <c r="U1159" s="196"/>
      <c r="V1159" s="198"/>
    </row>
    <row r="1160" spans="1:22" ht="15" outlineLevel="1" collapsed="1" x14ac:dyDescent="0.25">
      <c r="A1160" s="186">
        <f>SUMIFS(МКД!$A$6:$A$389,МКД!$D$6:$D$389,Таблица1[[#This Row],[2]])</f>
        <v>187</v>
      </c>
      <c r="B1160" s="194">
        <f>SUMIFS(Таблица1[6],Таблица1[2],Таблица1[[#This Row],[2]])+SUMIFS(Таблица1[7],Таблица1[2],Таблица1[[#This Row],[2]])</f>
        <v>358.5</v>
      </c>
      <c r="C1160" s="185" t="s">
        <v>604</v>
      </c>
      <c r="D1160" s="196"/>
      <c r="E1160" s="196"/>
      <c r="F1160" s="196"/>
      <c r="G1160" s="168"/>
      <c r="H1160" s="197"/>
      <c r="I1160" s="196"/>
      <c r="J1160" s="196"/>
      <c r="K1160" s="196"/>
      <c r="L1160" s="196"/>
      <c r="M1160" s="196"/>
      <c r="N1160" s="196"/>
      <c r="O1160" s="196"/>
      <c r="P1160" s="196"/>
      <c r="Q1160" s="196"/>
      <c r="R1160" s="196"/>
      <c r="S1160" s="196"/>
      <c r="T1160" s="196"/>
      <c r="U1160" s="196"/>
      <c r="V1160" s="198"/>
    </row>
    <row r="1161" spans="1:22" hidden="1" outlineLevel="2" x14ac:dyDescent="0.25">
      <c r="A1161" s="186">
        <f>SUMIFS(МКД!$A$6:$A$389,МКД!$D$6:$D$389,Таблица1[[#This Row],[2]])</f>
        <v>187</v>
      </c>
      <c r="B1161" s="170"/>
      <c r="C1161" s="182" t="s">
        <v>604</v>
      </c>
      <c r="D1161" s="167" t="s">
        <v>2819</v>
      </c>
      <c r="E1161" s="167" t="s">
        <v>1422</v>
      </c>
      <c r="F1161" s="167">
        <v>1</v>
      </c>
      <c r="G1161" s="168">
        <f>SUMIFS(Таблица1[[#This Row],[8]:[19]],$I$5:$T$5,"Выкуп")</f>
        <v>128.1</v>
      </c>
      <c r="H1161" s="168">
        <f>SUMIFS(Таблица1[[#This Row],[8]:[19]],$I$5:$T$5,"Аренда")</f>
        <v>0</v>
      </c>
      <c r="I1161" s="169"/>
      <c r="J1161" s="169"/>
      <c r="K1161" s="169"/>
      <c r="L1161" s="169"/>
      <c r="M1161" s="169"/>
      <c r="N1161" s="169"/>
      <c r="O1161" s="169"/>
      <c r="P1161" s="169"/>
      <c r="Q1161" s="169"/>
      <c r="R1161" s="169"/>
      <c r="S1161" s="169">
        <v>128.1</v>
      </c>
      <c r="T1161" s="169"/>
      <c r="U1161" s="170"/>
      <c r="V1161" s="171"/>
    </row>
    <row r="1162" spans="1:22" hidden="1" outlineLevel="2" x14ac:dyDescent="0.25">
      <c r="A1162" s="186">
        <f>SUMIFS(МКД!$A$6:$A$389,МКД!$D$6:$D$389,Таблица1[[#This Row],[2]])</f>
        <v>187</v>
      </c>
      <c r="B1162" s="168"/>
      <c r="C1162" s="182" t="s">
        <v>604</v>
      </c>
      <c r="D1162" s="167" t="s">
        <v>2819</v>
      </c>
      <c r="E1162" s="167" t="s">
        <v>2820</v>
      </c>
      <c r="F1162" s="167">
        <v>1</v>
      </c>
      <c r="G1162" s="168">
        <f>SUMIFS(Таблица1[[#This Row],[8]:[19]],$I$5:$T$5,"Выкуп")</f>
        <v>71.400000000000006</v>
      </c>
      <c r="H1162" s="168">
        <f>SUMIFS(Таблица1[[#This Row],[8]:[19]],$I$5:$T$5,"Аренда")</f>
        <v>0</v>
      </c>
      <c r="I1162" s="169">
        <v>71.400000000000006</v>
      </c>
      <c r="J1162" s="169"/>
      <c r="K1162" s="169"/>
      <c r="L1162" s="169"/>
      <c r="M1162" s="169"/>
      <c r="N1162" s="169"/>
      <c r="O1162" s="169"/>
      <c r="P1162" s="169"/>
      <c r="Q1162" s="169"/>
      <c r="R1162" s="169"/>
      <c r="S1162" s="169"/>
      <c r="T1162" s="169"/>
      <c r="U1162" s="170"/>
      <c r="V1162" s="171"/>
    </row>
    <row r="1163" spans="1:22" hidden="1" outlineLevel="2" x14ac:dyDescent="0.25">
      <c r="A1163" s="186">
        <f>SUMIFS(МКД!$A$6:$A$389,МКД!$D$6:$D$389,Таблица1[[#This Row],[2]])</f>
        <v>187</v>
      </c>
      <c r="B1163" s="168"/>
      <c r="C1163" s="182" t="s">
        <v>604</v>
      </c>
      <c r="D1163" s="167" t="s">
        <v>1071</v>
      </c>
      <c r="E1163" s="167" t="s">
        <v>1072</v>
      </c>
      <c r="F1163" s="167"/>
      <c r="G1163" s="168">
        <f>SUMIFS(Таблица1[[#This Row],[8]:[19]],$I$5:$T$5,"Выкуп")</f>
        <v>41.3</v>
      </c>
      <c r="H1163" s="168">
        <f>SUMIFS(Таблица1[[#This Row],[8]:[19]],$I$5:$T$5,"Аренда")</f>
        <v>0</v>
      </c>
      <c r="I1163" s="169">
        <v>41.3</v>
      </c>
      <c r="J1163" s="169"/>
      <c r="K1163" s="169"/>
      <c r="L1163" s="169"/>
      <c r="M1163" s="169"/>
      <c r="N1163" s="169"/>
      <c r="O1163" s="169"/>
      <c r="P1163" s="169"/>
      <c r="Q1163" s="169"/>
      <c r="R1163" s="169"/>
      <c r="S1163" s="169"/>
      <c r="T1163" s="169"/>
      <c r="U1163" s="170"/>
      <c r="V1163" s="171"/>
    </row>
    <row r="1164" spans="1:22" hidden="1" outlineLevel="2" x14ac:dyDescent="0.25">
      <c r="A1164" s="186">
        <f>SUMIFS(МКД!$A$6:$A$389,МКД!$D$6:$D$389,Таблица1[[#This Row],[2]])</f>
        <v>187</v>
      </c>
      <c r="B1164" s="168"/>
      <c r="C1164" s="182" t="s">
        <v>604</v>
      </c>
      <c r="D1164" s="167" t="s">
        <v>276</v>
      </c>
      <c r="E1164" s="167" t="s">
        <v>277</v>
      </c>
      <c r="F1164" s="167">
        <v>1</v>
      </c>
      <c r="G1164" s="168">
        <f>SUMIFS(Таблица1[[#This Row],[8]:[19]],$I$5:$T$5,"Выкуп")</f>
        <v>56.6</v>
      </c>
      <c r="H1164" s="168">
        <f>SUMIFS(Таблица1[[#This Row],[8]:[19]],$I$5:$T$5,"Аренда")</f>
        <v>0</v>
      </c>
      <c r="I1164" s="169">
        <v>56.6</v>
      </c>
      <c r="J1164" s="169"/>
      <c r="K1164" s="169"/>
      <c r="L1164" s="169"/>
      <c r="M1164" s="169"/>
      <c r="N1164" s="169"/>
      <c r="O1164" s="169"/>
      <c r="P1164" s="169"/>
      <c r="Q1164" s="169"/>
      <c r="R1164" s="169"/>
      <c r="S1164" s="169"/>
      <c r="T1164" s="169"/>
      <c r="U1164" s="170"/>
      <c r="V1164" s="171"/>
    </row>
    <row r="1165" spans="1:22" hidden="1" outlineLevel="2" x14ac:dyDescent="0.25">
      <c r="A1165" s="186">
        <f>SUMIFS(МКД!$A$6:$A$389,МКД!$D$6:$D$389,Таблица1[[#This Row],[2]])</f>
        <v>187</v>
      </c>
      <c r="B1165" s="168"/>
      <c r="C1165" s="182" t="s">
        <v>604</v>
      </c>
      <c r="D1165" s="167" t="s">
        <v>278</v>
      </c>
      <c r="E1165" s="167" t="s">
        <v>279</v>
      </c>
      <c r="F1165" s="167">
        <v>1</v>
      </c>
      <c r="G1165" s="168">
        <f>SUMIFS(Таблица1[[#This Row],[8]:[19]],$I$5:$T$5,"Выкуп")</f>
        <v>30.2</v>
      </c>
      <c r="H1165" s="168">
        <f>SUMIFS(Таблица1[[#This Row],[8]:[19]],$I$5:$T$5,"Аренда")</f>
        <v>0</v>
      </c>
      <c r="I1165" s="169">
        <v>30.2</v>
      </c>
      <c r="J1165" s="169"/>
      <c r="K1165" s="169"/>
      <c r="L1165" s="169"/>
      <c r="M1165" s="169"/>
      <c r="N1165" s="169"/>
      <c r="O1165" s="169"/>
      <c r="P1165" s="169"/>
      <c r="Q1165" s="169"/>
      <c r="R1165" s="169"/>
      <c r="S1165" s="169"/>
      <c r="T1165" s="169"/>
      <c r="U1165" s="170"/>
      <c r="V1165" s="171"/>
    </row>
    <row r="1166" spans="1:22" hidden="1" outlineLevel="2" x14ac:dyDescent="0.25">
      <c r="A1166" s="186">
        <f>SUMIFS(МКД!$A$6:$A$389,МКД!$D$6:$D$389,Таблица1[[#This Row],[2]])</f>
        <v>187</v>
      </c>
      <c r="B1166" s="168"/>
      <c r="C1166" s="182" t="s">
        <v>604</v>
      </c>
      <c r="D1166" s="167" t="s">
        <v>280</v>
      </c>
      <c r="E1166" s="167" t="s">
        <v>281</v>
      </c>
      <c r="F1166" s="167">
        <v>1</v>
      </c>
      <c r="G1166" s="168">
        <f>SUMIFS(Таблица1[[#This Row],[8]:[19]],$I$5:$T$5,"Выкуп")</f>
        <v>30.9</v>
      </c>
      <c r="H1166" s="168">
        <f>SUMIFS(Таблица1[[#This Row],[8]:[19]],$I$5:$T$5,"Аренда")</f>
        <v>0</v>
      </c>
      <c r="I1166" s="169">
        <v>30.9</v>
      </c>
      <c r="J1166" s="169"/>
      <c r="K1166" s="169"/>
      <c r="L1166" s="169"/>
      <c r="M1166" s="169"/>
      <c r="N1166" s="169"/>
      <c r="O1166" s="169"/>
      <c r="P1166" s="169"/>
      <c r="Q1166" s="169"/>
      <c r="R1166" s="169"/>
      <c r="S1166" s="169"/>
      <c r="T1166" s="169"/>
      <c r="U1166" s="170"/>
      <c r="V1166" s="171"/>
    </row>
    <row r="1167" spans="1:22" ht="15" outlineLevel="1" collapsed="1" x14ac:dyDescent="0.25">
      <c r="A1167" s="186">
        <f>SUMIFS(МКД!$A$6:$A$389,МКД!$D$6:$D$389,Таблица1[[#This Row],[2]])</f>
        <v>188</v>
      </c>
      <c r="B1167" s="194">
        <f>SUMIFS(Таблица1[6],Таблица1[2],Таблица1[[#This Row],[2]])+SUMIFS(Таблица1[7],Таблица1[2],Таблица1[[#This Row],[2]])</f>
        <v>746.5</v>
      </c>
      <c r="C1167" s="185" t="s">
        <v>679</v>
      </c>
      <c r="D1167" s="196"/>
      <c r="E1167" s="196"/>
      <c r="F1167" s="196"/>
      <c r="G1167" s="168"/>
      <c r="H1167" s="197"/>
      <c r="I1167" s="196"/>
      <c r="J1167" s="196"/>
      <c r="K1167" s="196"/>
      <c r="L1167" s="196"/>
      <c r="M1167" s="196"/>
      <c r="N1167" s="196"/>
      <c r="O1167" s="196"/>
      <c r="P1167" s="196"/>
      <c r="Q1167" s="196"/>
      <c r="R1167" s="196"/>
      <c r="S1167" s="196"/>
      <c r="T1167" s="196"/>
      <c r="U1167" s="196"/>
      <c r="V1167" s="198"/>
    </row>
    <row r="1168" spans="1:22" hidden="1" outlineLevel="2" x14ac:dyDescent="0.25">
      <c r="A1168" s="186">
        <f>SUMIFS(МКД!$A$6:$A$389,МКД!$D$6:$D$389,Таблица1[[#This Row],[2]])</f>
        <v>188</v>
      </c>
      <c r="B1168" s="170"/>
      <c r="C1168" s="182" t="s">
        <v>679</v>
      </c>
      <c r="D1168" s="167" t="s">
        <v>2718</v>
      </c>
      <c r="E1168" s="167" t="s">
        <v>1473</v>
      </c>
      <c r="F1168" s="167">
        <v>1</v>
      </c>
      <c r="G1168" s="168">
        <f>SUMIFS(Таблица1[[#This Row],[8]:[19]],$I$5:$T$5,"Выкуп")</f>
        <v>35.9</v>
      </c>
      <c r="H1168" s="168">
        <f>SUMIFS(Таблица1[[#This Row],[8]:[19]],$I$5:$T$5,"Аренда")</f>
        <v>0</v>
      </c>
      <c r="I1168" s="169">
        <v>35.9</v>
      </c>
      <c r="J1168" s="169"/>
      <c r="K1168" s="169"/>
      <c r="L1168" s="169"/>
      <c r="M1168" s="169"/>
      <c r="N1168" s="169"/>
      <c r="O1168" s="169"/>
      <c r="P1168" s="169"/>
      <c r="Q1168" s="169"/>
      <c r="R1168" s="169"/>
      <c r="S1168" s="169"/>
      <c r="T1168" s="169"/>
      <c r="U1168" s="170"/>
      <c r="V1168" s="171"/>
    </row>
    <row r="1169" spans="1:22" hidden="1" outlineLevel="2" x14ac:dyDescent="0.25">
      <c r="A1169" s="186">
        <f>SUMIFS(МКД!$A$6:$A$389,МКД!$D$6:$D$389,Таблица1[[#This Row],[2]])</f>
        <v>188</v>
      </c>
      <c r="B1169" s="168"/>
      <c r="C1169" s="182" t="s">
        <v>679</v>
      </c>
      <c r="D1169" s="167" t="s">
        <v>1970</v>
      </c>
      <c r="E1169" s="167" t="s">
        <v>1969</v>
      </c>
      <c r="F1169" s="167">
        <v>1</v>
      </c>
      <c r="G1169" s="168">
        <f>SUMIFS(Таблица1[[#This Row],[8]:[19]],$I$5:$T$5,"Выкуп")</f>
        <v>92.5</v>
      </c>
      <c r="H1169" s="168">
        <f>SUMIFS(Таблица1[[#This Row],[8]:[19]],$I$5:$T$5,"Аренда")</f>
        <v>0</v>
      </c>
      <c r="I1169" s="169">
        <f>167.5-I1170</f>
        <v>92.5</v>
      </c>
      <c r="J1169" s="169"/>
      <c r="K1169" s="169"/>
      <c r="L1169" s="169"/>
      <c r="M1169" s="169"/>
      <c r="N1169" s="169"/>
      <c r="O1169" s="169"/>
      <c r="P1169" s="169"/>
      <c r="Q1169" s="169"/>
      <c r="R1169" s="169"/>
      <c r="S1169" s="169"/>
      <c r="T1169" s="169"/>
      <c r="U1169" s="170"/>
      <c r="V1169" s="171"/>
    </row>
    <row r="1170" spans="1:22" hidden="1" outlineLevel="2" x14ac:dyDescent="0.25">
      <c r="A1170" s="186">
        <f>SUMIFS(МКД!$A$6:$A$389,МКД!$D$6:$D$389,Таблица1[[#This Row],[2]])</f>
        <v>188</v>
      </c>
      <c r="B1170" s="168"/>
      <c r="C1170" s="182" t="s">
        <v>679</v>
      </c>
      <c r="D1170" s="167" t="s">
        <v>252</v>
      </c>
      <c r="E1170" s="167" t="s">
        <v>2259</v>
      </c>
      <c r="F1170" s="167">
        <v>1</v>
      </c>
      <c r="G1170" s="168">
        <f>SUMIFS(Таблица1[[#This Row],[8]:[19]],$I$5:$T$5,"Выкуп")</f>
        <v>75</v>
      </c>
      <c r="H1170" s="168">
        <f>SUMIFS(Таблица1[[#This Row],[8]:[19]],$I$5:$T$5,"Аренда")</f>
        <v>0</v>
      </c>
      <c r="I1170" s="169">
        <v>75</v>
      </c>
      <c r="J1170" s="169"/>
      <c r="K1170" s="169"/>
      <c r="L1170" s="169"/>
      <c r="M1170" s="169"/>
      <c r="N1170" s="169"/>
      <c r="O1170" s="169"/>
      <c r="P1170" s="169"/>
      <c r="Q1170" s="169"/>
      <c r="R1170" s="169"/>
      <c r="S1170" s="169"/>
      <c r="T1170" s="169"/>
      <c r="U1170" s="170"/>
      <c r="V1170" s="171"/>
    </row>
    <row r="1171" spans="1:22" hidden="1" outlineLevel="2" x14ac:dyDescent="0.25">
      <c r="A1171" s="186">
        <f>SUMIFS(МКД!$A$6:$A$389,МКД!$D$6:$D$389,Таблица1[[#This Row],[2]])</f>
        <v>188</v>
      </c>
      <c r="B1171" s="168"/>
      <c r="C1171" s="182" t="s">
        <v>679</v>
      </c>
      <c r="D1171" s="167" t="s">
        <v>2260</v>
      </c>
      <c r="E1171" s="167" t="s">
        <v>2261</v>
      </c>
      <c r="F1171" s="167">
        <v>1</v>
      </c>
      <c r="G1171" s="168">
        <f>SUMIFS(Таблица1[[#This Row],[8]:[19]],$I$5:$T$5,"Выкуп")</f>
        <v>72.900000000000006</v>
      </c>
      <c r="H1171" s="168">
        <f>SUMIFS(Таблица1[[#This Row],[8]:[19]],$I$5:$T$5,"Аренда")</f>
        <v>0</v>
      </c>
      <c r="I1171" s="169">
        <v>72.900000000000006</v>
      </c>
      <c r="J1171" s="169"/>
      <c r="K1171" s="169"/>
      <c r="L1171" s="169"/>
      <c r="M1171" s="169"/>
      <c r="N1171" s="169"/>
      <c r="O1171" s="169"/>
      <c r="P1171" s="169"/>
      <c r="Q1171" s="169"/>
      <c r="R1171" s="169"/>
      <c r="S1171" s="169"/>
      <c r="T1171" s="169"/>
      <c r="U1171" s="170"/>
      <c r="V1171" s="171"/>
    </row>
    <row r="1172" spans="1:22" hidden="1" outlineLevel="2" x14ac:dyDescent="0.25">
      <c r="A1172" s="186">
        <f>SUMIFS(МКД!$A$6:$A$389,МКД!$D$6:$D$389,Таблица1[[#This Row],[2]])</f>
        <v>188</v>
      </c>
      <c r="B1172" s="168"/>
      <c r="C1172" s="182" t="s">
        <v>679</v>
      </c>
      <c r="D1172" s="167" t="s">
        <v>282</v>
      </c>
      <c r="E1172" s="167" t="s">
        <v>2262</v>
      </c>
      <c r="F1172" s="167">
        <v>1</v>
      </c>
      <c r="G1172" s="168">
        <f>SUMIFS(Таблица1[[#This Row],[8]:[19]],$I$5:$T$5,"Выкуп")</f>
        <v>34.6</v>
      </c>
      <c r="H1172" s="168">
        <f>SUMIFS(Таблица1[[#This Row],[8]:[19]],$I$5:$T$5,"Аренда")</f>
        <v>0</v>
      </c>
      <c r="I1172" s="169">
        <v>34.6</v>
      </c>
      <c r="J1172" s="169"/>
      <c r="K1172" s="169"/>
      <c r="L1172" s="169"/>
      <c r="M1172" s="169"/>
      <c r="N1172" s="169"/>
      <c r="O1172" s="169"/>
      <c r="P1172" s="169"/>
      <c r="Q1172" s="169"/>
      <c r="R1172" s="169"/>
      <c r="S1172" s="169"/>
      <c r="T1172" s="169"/>
      <c r="U1172" s="170"/>
      <c r="V1172" s="171"/>
    </row>
    <row r="1173" spans="1:22" hidden="1" outlineLevel="2" x14ac:dyDescent="0.25">
      <c r="A1173" s="186">
        <f>SUMIFS(МКД!$A$6:$A$389,МКД!$D$6:$D$389,Таблица1[[#This Row],[2]])</f>
        <v>188</v>
      </c>
      <c r="B1173" s="168"/>
      <c r="C1173" s="182" t="s">
        <v>679</v>
      </c>
      <c r="D1173" s="167" t="s">
        <v>2263</v>
      </c>
      <c r="E1173" s="167" t="s">
        <v>2264</v>
      </c>
      <c r="F1173" s="167">
        <v>1</v>
      </c>
      <c r="G1173" s="168">
        <f>SUMIFS(Таблица1[[#This Row],[8]:[19]],$I$5:$T$5,"Выкуп")</f>
        <v>74.400000000000006</v>
      </c>
      <c r="H1173" s="168">
        <f>SUMIFS(Таблица1[[#This Row],[8]:[19]],$I$5:$T$5,"Аренда")</f>
        <v>0</v>
      </c>
      <c r="I1173" s="169">
        <v>74.400000000000006</v>
      </c>
      <c r="J1173" s="169"/>
      <c r="K1173" s="169"/>
      <c r="L1173" s="169"/>
      <c r="M1173" s="169"/>
      <c r="N1173" s="169"/>
      <c r="O1173" s="169"/>
      <c r="P1173" s="169"/>
      <c r="Q1173" s="169"/>
      <c r="R1173" s="169"/>
      <c r="S1173" s="169"/>
      <c r="T1173" s="169"/>
      <c r="U1173" s="170"/>
      <c r="V1173" s="171"/>
    </row>
    <row r="1174" spans="1:22" hidden="1" outlineLevel="2" x14ac:dyDescent="0.25">
      <c r="A1174" s="186">
        <f>SUMIFS(МКД!$A$6:$A$389,МКД!$D$6:$D$389,Таблица1[[#This Row],[2]])</f>
        <v>188</v>
      </c>
      <c r="B1174" s="168"/>
      <c r="C1174" s="182" t="s">
        <v>679</v>
      </c>
      <c r="D1174" s="167" t="s">
        <v>2602</v>
      </c>
      <c r="E1174" s="167" t="s">
        <v>2265</v>
      </c>
      <c r="F1174" s="167">
        <v>1</v>
      </c>
      <c r="G1174" s="168">
        <f>SUMIFS(Таблица1[[#This Row],[8]:[19]],$I$5:$T$5,"Выкуп")</f>
        <v>74.5</v>
      </c>
      <c r="H1174" s="168">
        <f>SUMIFS(Таблица1[[#This Row],[8]:[19]],$I$5:$T$5,"Аренда")</f>
        <v>0</v>
      </c>
      <c r="I1174" s="169">
        <v>74.5</v>
      </c>
      <c r="J1174" s="169"/>
      <c r="K1174" s="169"/>
      <c r="L1174" s="169"/>
      <c r="M1174" s="169"/>
      <c r="N1174" s="169"/>
      <c r="O1174" s="169"/>
      <c r="P1174" s="169"/>
      <c r="Q1174" s="169"/>
      <c r="R1174" s="169"/>
      <c r="S1174" s="169"/>
      <c r="T1174" s="169"/>
      <c r="U1174" s="170"/>
      <c r="V1174" s="171"/>
    </row>
    <row r="1175" spans="1:22" hidden="1" outlineLevel="2" x14ac:dyDescent="0.25">
      <c r="A1175" s="186">
        <f>SUMIFS(МКД!$A$6:$A$389,МКД!$D$6:$D$389,Таблица1[[#This Row],[2]])</f>
        <v>188</v>
      </c>
      <c r="B1175" s="168"/>
      <c r="C1175" s="182" t="s">
        <v>679</v>
      </c>
      <c r="D1175" s="167" t="s">
        <v>260</v>
      </c>
      <c r="E1175" s="167" t="s">
        <v>1474</v>
      </c>
      <c r="F1175" s="167">
        <v>1</v>
      </c>
      <c r="G1175" s="168">
        <f>SUMIFS(Таблица1[[#This Row],[8]:[19]],$I$5:$T$5,"Выкуп")</f>
        <v>56.9</v>
      </c>
      <c r="H1175" s="168">
        <f>SUMIFS(Таблица1[[#This Row],[8]:[19]],$I$5:$T$5,"Аренда")</f>
        <v>0</v>
      </c>
      <c r="I1175" s="169">
        <v>56.9</v>
      </c>
      <c r="J1175" s="169"/>
      <c r="K1175" s="169"/>
      <c r="L1175" s="169"/>
      <c r="M1175" s="169"/>
      <c r="N1175" s="169"/>
      <c r="O1175" s="169"/>
      <c r="P1175" s="169"/>
      <c r="Q1175" s="169"/>
      <c r="R1175" s="169"/>
      <c r="S1175" s="169"/>
      <c r="T1175" s="169"/>
      <c r="U1175" s="170"/>
      <c r="V1175" s="171"/>
    </row>
    <row r="1176" spans="1:22" hidden="1" outlineLevel="2" x14ac:dyDescent="0.25">
      <c r="A1176" s="186">
        <f>SUMIFS(МКД!$A$6:$A$389,МКД!$D$6:$D$389,Таблица1[[#This Row],[2]])</f>
        <v>188</v>
      </c>
      <c r="B1176" s="168"/>
      <c r="C1176" s="182" t="s">
        <v>679</v>
      </c>
      <c r="D1176" s="167" t="s">
        <v>283</v>
      </c>
      <c r="E1176" s="167" t="s">
        <v>2266</v>
      </c>
      <c r="F1176" s="167">
        <v>1</v>
      </c>
      <c r="G1176" s="168">
        <f>SUMIFS(Таблица1[[#This Row],[8]:[19]],$I$5:$T$5,"Выкуп")</f>
        <v>37.6</v>
      </c>
      <c r="H1176" s="168">
        <f>SUMIFS(Таблица1[[#This Row],[8]:[19]],$I$5:$T$5,"Аренда")</f>
        <v>0</v>
      </c>
      <c r="I1176" s="169">
        <v>37.6</v>
      </c>
      <c r="J1176" s="169"/>
      <c r="K1176" s="169"/>
      <c r="L1176" s="169"/>
      <c r="M1176" s="169"/>
      <c r="N1176" s="169"/>
      <c r="O1176" s="169"/>
      <c r="P1176" s="169"/>
      <c r="Q1176" s="169"/>
      <c r="R1176" s="169"/>
      <c r="S1176" s="169"/>
      <c r="T1176" s="169"/>
      <c r="U1176" s="170"/>
      <c r="V1176" s="171"/>
    </row>
    <row r="1177" spans="1:22" hidden="1" outlineLevel="2" x14ac:dyDescent="0.25">
      <c r="A1177" s="186">
        <f>SUMIFS(МКД!$A$6:$A$389,МКД!$D$6:$D$389,Таблица1[[#This Row],[2]])</f>
        <v>188</v>
      </c>
      <c r="B1177" s="168"/>
      <c r="C1177" s="182" t="s">
        <v>679</v>
      </c>
      <c r="D1177" s="167" t="s">
        <v>284</v>
      </c>
      <c r="E1177" s="167" t="s">
        <v>2267</v>
      </c>
      <c r="F1177" s="167">
        <v>1</v>
      </c>
      <c r="G1177" s="168">
        <f>SUMIFS(Таблица1[[#This Row],[8]:[19]],$I$5:$T$5,"Выкуп")</f>
        <v>50.9</v>
      </c>
      <c r="H1177" s="168">
        <f>SUMIFS(Таблица1[[#This Row],[8]:[19]],$I$5:$T$5,"Аренда")</f>
        <v>0</v>
      </c>
      <c r="I1177" s="169">
        <v>50.9</v>
      </c>
      <c r="J1177" s="169"/>
      <c r="K1177" s="169"/>
      <c r="L1177" s="169"/>
      <c r="M1177" s="169"/>
      <c r="N1177" s="169"/>
      <c r="O1177" s="169"/>
      <c r="P1177" s="169"/>
      <c r="Q1177" s="169"/>
      <c r="R1177" s="169"/>
      <c r="S1177" s="169"/>
      <c r="T1177" s="169"/>
      <c r="U1177" s="170"/>
      <c r="V1177" s="171"/>
    </row>
    <row r="1178" spans="1:22" hidden="1" outlineLevel="2" x14ac:dyDescent="0.25">
      <c r="A1178" s="186">
        <f>SUMIFS(МКД!$A$6:$A$389,МКД!$D$6:$D$389,Таблица1[[#This Row],[2]])</f>
        <v>188</v>
      </c>
      <c r="B1178" s="168"/>
      <c r="C1178" s="182" t="s">
        <v>679</v>
      </c>
      <c r="D1178" s="167" t="s">
        <v>918</v>
      </c>
      <c r="E1178" s="167" t="s">
        <v>917</v>
      </c>
      <c r="F1178" s="167">
        <v>1</v>
      </c>
      <c r="G1178" s="168">
        <f>SUMIFS(Таблица1[[#This Row],[8]:[19]],$I$5:$T$5,"Выкуп")</f>
        <v>141.30000000000001</v>
      </c>
      <c r="H1178" s="168">
        <f>SUMIFS(Таблица1[[#This Row],[8]:[19]],$I$5:$T$5,"Аренда")</f>
        <v>0</v>
      </c>
      <c r="I1178" s="169"/>
      <c r="J1178" s="169"/>
      <c r="K1178" s="169">
        <v>141.30000000000001</v>
      </c>
      <c r="L1178" s="169"/>
      <c r="M1178" s="169"/>
      <c r="N1178" s="169"/>
      <c r="O1178" s="169"/>
      <c r="P1178" s="169"/>
      <c r="Q1178" s="169"/>
      <c r="R1178" s="169"/>
      <c r="S1178" s="169"/>
      <c r="T1178" s="169"/>
      <c r="U1178" s="170"/>
      <c r="V1178" s="171"/>
    </row>
    <row r="1179" spans="1:22" ht="15" outlineLevel="1" collapsed="1" x14ac:dyDescent="0.25">
      <c r="A1179" s="186">
        <f>SUMIFS(МКД!$A$6:$A$389,МКД!$D$6:$D$389,Таблица1[[#This Row],[2]])</f>
        <v>189</v>
      </c>
      <c r="B1179" s="194">
        <f>SUMIFS(Таблица1[6],Таблица1[2],Таблица1[[#This Row],[2]])+SUMIFS(Таблица1[7],Таблица1[2],Таблица1[[#This Row],[2]])</f>
        <v>260.2</v>
      </c>
      <c r="C1179" s="185" t="s">
        <v>680</v>
      </c>
      <c r="D1179" s="196"/>
      <c r="E1179" s="196"/>
      <c r="F1179" s="196"/>
      <c r="G1179" s="168"/>
      <c r="H1179" s="197"/>
      <c r="I1179" s="196"/>
      <c r="J1179" s="196"/>
      <c r="K1179" s="196"/>
      <c r="L1179" s="196"/>
      <c r="M1179" s="196"/>
      <c r="N1179" s="196"/>
      <c r="O1179" s="196"/>
      <c r="P1179" s="196"/>
      <c r="Q1179" s="196"/>
      <c r="R1179" s="196"/>
      <c r="S1179" s="196"/>
      <c r="T1179" s="196"/>
      <c r="U1179" s="196"/>
      <c r="V1179" s="198"/>
    </row>
    <row r="1180" spans="1:22" hidden="1" outlineLevel="2" x14ac:dyDescent="0.25">
      <c r="A1180" s="186">
        <f>SUMIFS(МКД!$A$6:$A$389,МКД!$D$6:$D$389,Таблица1[[#This Row],[2]])</f>
        <v>189</v>
      </c>
      <c r="B1180" s="170"/>
      <c r="C1180" s="182" t="s">
        <v>680</v>
      </c>
      <c r="D1180" s="167" t="s">
        <v>175</v>
      </c>
      <c r="E1180" s="167" t="s">
        <v>285</v>
      </c>
      <c r="F1180" s="167">
        <v>1</v>
      </c>
      <c r="G1180" s="168">
        <f>SUMIFS(Таблица1[[#This Row],[8]:[19]],$I$5:$T$5,"Выкуп")</f>
        <v>113.4</v>
      </c>
      <c r="H1180" s="168">
        <f>SUMIFS(Таблица1[[#This Row],[8]:[19]],$I$5:$T$5,"Аренда")</f>
        <v>0</v>
      </c>
      <c r="I1180" s="169">
        <v>113.4</v>
      </c>
      <c r="J1180" s="169"/>
      <c r="K1180" s="169"/>
      <c r="L1180" s="169"/>
      <c r="M1180" s="169"/>
      <c r="N1180" s="169"/>
      <c r="O1180" s="169"/>
      <c r="P1180" s="169"/>
      <c r="Q1180" s="169"/>
      <c r="R1180" s="169"/>
      <c r="S1180" s="169"/>
      <c r="T1180" s="169"/>
      <c r="U1180" s="170"/>
      <c r="V1180" s="171"/>
    </row>
    <row r="1181" spans="1:22" hidden="1" outlineLevel="2" x14ac:dyDescent="0.25">
      <c r="A1181" s="186">
        <f>SUMIFS(МКД!$A$6:$A$389,МКД!$D$6:$D$389,Таблица1[[#This Row],[2]])</f>
        <v>189</v>
      </c>
      <c r="B1181" s="168"/>
      <c r="C1181" s="182" t="s">
        <v>680</v>
      </c>
      <c r="D1181" s="167" t="s">
        <v>1793</v>
      </c>
      <c r="E1181" s="167" t="s">
        <v>1259</v>
      </c>
      <c r="F1181" s="167">
        <v>1</v>
      </c>
      <c r="G1181" s="168">
        <f>SUMIFS(Таблица1[[#This Row],[8]:[19]],$I$5:$T$5,"Выкуп")</f>
        <v>72.8</v>
      </c>
      <c r="H1181" s="168">
        <f>SUMIFS(Таблица1[[#This Row],[8]:[19]],$I$5:$T$5,"Аренда")</f>
        <v>0</v>
      </c>
      <c r="I1181" s="169">
        <v>72.8</v>
      </c>
      <c r="J1181" s="169"/>
      <c r="K1181" s="169"/>
      <c r="L1181" s="169"/>
      <c r="M1181" s="169"/>
      <c r="N1181" s="169"/>
      <c r="O1181" s="169"/>
      <c r="P1181" s="169"/>
      <c r="Q1181" s="169"/>
      <c r="R1181" s="169"/>
      <c r="S1181" s="169"/>
      <c r="T1181" s="169"/>
      <c r="U1181" s="170"/>
      <c r="V1181" s="171"/>
    </row>
    <row r="1182" spans="1:22" hidden="1" outlineLevel="2" x14ac:dyDescent="0.25">
      <c r="A1182" s="186">
        <f>SUMIFS(МКД!$A$6:$A$389,МКД!$D$6:$D$389,Таблица1[[#This Row],[2]])</f>
        <v>189</v>
      </c>
      <c r="B1182" s="168"/>
      <c r="C1182" s="182" t="s">
        <v>680</v>
      </c>
      <c r="D1182" s="167" t="s">
        <v>286</v>
      </c>
      <c r="E1182" s="167" t="s">
        <v>287</v>
      </c>
      <c r="F1182" s="167">
        <v>1</v>
      </c>
      <c r="G1182" s="168">
        <f>SUMIFS(Таблица1[[#This Row],[8]:[19]],$I$5:$T$5,"Выкуп")</f>
        <v>74</v>
      </c>
      <c r="H1182" s="168">
        <f>SUMIFS(Таблица1[[#This Row],[8]:[19]],$I$5:$T$5,"Аренда")</f>
        <v>0</v>
      </c>
      <c r="I1182" s="169">
        <v>74</v>
      </c>
      <c r="J1182" s="169"/>
      <c r="K1182" s="169"/>
      <c r="L1182" s="169"/>
      <c r="M1182" s="169"/>
      <c r="N1182" s="169"/>
      <c r="O1182" s="169"/>
      <c r="P1182" s="169"/>
      <c r="Q1182" s="169"/>
      <c r="R1182" s="169"/>
      <c r="S1182" s="169"/>
      <c r="T1182" s="169"/>
      <c r="U1182" s="170"/>
      <c r="V1182" s="171"/>
    </row>
    <row r="1183" spans="1:22" ht="15" outlineLevel="1" collapsed="1" x14ac:dyDescent="0.25">
      <c r="A1183" s="186">
        <f>SUMIFS(МКД!$A$6:$A$389,МКД!$D$6:$D$389,Таблица1[[#This Row],[2]])</f>
        <v>190</v>
      </c>
      <c r="B1183" s="194">
        <f>SUMIFS(Таблица1[6],Таблица1[2],Таблица1[[#This Row],[2]])+SUMIFS(Таблица1[7],Таблица1[2],Таблица1[[#This Row],[2]])</f>
        <v>585.70000000000005</v>
      </c>
      <c r="C1183" s="185" t="s">
        <v>605</v>
      </c>
      <c r="D1183" s="196"/>
      <c r="E1183" s="196"/>
      <c r="F1183" s="196"/>
      <c r="G1183" s="168"/>
      <c r="H1183" s="197"/>
      <c r="I1183" s="196"/>
      <c r="J1183" s="196"/>
      <c r="K1183" s="196"/>
      <c r="L1183" s="196"/>
      <c r="M1183" s="196"/>
      <c r="N1183" s="196"/>
      <c r="O1183" s="196"/>
      <c r="P1183" s="196"/>
      <c r="Q1183" s="196"/>
      <c r="R1183" s="196"/>
      <c r="S1183" s="196"/>
      <c r="T1183" s="196"/>
      <c r="U1183" s="196"/>
      <c r="V1183" s="198"/>
    </row>
    <row r="1184" spans="1:22" hidden="1" outlineLevel="2" x14ac:dyDescent="0.25">
      <c r="A1184" s="186">
        <f>SUMIFS(МКД!$A$6:$A$389,МКД!$D$6:$D$389,Таблица1[[#This Row],[2]])</f>
        <v>190</v>
      </c>
      <c r="B1184" s="170"/>
      <c r="C1184" s="182" t="s">
        <v>605</v>
      </c>
      <c r="D1184" s="167" t="s">
        <v>1894</v>
      </c>
      <c r="E1184" s="167" t="s">
        <v>1600</v>
      </c>
      <c r="F1184" s="167">
        <v>1</v>
      </c>
      <c r="G1184" s="168">
        <f>SUMIFS(Таблица1[[#This Row],[8]:[19]],$I$5:$T$5,"Выкуп")</f>
        <v>292.85000000000002</v>
      </c>
      <c r="H1184" s="168">
        <f>SUMIFS(Таблица1[[#This Row],[8]:[19]],$I$5:$T$5,"Аренда")</f>
        <v>0</v>
      </c>
      <c r="I1184" s="169">
        <f>341.5/2</f>
        <v>170.75</v>
      </c>
      <c r="J1184" s="169"/>
      <c r="K1184" s="169">
        <f>244.2/2</f>
        <v>122.1</v>
      </c>
      <c r="L1184" s="169"/>
      <c r="M1184" s="169"/>
      <c r="N1184" s="169"/>
      <c r="O1184" s="169"/>
      <c r="P1184" s="169"/>
      <c r="Q1184" s="169"/>
      <c r="R1184" s="169"/>
      <c r="S1184" s="169"/>
      <c r="T1184" s="169"/>
      <c r="U1184" s="170"/>
      <c r="V1184" s="171"/>
    </row>
    <row r="1185" spans="1:22" hidden="1" outlineLevel="2" x14ac:dyDescent="0.25">
      <c r="A1185" s="186">
        <f>SUMIFS(МКД!$A$6:$A$389,МКД!$D$6:$D$389,Таблица1[[#This Row],[2]])</f>
        <v>190</v>
      </c>
      <c r="B1185" s="170"/>
      <c r="C1185" s="182" t="s">
        <v>605</v>
      </c>
      <c r="D1185" s="167" t="s">
        <v>1895</v>
      </c>
      <c r="E1185" s="167" t="s">
        <v>1601</v>
      </c>
      <c r="F1185" s="167">
        <v>1</v>
      </c>
      <c r="G1185" s="168">
        <f>SUMIFS(Таблица1[[#This Row],[8]:[19]],$I$5:$T$5,"Выкуп")</f>
        <v>292.85000000000002</v>
      </c>
      <c r="H1185" s="168">
        <f>SUMIFS(Таблица1[[#This Row],[8]:[19]],$I$5:$T$5,"Аренда")</f>
        <v>0</v>
      </c>
      <c r="I1185" s="169">
        <f>341.5/2</f>
        <v>170.75</v>
      </c>
      <c r="J1185" s="169"/>
      <c r="K1185" s="169">
        <f>244.2/2</f>
        <v>122.1</v>
      </c>
      <c r="L1185" s="169"/>
      <c r="M1185" s="169"/>
      <c r="N1185" s="169"/>
      <c r="O1185" s="169"/>
      <c r="P1185" s="169"/>
      <c r="Q1185" s="169"/>
      <c r="R1185" s="169"/>
      <c r="S1185" s="169"/>
      <c r="T1185" s="169"/>
      <c r="U1185" s="170"/>
      <c r="V1185" s="171"/>
    </row>
    <row r="1186" spans="1:22" ht="15" outlineLevel="1" collapsed="1" x14ac:dyDescent="0.25">
      <c r="A1186" s="186">
        <f>SUMIFS(МКД!$A$6:$A$389,МКД!$D$6:$D$389,Таблица1[[#This Row],[2]])</f>
        <v>191</v>
      </c>
      <c r="B1186" s="194">
        <f>SUMIFS(Таблица1[6],Таблица1[2],Таблица1[[#This Row],[2]])+SUMIFS(Таблица1[7],Таблица1[2],Таблица1[[#This Row],[2]])</f>
        <v>640.90000000000009</v>
      </c>
      <c r="C1186" s="185" t="s">
        <v>681</v>
      </c>
      <c r="D1186" s="196"/>
      <c r="E1186" s="196"/>
      <c r="F1186" s="196"/>
      <c r="G1186" s="168"/>
      <c r="H1186" s="197"/>
      <c r="I1186" s="196"/>
      <c r="J1186" s="196"/>
      <c r="K1186" s="196"/>
      <c r="L1186" s="196"/>
      <c r="M1186" s="196"/>
      <c r="N1186" s="196"/>
      <c r="O1186" s="196"/>
      <c r="P1186" s="196"/>
      <c r="Q1186" s="196"/>
      <c r="R1186" s="196"/>
      <c r="S1186" s="196"/>
      <c r="T1186" s="196"/>
      <c r="U1186" s="196"/>
      <c r="V1186" s="198"/>
    </row>
    <row r="1187" spans="1:22" hidden="1" outlineLevel="2" x14ac:dyDescent="0.25">
      <c r="A1187" s="186">
        <f>SUMIFS(МКД!$A$6:$A$389,МКД!$D$6:$D$389,Таблица1[[#This Row],[2]])</f>
        <v>191</v>
      </c>
      <c r="B1187" s="170"/>
      <c r="C1187" s="182" t="s">
        <v>681</v>
      </c>
      <c r="D1187" s="167" t="s">
        <v>288</v>
      </c>
      <c r="E1187" s="167" t="s">
        <v>2268</v>
      </c>
      <c r="F1187" s="167">
        <v>1</v>
      </c>
      <c r="G1187" s="168">
        <f>SUMIFS(Таблица1[[#This Row],[8]:[19]],$I$5:$T$5,"Выкуп")</f>
        <v>75.8</v>
      </c>
      <c r="H1187" s="168">
        <f>SUMIFS(Таблица1[[#This Row],[8]:[19]],$I$5:$T$5,"Аренда")</f>
        <v>0</v>
      </c>
      <c r="I1187" s="169">
        <v>75.8</v>
      </c>
      <c r="J1187" s="169"/>
      <c r="K1187" s="169"/>
      <c r="L1187" s="169"/>
      <c r="M1187" s="169"/>
      <c r="N1187" s="169"/>
      <c r="O1187" s="169"/>
      <c r="P1187" s="169"/>
      <c r="Q1187" s="169"/>
      <c r="R1187" s="169"/>
      <c r="S1187" s="169"/>
      <c r="T1187" s="169"/>
      <c r="U1187" s="170"/>
      <c r="V1187" s="171"/>
    </row>
    <row r="1188" spans="1:22" hidden="1" outlineLevel="2" x14ac:dyDescent="0.25">
      <c r="A1188" s="186">
        <f>SUMIFS(МКД!$A$6:$A$389,МКД!$D$6:$D$389,Таблица1[[#This Row],[2]])</f>
        <v>191</v>
      </c>
      <c r="B1188" s="168"/>
      <c r="C1188" s="182" t="s">
        <v>681</v>
      </c>
      <c r="D1188" s="167" t="s">
        <v>2269</v>
      </c>
      <c r="E1188" s="167" t="s">
        <v>2270</v>
      </c>
      <c r="F1188" s="167">
        <v>1</v>
      </c>
      <c r="G1188" s="168">
        <f>SUMIFS(Таблица1[[#This Row],[8]:[19]],$I$5:$T$5,"Выкуп")</f>
        <v>74.8</v>
      </c>
      <c r="H1188" s="168">
        <f>SUMIFS(Таблица1[[#This Row],[8]:[19]],$I$5:$T$5,"Аренда")</f>
        <v>0</v>
      </c>
      <c r="I1188" s="169">
        <v>74.8</v>
      </c>
      <c r="J1188" s="169"/>
      <c r="K1188" s="169"/>
      <c r="L1188" s="169"/>
      <c r="M1188" s="169"/>
      <c r="N1188" s="169"/>
      <c r="O1188" s="169"/>
      <c r="P1188" s="169"/>
      <c r="Q1188" s="169"/>
      <c r="R1188" s="169"/>
      <c r="S1188" s="169"/>
      <c r="T1188" s="169"/>
      <c r="U1188" s="170"/>
      <c r="V1188" s="171"/>
    </row>
    <row r="1189" spans="1:22" hidden="1" outlineLevel="2" x14ac:dyDescent="0.25">
      <c r="A1189" s="186">
        <f>SUMIFS(МКД!$A$6:$A$389,МКД!$D$6:$D$389,Таблица1[[#This Row],[2]])</f>
        <v>191</v>
      </c>
      <c r="B1189" s="168"/>
      <c r="C1189" s="182" t="s">
        <v>681</v>
      </c>
      <c r="D1189" s="167" t="s">
        <v>339</v>
      </c>
      <c r="E1189" s="167" t="s">
        <v>2271</v>
      </c>
      <c r="F1189" s="167">
        <v>1</v>
      </c>
      <c r="G1189" s="168">
        <f>SUMIFS(Таблица1[[#This Row],[8]:[19]],$I$5:$T$5,"Выкуп")</f>
        <v>190.5</v>
      </c>
      <c r="H1189" s="168">
        <f>SUMIFS(Таблица1[[#This Row],[8]:[19]],$I$5:$T$5,"Аренда")</f>
        <v>0</v>
      </c>
      <c r="I1189" s="169">
        <v>190.5</v>
      </c>
      <c r="J1189" s="169"/>
      <c r="K1189" s="169"/>
      <c r="L1189" s="169"/>
      <c r="M1189" s="169"/>
      <c r="N1189" s="169"/>
      <c r="O1189" s="169"/>
      <c r="P1189" s="169"/>
      <c r="Q1189" s="169"/>
      <c r="R1189" s="169"/>
      <c r="S1189" s="169"/>
      <c r="T1189" s="169"/>
      <c r="U1189" s="170"/>
      <c r="V1189" s="171"/>
    </row>
    <row r="1190" spans="1:22" hidden="1" outlineLevel="2" x14ac:dyDescent="0.25">
      <c r="A1190" s="186">
        <f>SUMIFS(МКД!$A$6:$A$389,МКД!$D$6:$D$389,Таблица1[[#This Row],[2]])</f>
        <v>191</v>
      </c>
      <c r="B1190" s="168"/>
      <c r="C1190" s="182" t="s">
        <v>681</v>
      </c>
      <c r="D1190" s="167" t="s">
        <v>2272</v>
      </c>
      <c r="E1190" s="167" t="s">
        <v>1268</v>
      </c>
      <c r="F1190" s="167">
        <v>1</v>
      </c>
      <c r="G1190" s="168">
        <f>SUMIFS(Таблица1[[#This Row],[8]:[19]],$I$5:$T$5,"Выкуп")</f>
        <v>36</v>
      </c>
      <c r="H1190" s="168">
        <f>SUMIFS(Таблица1[[#This Row],[8]:[19]],$I$5:$T$5,"Аренда")</f>
        <v>0</v>
      </c>
      <c r="I1190" s="169">
        <v>36</v>
      </c>
      <c r="J1190" s="169"/>
      <c r="K1190" s="169"/>
      <c r="L1190" s="169"/>
      <c r="M1190" s="169"/>
      <c r="N1190" s="169"/>
      <c r="O1190" s="169"/>
      <c r="P1190" s="169"/>
      <c r="Q1190" s="169"/>
      <c r="R1190" s="169"/>
      <c r="S1190" s="169"/>
      <c r="T1190" s="169"/>
      <c r="U1190" s="170"/>
      <c r="V1190" s="171"/>
    </row>
    <row r="1191" spans="1:22" hidden="1" outlineLevel="2" x14ac:dyDescent="0.25">
      <c r="A1191" s="186">
        <f>SUMIFS(МКД!$A$6:$A$389,МКД!$D$6:$D$389,Таблица1[[#This Row],[2]])</f>
        <v>191</v>
      </c>
      <c r="B1191" s="168"/>
      <c r="C1191" s="182" t="s">
        <v>681</v>
      </c>
      <c r="D1191" s="167" t="s">
        <v>340</v>
      </c>
      <c r="E1191" s="167" t="s">
        <v>1500</v>
      </c>
      <c r="F1191" s="167">
        <v>1</v>
      </c>
      <c r="G1191" s="168">
        <f>SUMIFS(Таблица1[[#This Row],[8]:[19]],$I$5:$T$5,"Выкуп")</f>
        <v>153.4</v>
      </c>
      <c r="H1191" s="168">
        <f>SUMIFS(Таблица1[[#This Row],[8]:[19]],$I$5:$T$5,"Аренда")</f>
        <v>0</v>
      </c>
      <c r="I1191" s="169">
        <v>153.4</v>
      </c>
      <c r="J1191" s="169"/>
      <c r="K1191" s="169"/>
      <c r="L1191" s="169"/>
      <c r="M1191" s="169"/>
      <c r="N1191" s="169"/>
      <c r="O1191" s="169"/>
      <c r="P1191" s="169"/>
      <c r="Q1191" s="169"/>
      <c r="R1191" s="169"/>
      <c r="S1191" s="169"/>
      <c r="T1191" s="169"/>
      <c r="U1191" s="170"/>
      <c r="V1191" s="171"/>
    </row>
    <row r="1192" spans="1:22" hidden="1" outlineLevel="2" x14ac:dyDescent="0.25">
      <c r="A1192" s="186">
        <f>SUMIFS(МКД!$A$6:$A$389,МКД!$D$6:$D$389,Таблица1[[#This Row],[2]])</f>
        <v>191</v>
      </c>
      <c r="B1192" s="168"/>
      <c r="C1192" s="182" t="s">
        <v>681</v>
      </c>
      <c r="D1192" s="167" t="s">
        <v>1927</v>
      </c>
      <c r="E1192" s="167" t="s">
        <v>1928</v>
      </c>
      <c r="F1192" s="167">
        <v>1</v>
      </c>
      <c r="G1192" s="168">
        <f>SUMIFS(Таблица1[[#This Row],[8]:[19]],$I$5:$T$5,"Выкуп")</f>
        <v>73.7</v>
      </c>
      <c r="H1192" s="168">
        <f>SUMIFS(Таблица1[[#This Row],[8]:[19]],$I$5:$T$5,"Аренда")</f>
        <v>0</v>
      </c>
      <c r="I1192" s="169">
        <v>73.7</v>
      </c>
      <c r="J1192" s="169"/>
      <c r="K1192" s="169"/>
      <c r="L1192" s="169"/>
      <c r="M1192" s="169"/>
      <c r="N1192" s="169"/>
      <c r="O1192" s="169"/>
      <c r="P1192" s="169"/>
      <c r="Q1192" s="169"/>
      <c r="R1192" s="169"/>
      <c r="S1192" s="169"/>
      <c r="T1192" s="169"/>
      <c r="U1192" s="170"/>
      <c r="V1192" s="171"/>
    </row>
    <row r="1193" spans="1:22" s="156" customFormat="1" hidden="1" outlineLevel="2" x14ac:dyDescent="0.25">
      <c r="A1193" s="186">
        <f>SUMIFS(МКД!$A$6:$A$389,МКД!$D$6:$D$389,Таблица1[[#This Row],[2]])</f>
        <v>191</v>
      </c>
      <c r="B1193" s="168"/>
      <c r="C1193" s="182" t="s">
        <v>681</v>
      </c>
      <c r="D1193" s="167" t="s">
        <v>189</v>
      </c>
      <c r="E1193" s="167" t="s">
        <v>112</v>
      </c>
      <c r="F1193" s="167"/>
      <c r="G1193" s="168">
        <f>SUMIFS(Таблица1[[#This Row],[8]:[19]],$I$5:$T$5,"Выкуп")</f>
        <v>0</v>
      </c>
      <c r="H1193" s="168">
        <f>SUMIFS(Таблица1[[#This Row],[8]:[19]],$I$5:$T$5,"Аренда")</f>
        <v>36.700000000000003</v>
      </c>
      <c r="I1193" s="169"/>
      <c r="J1193" s="169"/>
      <c r="K1193" s="167"/>
      <c r="L1193" s="169">
        <v>36.700000000000003</v>
      </c>
      <c r="M1193" s="169"/>
      <c r="N1193" s="169"/>
      <c r="O1193" s="169"/>
      <c r="P1193" s="169"/>
      <c r="Q1193" s="169"/>
      <c r="R1193" s="169"/>
      <c r="S1193" s="169"/>
      <c r="T1193" s="169"/>
      <c r="U1193" s="170"/>
      <c r="V1193" s="171"/>
    </row>
    <row r="1194" spans="1:22" s="156" customFormat="1" ht="15" outlineLevel="1" collapsed="1" x14ac:dyDescent="0.25">
      <c r="A1194" s="186">
        <f>SUMIFS(МКД!$A$6:$A$389,МКД!$D$6:$D$389,Таблица1[[#This Row],[2]])</f>
        <v>192</v>
      </c>
      <c r="B1194" s="194">
        <f>SUMIFS(Таблица1[6],Таблица1[2],Таблица1[[#This Row],[2]])+SUMIFS(Таблица1[7],Таблица1[2],Таблица1[[#This Row],[2]])</f>
        <v>0</v>
      </c>
      <c r="C1194" s="185" t="s">
        <v>606</v>
      </c>
      <c r="D1194" s="196"/>
      <c r="E1194" s="196"/>
      <c r="F1194" s="196"/>
      <c r="G1194" s="168"/>
      <c r="H1194" s="197"/>
      <c r="I1194" s="196"/>
      <c r="J1194" s="196"/>
      <c r="K1194" s="196"/>
      <c r="L1194" s="196"/>
      <c r="M1194" s="196"/>
      <c r="N1194" s="196"/>
      <c r="O1194" s="196"/>
      <c r="P1194" s="196"/>
      <c r="Q1194" s="196"/>
      <c r="R1194" s="196"/>
      <c r="S1194" s="196"/>
      <c r="T1194" s="196"/>
      <c r="U1194" s="196"/>
      <c r="V1194" s="198"/>
    </row>
    <row r="1195" spans="1:22" s="156" customFormat="1" ht="15" hidden="1" outlineLevel="2" x14ac:dyDescent="0.25">
      <c r="A1195" s="186">
        <f>SUMIFS(МКД!$A$6:$A$389,МКД!$D$6:$D$389,Таблица1[[#This Row],[2]])</f>
        <v>192</v>
      </c>
      <c r="B1195" s="196"/>
      <c r="C1195" s="182" t="s">
        <v>606</v>
      </c>
      <c r="D1195" s="196"/>
      <c r="E1195" s="196"/>
      <c r="F1195" s="196"/>
      <c r="G1195" s="168">
        <f>SUMIFS(Таблица1[[#This Row],[8]:[19]],$I$5:$T$5,"Выкуп")</f>
        <v>0</v>
      </c>
      <c r="H1195" s="168">
        <f>SUMIFS(Таблица1[[#This Row],[8]:[19]],$I$5:$T$5,"Аренда")</f>
        <v>0</v>
      </c>
      <c r="I1195" s="196"/>
      <c r="J1195" s="196"/>
      <c r="K1195" s="196"/>
      <c r="L1195" s="196"/>
      <c r="M1195" s="196"/>
      <c r="N1195" s="196"/>
      <c r="O1195" s="196"/>
      <c r="P1195" s="196"/>
      <c r="Q1195" s="196"/>
      <c r="R1195" s="196"/>
      <c r="S1195" s="196"/>
      <c r="T1195" s="196"/>
      <c r="U1195" s="196"/>
      <c r="V1195" s="198"/>
    </row>
    <row r="1196" spans="1:22" s="20" customFormat="1" ht="15" outlineLevel="1" collapsed="1" x14ac:dyDescent="0.25">
      <c r="A1196" s="186">
        <f>SUMIFS(МКД!$A$6:$A$389,МКД!$D$6:$D$389,Таблица1[[#This Row],[2]])</f>
        <v>193</v>
      </c>
      <c r="B1196" s="194">
        <f>SUMIFS(Таблица1[6],Таблица1[2],Таблица1[[#This Row],[2]])+SUMIFS(Таблица1[7],Таблица1[2],Таблица1[[#This Row],[2]])</f>
        <v>161.5</v>
      </c>
      <c r="C1196" s="185" t="s">
        <v>607</v>
      </c>
      <c r="D1196" s="196"/>
      <c r="E1196" s="196"/>
      <c r="F1196" s="196"/>
      <c r="G1196" s="168"/>
      <c r="H1196" s="197"/>
      <c r="I1196" s="196"/>
      <c r="J1196" s="196"/>
      <c r="K1196" s="196"/>
      <c r="L1196" s="196"/>
      <c r="M1196" s="196"/>
      <c r="N1196" s="196"/>
      <c r="O1196" s="196"/>
      <c r="P1196" s="196"/>
      <c r="Q1196" s="196"/>
      <c r="R1196" s="196"/>
      <c r="S1196" s="196"/>
      <c r="T1196" s="196"/>
      <c r="U1196" s="196"/>
      <c r="V1196" s="198"/>
    </row>
    <row r="1197" spans="1:22" hidden="1" outlineLevel="2" x14ac:dyDescent="0.25">
      <c r="A1197" s="186">
        <f>SUMIFS(МКД!$A$6:$A$389,МКД!$D$6:$D$389,Таблица1[[#This Row],[2]])</f>
        <v>193</v>
      </c>
      <c r="B1197" s="170"/>
      <c r="C1197" s="182" t="s">
        <v>607</v>
      </c>
      <c r="D1197" s="167" t="s">
        <v>2056</v>
      </c>
      <c r="E1197" s="167" t="s">
        <v>2055</v>
      </c>
      <c r="F1197" s="167">
        <v>1</v>
      </c>
      <c r="G1197" s="168">
        <f>SUMIFS(Таблица1[[#This Row],[8]:[19]],$I$5:$T$5,"Выкуп")</f>
        <v>59.4</v>
      </c>
      <c r="H1197" s="168">
        <f>SUMIFS(Таблица1[[#This Row],[8]:[19]],$I$5:$T$5,"Аренда")</f>
        <v>0</v>
      </c>
      <c r="I1197" s="169">
        <v>59.4</v>
      </c>
      <c r="J1197" s="169"/>
      <c r="K1197" s="169"/>
      <c r="L1197" s="169"/>
      <c r="M1197" s="169"/>
      <c r="N1197" s="169"/>
      <c r="O1197" s="169"/>
      <c r="P1197" s="169"/>
      <c r="Q1197" s="169"/>
      <c r="R1197" s="169"/>
      <c r="S1197" s="169"/>
      <c r="T1197" s="169"/>
      <c r="U1197" s="170"/>
      <c r="V1197" s="171"/>
    </row>
    <row r="1198" spans="1:22" hidden="1" outlineLevel="2" x14ac:dyDescent="0.25">
      <c r="A1198" s="186">
        <f>SUMIFS(МКД!$A$6:$A$389,МКД!$D$6:$D$389,Таблица1[[#This Row],[2]])</f>
        <v>193</v>
      </c>
      <c r="B1198" s="168"/>
      <c r="C1198" s="182" t="s">
        <v>607</v>
      </c>
      <c r="D1198" s="167" t="s">
        <v>341</v>
      </c>
      <c r="E1198" s="167" t="s">
        <v>342</v>
      </c>
      <c r="F1198" s="167">
        <v>1</v>
      </c>
      <c r="G1198" s="168">
        <f>SUMIFS(Таблица1[[#This Row],[8]:[19]],$I$5:$T$5,"Выкуп")</f>
        <v>42.9</v>
      </c>
      <c r="H1198" s="168">
        <f>SUMIFS(Таблица1[[#This Row],[8]:[19]],$I$5:$T$5,"Аренда")</f>
        <v>0</v>
      </c>
      <c r="I1198" s="169">
        <v>42.9</v>
      </c>
      <c r="J1198" s="169"/>
      <c r="K1198" s="169"/>
      <c r="L1198" s="169"/>
      <c r="M1198" s="169"/>
      <c r="N1198" s="169"/>
      <c r="O1198" s="169"/>
      <c r="P1198" s="169"/>
      <c r="Q1198" s="169"/>
      <c r="R1198" s="169"/>
      <c r="S1198" s="169"/>
      <c r="T1198" s="169"/>
      <c r="U1198" s="170"/>
      <c r="V1198" s="171"/>
    </row>
    <row r="1199" spans="1:22" hidden="1" outlineLevel="2" x14ac:dyDescent="0.25">
      <c r="A1199" s="186">
        <f>SUMIFS(МКД!$A$6:$A$389,МКД!$D$6:$D$389,Таблица1[[#This Row],[2]])</f>
        <v>193</v>
      </c>
      <c r="B1199" s="168"/>
      <c r="C1199" s="182" t="s">
        <v>607</v>
      </c>
      <c r="D1199" s="167" t="s">
        <v>1620</v>
      </c>
      <c r="E1199" s="167" t="s">
        <v>1619</v>
      </c>
      <c r="F1199" s="167">
        <v>1</v>
      </c>
      <c r="G1199" s="168">
        <f>SUMIFS(Таблица1[[#This Row],[8]:[19]],$I$5:$T$5,"Выкуп")</f>
        <v>59.2</v>
      </c>
      <c r="H1199" s="168">
        <f>SUMIFS(Таблица1[[#This Row],[8]:[19]],$I$5:$T$5,"Аренда")</f>
        <v>0</v>
      </c>
      <c r="I1199" s="169">
        <v>59.2</v>
      </c>
      <c r="J1199" s="169"/>
      <c r="K1199" s="169"/>
      <c r="L1199" s="169"/>
      <c r="M1199" s="169"/>
      <c r="N1199" s="169"/>
      <c r="O1199" s="169"/>
      <c r="P1199" s="169"/>
      <c r="Q1199" s="169"/>
      <c r="R1199" s="169"/>
      <c r="S1199" s="169"/>
      <c r="T1199" s="169"/>
      <c r="U1199" s="170"/>
      <c r="V1199" s="171"/>
    </row>
    <row r="1200" spans="1:22" s="20" customFormat="1" ht="15" outlineLevel="1" collapsed="1" x14ac:dyDescent="0.25">
      <c r="A1200" s="186">
        <f>SUMIFS(МКД!$A$6:$A$389,МКД!$D$6:$D$389,Таблица1[[#This Row],[2]])</f>
        <v>194</v>
      </c>
      <c r="B1200" s="194">
        <f>SUMIFS(Таблица1[6],Таблица1[2],Таблица1[[#This Row],[2]])+SUMIFS(Таблица1[7],Таблица1[2],Таблица1[[#This Row],[2]])</f>
        <v>0</v>
      </c>
      <c r="C1200" s="185" t="s">
        <v>608</v>
      </c>
      <c r="D1200" s="196"/>
      <c r="E1200" s="196"/>
      <c r="F1200" s="196"/>
      <c r="G1200" s="168"/>
      <c r="H1200" s="197"/>
      <c r="I1200" s="196"/>
      <c r="J1200" s="196"/>
      <c r="K1200" s="196"/>
      <c r="L1200" s="196"/>
      <c r="M1200" s="196"/>
      <c r="N1200" s="196"/>
      <c r="O1200" s="196"/>
      <c r="P1200" s="196"/>
      <c r="Q1200" s="196"/>
      <c r="R1200" s="196"/>
      <c r="S1200" s="196"/>
      <c r="T1200" s="196"/>
      <c r="U1200" s="196"/>
      <c r="V1200" s="198"/>
    </row>
    <row r="1201" spans="1:22" hidden="1" outlineLevel="2" x14ac:dyDescent="0.25">
      <c r="A1201" s="186">
        <f>SUMIFS(МКД!$A$6:$A$389,МКД!$D$6:$D$389,Таблица1[[#This Row],[2]])</f>
        <v>194</v>
      </c>
      <c r="B1201" s="170"/>
      <c r="C1201" s="182" t="s">
        <v>608</v>
      </c>
      <c r="D1201" s="167"/>
      <c r="E1201" s="167"/>
      <c r="F1201" s="167"/>
      <c r="G1201" s="168">
        <f>SUMIFS(Таблица1[[#This Row],[8]:[19]],$I$5:$T$5,"Выкуп")</f>
        <v>0</v>
      </c>
      <c r="H1201" s="168">
        <f>SUMIFS(Таблица1[[#This Row],[8]:[19]],$I$5:$T$5,"Аренда")</f>
        <v>0</v>
      </c>
      <c r="I1201" s="169"/>
      <c r="J1201" s="169"/>
      <c r="K1201" s="169"/>
      <c r="L1201" s="169"/>
      <c r="M1201" s="169"/>
      <c r="N1201" s="169"/>
      <c r="O1201" s="169"/>
      <c r="P1201" s="169"/>
      <c r="Q1201" s="169"/>
      <c r="R1201" s="169"/>
      <c r="S1201" s="169"/>
      <c r="T1201" s="169"/>
      <c r="U1201" s="170"/>
      <c r="V1201" s="171"/>
    </row>
    <row r="1202" spans="1:22" ht="15" outlineLevel="1" collapsed="1" x14ac:dyDescent="0.25">
      <c r="A1202" s="186">
        <f>SUMIFS(МКД!$A$6:$A$389,МКД!$D$6:$D$389,Таблица1[[#This Row],[2]])</f>
        <v>200</v>
      </c>
      <c r="B1202" s="194">
        <f>SUMIFS(Таблица1[6],Таблица1[2],Таблица1[[#This Row],[2]])+SUMIFS(Таблица1[7],Таблица1[2],Таблица1[[#This Row],[2]])</f>
        <v>0</v>
      </c>
      <c r="C1202" s="185" t="s">
        <v>609</v>
      </c>
      <c r="D1202" s="196"/>
      <c r="E1202" s="196"/>
      <c r="F1202" s="196"/>
      <c r="G1202" s="168"/>
      <c r="H1202" s="197"/>
      <c r="I1202" s="196"/>
      <c r="J1202" s="196"/>
      <c r="K1202" s="196"/>
      <c r="L1202" s="196"/>
      <c r="M1202" s="196"/>
      <c r="N1202" s="196"/>
      <c r="O1202" s="196"/>
      <c r="P1202" s="196"/>
      <c r="Q1202" s="196"/>
      <c r="R1202" s="196"/>
      <c r="S1202" s="196"/>
      <c r="T1202" s="196"/>
      <c r="U1202" s="196"/>
      <c r="V1202" s="198"/>
    </row>
    <row r="1203" spans="1:22" hidden="1" outlineLevel="2" x14ac:dyDescent="0.25">
      <c r="A1203" s="186">
        <f>SUMIFS(МКД!$A$6:$A$389,МКД!$D$6:$D$389,Таблица1[[#This Row],[2]])</f>
        <v>200</v>
      </c>
      <c r="B1203" s="170"/>
      <c r="C1203" s="182" t="s">
        <v>609</v>
      </c>
      <c r="D1203" s="167"/>
      <c r="E1203" s="167"/>
      <c r="F1203" s="167">
        <v>1</v>
      </c>
      <c r="G1203" s="168">
        <f>SUMIFS(Таблица1[[#This Row],[8]:[19]],$I$5:$T$5,"Выкуп")</f>
        <v>0</v>
      </c>
      <c r="H1203" s="168">
        <f>SUMIFS(Таблица1[[#This Row],[8]:[19]],$I$5:$T$5,"Аренда")</f>
        <v>0</v>
      </c>
      <c r="I1203" s="169"/>
      <c r="J1203" s="169"/>
      <c r="K1203" s="169"/>
      <c r="L1203" s="169"/>
      <c r="M1203" s="169"/>
      <c r="N1203" s="169"/>
      <c r="O1203" s="169"/>
      <c r="P1203" s="169"/>
      <c r="Q1203" s="169"/>
      <c r="R1203" s="169"/>
      <c r="S1203" s="169"/>
      <c r="T1203" s="169"/>
      <c r="U1203" s="170"/>
      <c r="V1203" s="171"/>
    </row>
    <row r="1204" spans="1:22" ht="15" outlineLevel="1" collapsed="1" x14ac:dyDescent="0.25">
      <c r="A1204" s="186">
        <f>SUMIFS(МКД!$A$6:$A$389,МКД!$D$6:$D$389,Таблица1[[#This Row],[2]])</f>
        <v>213</v>
      </c>
      <c r="B1204" s="194">
        <f>SUMIFS(Таблица1[6],Таблица1[2],Таблица1[[#This Row],[2]])+SUMIFS(Таблица1[7],Таблица1[2],Таблица1[[#This Row],[2]])</f>
        <v>132.30000000000001</v>
      </c>
      <c r="C1204" s="185" t="s">
        <v>368</v>
      </c>
      <c r="D1204" s="196"/>
      <c r="E1204" s="196"/>
      <c r="F1204" s="196"/>
      <c r="G1204" s="168"/>
      <c r="H1204" s="197"/>
      <c r="I1204" s="196"/>
      <c r="J1204" s="196"/>
      <c r="K1204" s="196"/>
      <c r="L1204" s="196"/>
      <c r="M1204" s="196"/>
      <c r="N1204" s="196"/>
      <c r="O1204" s="196"/>
      <c r="P1204" s="196"/>
      <c r="Q1204" s="196"/>
      <c r="R1204" s="196"/>
      <c r="S1204" s="196"/>
      <c r="T1204" s="196"/>
      <c r="U1204" s="196"/>
      <c r="V1204" s="198"/>
    </row>
    <row r="1205" spans="1:22" hidden="1" outlineLevel="2" x14ac:dyDescent="0.25">
      <c r="A1205" s="186">
        <f>SUMIFS(МКД!$A$6:$A$389,МКД!$D$6:$D$389,Таблица1[[#This Row],[2]])</f>
        <v>213</v>
      </c>
      <c r="B1205" s="170"/>
      <c r="C1205" s="182" t="s">
        <v>368</v>
      </c>
      <c r="D1205" s="167" t="s">
        <v>1559</v>
      </c>
      <c r="E1205" s="167" t="s">
        <v>1557</v>
      </c>
      <c r="F1205" s="167">
        <v>1</v>
      </c>
      <c r="G1205" s="168">
        <f>SUMIFS(Таблица1[[#This Row],[8]:[19]],$I$5:$T$5,"Выкуп")</f>
        <v>68</v>
      </c>
      <c r="H1205" s="168">
        <f>SUMIFS(Таблица1[[#This Row],[8]:[19]],$I$5:$T$5,"Аренда")</f>
        <v>0</v>
      </c>
      <c r="I1205" s="169">
        <v>68</v>
      </c>
      <c r="J1205" s="169"/>
      <c r="K1205" s="169"/>
      <c r="L1205" s="169"/>
      <c r="M1205" s="169"/>
      <c r="N1205" s="169"/>
      <c r="O1205" s="169"/>
      <c r="P1205" s="169"/>
      <c r="Q1205" s="169"/>
      <c r="R1205" s="169"/>
      <c r="S1205" s="169"/>
      <c r="T1205" s="169"/>
      <c r="U1205" s="170"/>
      <c r="V1205" s="171"/>
    </row>
    <row r="1206" spans="1:22" hidden="1" outlineLevel="2" x14ac:dyDescent="0.25">
      <c r="A1206" s="186">
        <f>SUMIFS(МКД!$A$6:$A$389,МКД!$D$6:$D$389,Таблица1[[#This Row],[2]])</f>
        <v>213</v>
      </c>
      <c r="B1206" s="168"/>
      <c r="C1206" s="182" t="s">
        <v>368</v>
      </c>
      <c r="D1206" s="167" t="s">
        <v>61</v>
      </c>
      <c r="E1206" s="167" t="s">
        <v>1558</v>
      </c>
      <c r="F1206" s="167">
        <v>1</v>
      </c>
      <c r="G1206" s="168">
        <f>SUMIFS(Таблица1[[#This Row],[8]:[19]],$I$5:$T$5,"Выкуп")</f>
        <v>64.3</v>
      </c>
      <c r="H1206" s="168">
        <f>SUMIFS(Таблица1[[#This Row],[8]:[19]],$I$5:$T$5,"Аренда")</f>
        <v>0</v>
      </c>
      <c r="I1206" s="169">
        <v>64.3</v>
      </c>
      <c r="J1206" s="169"/>
      <c r="K1206" s="169"/>
      <c r="L1206" s="169"/>
      <c r="M1206" s="169"/>
      <c r="N1206" s="169"/>
      <c r="O1206" s="169"/>
      <c r="P1206" s="169"/>
      <c r="Q1206" s="169"/>
      <c r="R1206" s="169"/>
      <c r="S1206" s="169"/>
      <c r="T1206" s="169"/>
      <c r="U1206" s="170"/>
      <c r="V1206" s="171"/>
    </row>
    <row r="1207" spans="1:22" ht="15" outlineLevel="1" collapsed="1" x14ac:dyDescent="0.25">
      <c r="A1207" s="186">
        <f>SUMIFS(МКД!$A$6:$A$389,МКД!$D$6:$D$389,Таблица1[[#This Row],[2]])</f>
        <v>222</v>
      </c>
      <c r="B1207" s="194">
        <f>SUMIFS(Таблица1[6],Таблица1[2],Таблица1[[#This Row],[2]])+SUMIFS(Таблица1[7],Таблица1[2],Таблица1[[#This Row],[2]])</f>
        <v>232.7</v>
      </c>
      <c r="C1207" s="185" t="s">
        <v>369</v>
      </c>
      <c r="D1207" s="196"/>
      <c r="E1207" s="196"/>
      <c r="F1207" s="196"/>
      <c r="G1207" s="168"/>
      <c r="H1207" s="197"/>
      <c r="I1207" s="196"/>
      <c r="J1207" s="196"/>
      <c r="K1207" s="196"/>
      <c r="L1207" s="196"/>
      <c r="M1207" s="196"/>
      <c r="N1207" s="196"/>
      <c r="O1207" s="196"/>
      <c r="P1207" s="196"/>
      <c r="Q1207" s="196"/>
      <c r="R1207" s="196"/>
      <c r="S1207" s="196"/>
      <c r="T1207" s="196"/>
      <c r="U1207" s="196"/>
      <c r="V1207" s="198"/>
    </row>
    <row r="1208" spans="1:22" hidden="1" outlineLevel="2" x14ac:dyDescent="0.25">
      <c r="A1208" s="186">
        <f>SUMIFS(МКД!$A$6:$A$389,МКД!$D$6:$D$389,Таблица1[[#This Row],[2]])</f>
        <v>222</v>
      </c>
      <c r="B1208" s="170"/>
      <c r="C1208" s="182" t="s">
        <v>369</v>
      </c>
      <c r="D1208" s="167" t="s">
        <v>1795</v>
      </c>
      <c r="E1208" s="167" t="s">
        <v>1794</v>
      </c>
      <c r="F1208" s="167">
        <v>1</v>
      </c>
      <c r="G1208" s="168">
        <f>SUMIFS(Таблица1[[#This Row],[8]:[19]],$I$5:$T$5,"Выкуп")</f>
        <v>78.2</v>
      </c>
      <c r="H1208" s="168">
        <f>SUMIFS(Таблица1[[#This Row],[8]:[19]],$I$5:$T$5,"Аренда")</f>
        <v>0</v>
      </c>
      <c r="I1208" s="169">
        <v>78.2</v>
      </c>
      <c r="J1208" s="169"/>
      <c r="K1208" s="169"/>
      <c r="L1208" s="169"/>
      <c r="M1208" s="169"/>
      <c r="N1208" s="169"/>
      <c r="O1208" s="169"/>
      <c r="P1208" s="169"/>
      <c r="Q1208" s="169"/>
      <c r="R1208" s="169"/>
      <c r="S1208" s="169"/>
      <c r="T1208" s="169"/>
      <c r="U1208" s="170"/>
      <c r="V1208" s="172"/>
    </row>
    <row r="1209" spans="1:22" hidden="1" outlineLevel="2" x14ac:dyDescent="0.25">
      <c r="A1209" s="186">
        <f>SUMIFS(МКД!$A$6:$A$389,МКД!$D$6:$D$389,Таблица1[[#This Row],[2]])</f>
        <v>222</v>
      </c>
      <c r="B1209" s="168"/>
      <c r="C1209" s="182" t="s">
        <v>369</v>
      </c>
      <c r="D1209" s="167" t="s">
        <v>812</v>
      </c>
      <c r="E1209" s="167" t="s">
        <v>2278</v>
      </c>
      <c r="F1209" s="167">
        <v>1</v>
      </c>
      <c r="G1209" s="168">
        <f>SUMIFS(Таблица1[[#This Row],[8]:[19]],$I$5:$T$5,"Выкуп")</f>
        <v>154.5</v>
      </c>
      <c r="H1209" s="168">
        <f>SUMIFS(Таблица1[[#This Row],[8]:[19]],$I$5:$T$5,"Аренда")</f>
        <v>0</v>
      </c>
      <c r="I1209" s="169">
        <v>79.2</v>
      </c>
      <c r="J1209" s="169"/>
      <c r="K1209" s="169">
        <v>75.3</v>
      </c>
      <c r="L1209" s="169"/>
      <c r="M1209" s="169"/>
      <c r="N1209" s="169"/>
      <c r="O1209" s="169"/>
      <c r="P1209" s="169"/>
      <c r="Q1209" s="169"/>
      <c r="R1209" s="169"/>
      <c r="S1209" s="169"/>
      <c r="T1209" s="169"/>
      <c r="U1209" s="170"/>
      <c r="V1209" s="172"/>
    </row>
    <row r="1210" spans="1:22" ht="15" outlineLevel="1" collapsed="1" x14ac:dyDescent="0.25">
      <c r="A1210" s="186">
        <f>SUMIFS(МКД!$A$6:$A$389,МКД!$D$6:$D$389,Таблица1[[#This Row],[2]])</f>
        <v>223</v>
      </c>
      <c r="B1210" s="194">
        <f>SUMIFS(Таблица1[6],Таблица1[2],Таблица1[[#This Row],[2]])+SUMIFS(Таблица1[7],Таблица1[2],Таблица1[[#This Row],[2]])</f>
        <v>87.5</v>
      </c>
      <c r="C1210" s="185" t="s">
        <v>370</v>
      </c>
      <c r="D1210" s="196"/>
      <c r="E1210" s="196"/>
      <c r="F1210" s="196"/>
      <c r="G1210" s="168"/>
      <c r="H1210" s="197"/>
      <c r="I1210" s="196"/>
      <c r="J1210" s="196"/>
      <c r="K1210" s="196"/>
      <c r="L1210" s="196"/>
      <c r="M1210" s="196"/>
      <c r="N1210" s="196"/>
      <c r="O1210" s="196"/>
      <c r="P1210" s="196"/>
      <c r="Q1210" s="196"/>
      <c r="R1210" s="196"/>
      <c r="S1210" s="196"/>
      <c r="T1210" s="196"/>
      <c r="U1210" s="196"/>
      <c r="V1210" s="198"/>
    </row>
    <row r="1211" spans="1:22" s="21" customFormat="1" hidden="1" outlineLevel="2" x14ac:dyDescent="0.25">
      <c r="A1211" s="186">
        <f>SUMIFS(МКД!$A$6:$A$389,МКД!$D$6:$D$389,Таблица1[[#This Row],[2]])</f>
        <v>223</v>
      </c>
      <c r="B1211" s="170"/>
      <c r="C1211" s="182" t="s">
        <v>370</v>
      </c>
      <c r="D1211" s="167" t="s">
        <v>189</v>
      </c>
      <c r="E1211" s="167" t="s">
        <v>2728</v>
      </c>
      <c r="F1211" s="167"/>
      <c r="G1211" s="168">
        <f>SUMIFS(Таблица1[[#This Row],[8]:[19]],$I$5:$T$5,"Выкуп")</f>
        <v>0</v>
      </c>
      <c r="H1211" s="168">
        <f>SUMIFS(Таблица1[[#This Row],[8]:[19]],$I$5:$T$5,"Аренда")</f>
        <v>87.5</v>
      </c>
      <c r="I1211" s="169"/>
      <c r="J1211" s="169"/>
      <c r="K1211" s="169"/>
      <c r="L1211" s="169">
        <v>87.5</v>
      </c>
      <c r="M1211" s="169"/>
      <c r="N1211" s="169"/>
      <c r="O1211" s="169"/>
      <c r="P1211" s="169"/>
      <c r="Q1211" s="169"/>
      <c r="R1211" s="169"/>
      <c r="S1211" s="169"/>
      <c r="T1211" s="169"/>
      <c r="U1211" s="170"/>
      <c r="V1211" s="171"/>
    </row>
    <row r="1212" spans="1:22" s="21" customFormat="1" ht="15" outlineLevel="1" collapsed="1" x14ac:dyDescent="0.25">
      <c r="A1212" s="186">
        <f>SUMIFS(МКД!$A$6:$A$389,МКД!$D$6:$D$389,Таблица1[[#This Row],[2]])</f>
        <v>224</v>
      </c>
      <c r="B1212" s="194">
        <f>SUMIFS(Таблица1[6],Таблица1[2],Таблица1[[#This Row],[2]])+SUMIFS(Таблица1[7],Таблица1[2],Таблица1[[#This Row],[2]])</f>
        <v>213.2</v>
      </c>
      <c r="C1212" s="185" t="s">
        <v>371</v>
      </c>
      <c r="D1212" s="196"/>
      <c r="E1212" s="196"/>
      <c r="F1212" s="196"/>
      <c r="G1212" s="168"/>
      <c r="H1212" s="197"/>
      <c r="I1212" s="196"/>
      <c r="J1212" s="196"/>
      <c r="K1212" s="196"/>
      <c r="L1212" s="196"/>
      <c r="M1212" s="196"/>
      <c r="N1212" s="196"/>
      <c r="O1212" s="196"/>
      <c r="P1212" s="196"/>
      <c r="Q1212" s="196"/>
      <c r="R1212" s="196"/>
      <c r="S1212" s="196"/>
      <c r="T1212" s="196"/>
      <c r="U1212" s="196"/>
      <c r="V1212" s="198"/>
    </row>
    <row r="1213" spans="1:22" s="21" customFormat="1" ht="15" hidden="1" outlineLevel="2" x14ac:dyDescent="0.25">
      <c r="A1213" s="186">
        <f>SUMIFS(МКД!$A$6:$A$389,МКД!$D$6:$D$389,Таблица1[[#This Row],[2]])</f>
        <v>224</v>
      </c>
      <c r="B1213" s="196"/>
      <c r="C1213" s="182" t="s">
        <v>371</v>
      </c>
      <c r="D1213" s="373" t="s">
        <v>1053</v>
      </c>
      <c r="E1213" s="167" t="s">
        <v>2793</v>
      </c>
      <c r="F1213" s="196"/>
      <c r="G1213" s="168">
        <f>SUMIFS(Таблица1[[#This Row],[8]:[19]],$I$5:$T$5,"Выкуп")</f>
        <v>213.2</v>
      </c>
      <c r="H1213" s="168">
        <f>SUMIFS(Таблица1[[#This Row],[8]:[19]],$I$5:$T$5,"Аренда")</f>
        <v>0</v>
      </c>
      <c r="I1213" s="196"/>
      <c r="J1213" s="196"/>
      <c r="K1213" s="196"/>
      <c r="L1213" s="196"/>
      <c r="M1213" s="334">
        <v>213.2</v>
      </c>
      <c r="N1213" s="196"/>
      <c r="O1213" s="196"/>
      <c r="P1213" s="196"/>
      <c r="Q1213" s="196"/>
      <c r="R1213" s="196"/>
      <c r="S1213" s="196"/>
      <c r="T1213" s="196"/>
      <c r="U1213" s="196"/>
      <c r="V1213" s="198"/>
    </row>
    <row r="1214" spans="1:22" s="21" customFormat="1" ht="15" outlineLevel="1" collapsed="1" x14ac:dyDescent="0.25">
      <c r="A1214" s="186">
        <f>SUMIFS(МКД!$A$6:$A$389,МКД!$D$6:$D$389,Таблица1[[#This Row],[2]])</f>
        <v>226</v>
      </c>
      <c r="B1214" s="194">
        <f>SUMIFS(Таблица1[6],Таблица1[2],Таблица1[[#This Row],[2]])+SUMIFS(Таблица1[7],Таблица1[2],Таблица1[[#This Row],[2]])</f>
        <v>337.4</v>
      </c>
      <c r="C1214" s="185" t="s">
        <v>372</v>
      </c>
      <c r="D1214" s="196"/>
      <c r="E1214" s="196"/>
      <c r="F1214" s="196"/>
      <c r="G1214" s="168"/>
      <c r="H1214" s="197"/>
      <c r="I1214" s="196"/>
      <c r="J1214" s="196"/>
      <c r="K1214" s="196"/>
      <c r="L1214" s="196"/>
      <c r="M1214" s="196"/>
      <c r="N1214" s="196"/>
      <c r="O1214" s="196"/>
      <c r="P1214" s="196"/>
      <c r="Q1214" s="196"/>
      <c r="R1214" s="196"/>
      <c r="S1214" s="196"/>
      <c r="T1214" s="196"/>
      <c r="U1214" s="196"/>
      <c r="V1214" s="198"/>
    </row>
    <row r="1215" spans="1:22" hidden="1" outlineLevel="2" x14ac:dyDescent="0.25">
      <c r="A1215" s="186">
        <f>SUMIFS(МКД!$A$6:$A$389,МКД!$D$6:$D$389,Таблица1[[#This Row],[2]])</f>
        <v>226</v>
      </c>
      <c r="B1215" s="170"/>
      <c r="C1215" s="182" t="s">
        <v>372</v>
      </c>
      <c r="D1215" s="167" t="s">
        <v>189</v>
      </c>
      <c r="E1215" s="167" t="s">
        <v>884</v>
      </c>
      <c r="F1215" s="167">
        <v>1</v>
      </c>
      <c r="G1215" s="168">
        <f>SUMIFS(Таблица1[[#This Row],[8]:[19]],$I$5:$T$5,"Выкуп")</f>
        <v>151.4</v>
      </c>
      <c r="H1215" s="168">
        <f>SUMIFS(Таблица1[[#This Row],[8]:[19]],$I$5:$T$5,"Аренда")</f>
        <v>0</v>
      </c>
      <c r="I1215" s="168"/>
      <c r="J1215" s="168"/>
      <c r="K1215" s="169">
        <v>151.4</v>
      </c>
      <c r="L1215" s="169"/>
      <c r="M1215" s="169"/>
      <c r="N1215" s="169"/>
      <c r="O1215" s="169"/>
      <c r="P1215" s="169"/>
      <c r="Q1215" s="169"/>
      <c r="R1215" s="169"/>
      <c r="S1215" s="169"/>
      <c r="T1215" s="169"/>
      <c r="U1215" s="170"/>
      <c r="V1215" s="195"/>
    </row>
    <row r="1216" spans="1:22" hidden="1" outlineLevel="2" x14ac:dyDescent="0.25">
      <c r="A1216" s="186">
        <f>SUMIFS(МКД!$A$6:$A$389,МКД!$D$6:$D$389,Таблица1[[#This Row],[2]])</f>
        <v>226</v>
      </c>
      <c r="B1216" s="170"/>
      <c r="C1216" s="182" t="s">
        <v>372</v>
      </c>
      <c r="D1216" s="167" t="s">
        <v>1394</v>
      </c>
      <c r="E1216" s="167" t="s">
        <v>2752</v>
      </c>
      <c r="F1216" s="167">
        <v>1</v>
      </c>
      <c r="G1216" s="168">
        <f>SUMIFS(Таблица1[[#This Row],[8]:[19]],$I$5:$T$5,"Выкуп")</f>
        <v>186</v>
      </c>
      <c r="H1216" s="168">
        <f>SUMIFS(Таблица1[[#This Row],[8]:[19]],$I$5:$T$5,"Аренда")</f>
        <v>0</v>
      </c>
      <c r="I1216" s="168"/>
      <c r="J1216" s="168"/>
      <c r="K1216" s="169"/>
      <c r="L1216" s="169"/>
      <c r="M1216" s="169">
        <v>186</v>
      </c>
      <c r="N1216" s="169"/>
      <c r="O1216" s="169"/>
      <c r="P1216" s="169"/>
      <c r="Q1216" s="169"/>
      <c r="R1216" s="169"/>
      <c r="S1216" s="169"/>
      <c r="T1216" s="169"/>
      <c r="U1216" s="170"/>
      <c r="V1216" s="195"/>
    </row>
    <row r="1217" spans="1:22" ht="15" outlineLevel="1" collapsed="1" x14ac:dyDescent="0.25">
      <c r="A1217" s="186">
        <f>SUMIFS(МКД!$A$6:$A$389,МКД!$D$6:$D$389,Таблица1[[#This Row],[2]])</f>
        <v>227</v>
      </c>
      <c r="B1217" s="194">
        <f>SUMIFS(Таблица1[6],Таблица1[2],Таблица1[[#This Row],[2]])+SUMIFS(Таблица1[7],Таблица1[2],Таблица1[[#This Row],[2]])</f>
        <v>289.7</v>
      </c>
      <c r="C1217" s="185" t="s">
        <v>373</v>
      </c>
      <c r="D1217" s="196"/>
      <c r="E1217" s="196"/>
      <c r="F1217" s="196"/>
      <c r="G1217" s="168"/>
      <c r="H1217" s="197"/>
      <c r="I1217" s="196"/>
      <c r="J1217" s="196"/>
      <c r="K1217" s="196"/>
      <c r="L1217" s="196"/>
      <c r="M1217" s="196"/>
      <c r="N1217" s="196"/>
      <c r="O1217" s="196"/>
      <c r="P1217" s="196"/>
      <c r="Q1217" s="196"/>
      <c r="R1217" s="196"/>
      <c r="S1217" s="196"/>
      <c r="T1217" s="196"/>
      <c r="U1217" s="196"/>
      <c r="V1217" s="198"/>
    </row>
    <row r="1218" spans="1:22" hidden="1" outlineLevel="2" x14ac:dyDescent="0.25">
      <c r="A1218" s="186">
        <f>SUMIFS(МКД!$A$6:$A$389,МКД!$D$6:$D$389,Таблица1[[#This Row],[2]])</f>
        <v>227</v>
      </c>
      <c r="B1218" s="170"/>
      <c r="C1218" s="182" t="s">
        <v>373</v>
      </c>
      <c r="D1218" s="167" t="s">
        <v>2057</v>
      </c>
      <c r="E1218" s="167" t="s">
        <v>2058</v>
      </c>
      <c r="F1218" s="167">
        <v>1</v>
      </c>
      <c r="G1218" s="168">
        <f>SUMIFS(Таблица1[[#This Row],[8]:[19]],$I$5:$T$5,"Выкуп")</f>
        <v>62.6</v>
      </c>
      <c r="H1218" s="168">
        <f>SUMIFS(Таблица1[[#This Row],[8]:[19]],$I$5:$T$5,"Аренда")</f>
        <v>0</v>
      </c>
      <c r="I1218" s="169">
        <v>62.6</v>
      </c>
      <c r="J1218" s="169"/>
      <c r="K1218" s="169"/>
      <c r="L1218" s="169"/>
      <c r="M1218" s="169"/>
      <c r="N1218" s="169"/>
      <c r="O1218" s="169"/>
      <c r="P1218" s="169"/>
      <c r="Q1218" s="169"/>
      <c r="R1218" s="169"/>
      <c r="S1218" s="169"/>
      <c r="T1218" s="169"/>
      <c r="U1218" s="170"/>
      <c r="V1218" s="171"/>
    </row>
    <row r="1219" spans="1:22" hidden="1" outlineLevel="2" x14ac:dyDescent="0.25">
      <c r="A1219" s="186">
        <f>SUMIFS(МКД!$A$6:$A$389,МКД!$D$6:$D$389,Таблица1[[#This Row],[2]])</f>
        <v>227</v>
      </c>
      <c r="B1219" s="168"/>
      <c r="C1219" s="182" t="s">
        <v>373</v>
      </c>
      <c r="D1219" s="167" t="s">
        <v>292</v>
      </c>
      <c r="E1219" s="167" t="s">
        <v>2059</v>
      </c>
      <c r="F1219" s="167">
        <v>1</v>
      </c>
      <c r="G1219" s="168">
        <f>SUMIFS(Таблица1[[#This Row],[8]:[19]],$I$5:$T$5,"Выкуп")</f>
        <v>97.9</v>
      </c>
      <c r="H1219" s="168">
        <f>SUMIFS(Таблица1[[#This Row],[8]:[19]],$I$5:$T$5,"Аренда")</f>
        <v>0</v>
      </c>
      <c r="I1219" s="169"/>
      <c r="J1219" s="169"/>
      <c r="K1219" s="169">
        <v>97.9</v>
      </c>
      <c r="L1219" s="169"/>
      <c r="M1219" s="169"/>
      <c r="N1219" s="169"/>
      <c r="O1219" s="169"/>
      <c r="P1219" s="169"/>
      <c r="Q1219" s="169"/>
      <c r="R1219" s="169"/>
      <c r="S1219" s="169"/>
      <c r="T1219" s="169"/>
      <c r="U1219" s="170"/>
      <c r="V1219" s="171"/>
    </row>
    <row r="1220" spans="1:22" hidden="1" outlineLevel="2" x14ac:dyDescent="0.25">
      <c r="A1220" s="186">
        <f>SUMIFS(МКД!$A$6:$A$389,МКД!$D$6:$D$389,Таблица1[[#This Row],[2]])</f>
        <v>227</v>
      </c>
      <c r="B1220" s="168"/>
      <c r="C1220" s="182" t="s">
        <v>373</v>
      </c>
      <c r="D1220" s="167" t="s">
        <v>137</v>
      </c>
      <c r="E1220" s="167" t="s">
        <v>2060</v>
      </c>
      <c r="F1220" s="167">
        <v>1</v>
      </c>
      <c r="G1220" s="168">
        <f>SUMIFS(Таблица1[[#This Row],[8]:[19]],$I$5:$T$5,"Выкуп")</f>
        <v>129.19999999999999</v>
      </c>
      <c r="H1220" s="168">
        <f>SUMIFS(Таблица1[[#This Row],[8]:[19]],$I$5:$T$5,"Аренда")</f>
        <v>0</v>
      </c>
      <c r="I1220" s="169">
        <v>129.19999999999999</v>
      </c>
      <c r="J1220" s="169"/>
      <c r="K1220" s="169"/>
      <c r="L1220" s="169"/>
      <c r="M1220" s="169"/>
      <c r="N1220" s="169"/>
      <c r="O1220" s="169"/>
      <c r="P1220" s="169"/>
      <c r="Q1220" s="169"/>
      <c r="R1220" s="169"/>
      <c r="S1220" s="169"/>
      <c r="T1220" s="169"/>
      <c r="U1220" s="170"/>
      <c r="V1220" s="171"/>
    </row>
    <row r="1221" spans="1:22" ht="15" outlineLevel="1" collapsed="1" x14ac:dyDescent="0.25">
      <c r="A1221" s="186">
        <f>SUMIFS(МКД!$A$6:$A$389,МКД!$D$6:$D$389,Таблица1[[#This Row],[2]])</f>
        <v>228</v>
      </c>
      <c r="B1221" s="194">
        <f>SUMIFS(Таблица1[6],Таблица1[2],Таблица1[[#This Row],[2]])+SUMIFS(Таблица1[7],Таблица1[2],Таблица1[[#This Row],[2]])</f>
        <v>221.10000000000002</v>
      </c>
      <c r="C1221" s="185" t="s">
        <v>374</v>
      </c>
      <c r="D1221" s="196"/>
      <c r="E1221" s="196"/>
      <c r="F1221" s="196"/>
      <c r="G1221" s="168"/>
      <c r="H1221" s="197"/>
      <c r="I1221" s="196"/>
      <c r="J1221" s="196"/>
      <c r="K1221" s="196"/>
      <c r="L1221" s="196"/>
      <c r="M1221" s="196"/>
      <c r="N1221" s="196"/>
      <c r="O1221" s="196"/>
      <c r="P1221" s="196"/>
      <c r="Q1221" s="196"/>
      <c r="R1221" s="196"/>
      <c r="S1221" s="196"/>
      <c r="T1221" s="196"/>
      <c r="U1221" s="196"/>
      <c r="V1221" s="198"/>
    </row>
    <row r="1222" spans="1:22" hidden="1" outlineLevel="2" x14ac:dyDescent="0.25">
      <c r="A1222" s="186">
        <f>SUMIFS(МКД!$A$6:$A$389,МКД!$D$6:$D$389,Таблица1[[#This Row],[2]])</f>
        <v>228</v>
      </c>
      <c r="B1222" s="170"/>
      <c r="C1222" s="182" t="s">
        <v>374</v>
      </c>
      <c r="D1222" s="167" t="s">
        <v>1577</v>
      </c>
      <c r="E1222" s="167" t="s">
        <v>1578</v>
      </c>
      <c r="F1222" s="167">
        <v>1</v>
      </c>
      <c r="G1222" s="168">
        <f>SUMIFS(Таблица1[[#This Row],[8]:[19]],$I$5:$T$5,"Выкуп")</f>
        <v>77.2</v>
      </c>
      <c r="H1222" s="168">
        <f>SUMIFS(Таблица1[[#This Row],[8]:[19]],$I$5:$T$5,"Аренда")</f>
        <v>0</v>
      </c>
      <c r="I1222" s="169" t="s">
        <v>58</v>
      </c>
      <c r="J1222" s="169"/>
      <c r="K1222" s="169">
        <v>77.2</v>
      </c>
      <c r="L1222" s="169"/>
      <c r="M1222" s="169"/>
      <c r="N1222" s="169"/>
      <c r="O1222" s="169"/>
      <c r="P1222" s="169"/>
      <c r="Q1222" s="169"/>
      <c r="R1222" s="169"/>
      <c r="S1222" s="169"/>
      <c r="T1222" s="169"/>
      <c r="U1222" s="170"/>
      <c r="V1222" s="171"/>
    </row>
    <row r="1223" spans="1:22" s="19" customFormat="1" hidden="1" outlineLevel="2" x14ac:dyDescent="0.25">
      <c r="A1223" s="186">
        <f>SUMIFS(МКД!$A$6:$A$389,МКД!$D$6:$D$389,Таблица1[[#This Row],[2]])</f>
        <v>228</v>
      </c>
      <c r="B1223" s="170"/>
      <c r="C1223" s="182" t="s">
        <v>374</v>
      </c>
      <c r="D1223" s="167" t="s">
        <v>59</v>
      </c>
      <c r="E1223" s="167" t="s">
        <v>60</v>
      </c>
      <c r="F1223" s="167"/>
      <c r="G1223" s="168">
        <f>SUMIFS(Таблица1[[#This Row],[8]:[19]],$I$5:$T$5,"Выкуп")</f>
        <v>143.9</v>
      </c>
      <c r="H1223" s="168">
        <f>SUMIFS(Таблица1[[#This Row],[8]:[19]],$I$5:$T$5,"Аренда")</f>
        <v>0</v>
      </c>
      <c r="I1223" s="169">
        <v>143.9</v>
      </c>
      <c r="J1223" s="169"/>
      <c r="K1223" s="169"/>
      <c r="L1223" s="169"/>
      <c r="M1223" s="169"/>
      <c r="N1223" s="169"/>
      <c r="O1223" s="169"/>
      <c r="P1223" s="169"/>
      <c r="Q1223" s="169"/>
      <c r="R1223" s="169"/>
      <c r="S1223" s="169"/>
      <c r="T1223" s="169"/>
      <c r="U1223" s="170"/>
      <c r="V1223" s="171"/>
    </row>
    <row r="1224" spans="1:22" s="19" customFormat="1" ht="15" outlineLevel="1" collapsed="1" x14ac:dyDescent="0.25">
      <c r="A1224" s="186">
        <f>SUMIFS(МКД!$A$6:$A$389,МКД!$D$6:$D$389,Таблица1[[#This Row],[2]])</f>
        <v>229</v>
      </c>
      <c r="B1224" s="194">
        <f>SUMIFS(Таблица1[6],Таблица1[2],Таблица1[[#This Row],[2]])+SUMIFS(Таблица1[7],Таблица1[2],Таблица1[[#This Row],[2]])</f>
        <v>68.2</v>
      </c>
      <c r="C1224" s="185" t="s">
        <v>1325</v>
      </c>
      <c r="D1224" s="196"/>
      <c r="E1224" s="196"/>
      <c r="F1224" s="196"/>
      <c r="G1224" s="168"/>
      <c r="H1224" s="197"/>
      <c r="I1224" s="196"/>
      <c r="J1224" s="196"/>
      <c r="K1224" s="196"/>
      <c r="L1224" s="196"/>
      <c r="M1224" s="196"/>
      <c r="N1224" s="196"/>
      <c r="O1224" s="196"/>
      <c r="P1224" s="196"/>
      <c r="Q1224" s="196"/>
      <c r="R1224" s="196"/>
      <c r="S1224" s="196"/>
      <c r="T1224" s="196"/>
      <c r="U1224" s="196"/>
      <c r="V1224" s="198"/>
    </row>
    <row r="1225" spans="1:22" s="19" customFormat="1" hidden="1" outlineLevel="2" x14ac:dyDescent="0.25">
      <c r="A1225" s="186">
        <f>SUMIFS(МКД!$A$6:$A$389,МКД!$D$6:$D$389,Таблица1[[#This Row],[2]])</f>
        <v>229</v>
      </c>
      <c r="B1225" s="170"/>
      <c r="C1225" s="182" t="s">
        <v>1325</v>
      </c>
      <c r="D1225" s="167" t="s">
        <v>1853</v>
      </c>
      <c r="E1225" s="167" t="s">
        <v>764</v>
      </c>
      <c r="F1225" s="167">
        <v>1</v>
      </c>
      <c r="G1225" s="168">
        <f>SUMIFS(Таблица1[[#This Row],[8]:[19]],$I$5:$T$5,"Выкуп")</f>
        <v>68.2</v>
      </c>
      <c r="H1225" s="168">
        <f>SUMIFS(Таблица1[[#This Row],[8]:[19]],$I$5:$T$5,"Аренда")</f>
        <v>0</v>
      </c>
      <c r="I1225" s="169"/>
      <c r="J1225" s="169"/>
      <c r="K1225" s="169">
        <f>63.6</f>
        <v>63.6</v>
      </c>
      <c r="L1225" s="169"/>
      <c r="M1225" s="169"/>
      <c r="N1225" s="169"/>
      <c r="O1225" s="169"/>
      <c r="P1225" s="169"/>
      <c r="Q1225" s="169"/>
      <c r="R1225" s="169"/>
      <c r="S1225" s="169">
        <v>4.5999999999999996</v>
      </c>
      <c r="T1225" s="169"/>
      <c r="U1225" s="170"/>
      <c r="V1225" s="171"/>
    </row>
    <row r="1226" spans="1:22" s="19" customFormat="1" ht="15" outlineLevel="1" collapsed="1" x14ac:dyDescent="0.25">
      <c r="A1226" s="186">
        <f>SUMIFS(МКД!$A$6:$A$389,МКД!$D$6:$D$389,Таблица1[[#This Row],[2]])</f>
        <v>230</v>
      </c>
      <c r="B1226" s="194">
        <f>SUMIFS(Таблица1[6],Таблица1[2],Таблица1[[#This Row],[2]])+SUMIFS(Таблица1[7],Таблица1[2],Таблица1[[#This Row],[2]])</f>
        <v>0</v>
      </c>
      <c r="C1226" s="185" t="s">
        <v>375</v>
      </c>
      <c r="D1226" s="196"/>
      <c r="E1226" s="196"/>
      <c r="F1226" s="196"/>
      <c r="G1226" s="168"/>
      <c r="H1226" s="197"/>
      <c r="I1226" s="196"/>
      <c r="J1226" s="196"/>
      <c r="K1226" s="196"/>
      <c r="L1226" s="196"/>
      <c r="M1226" s="196"/>
      <c r="N1226" s="196"/>
      <c r="O1226" s="196"/>
      <c r="P1226" s="196"/>
      <c r="Q1226" s="196"/>
      <c r="R1226" s="196"/>
      <c r="S1226" s="196"/>
      <c r="T1226" s="196"/>
      <c r="U1226" s="196"/>
      <c r="V1226" s="198"/>
    </row>
    <row r="1227" spans="1:22" s="19" customFormat="1" ht="15" hidden="1" outlineLevel="2" x14ac:dyDescent="0.25">
      <c r="A1227" s="186">
        <f>SUMIFS(МКД!$A$6:$A$389,МКД!$D$6:$D$389,Таблица1[[#This Row],[2]])</f>
        <v>230</v>
      </c>
      <c r="B1227" s="196"/>
      <c r="C1227" s="182" t="s">
        <v>375</v>
      </c>
      <c r="D1227" s="196"/>
      <c r="E1227" s="196"/>
      <c r="F1227" s="196"/>
      <c r="G1227" s="168">
        <f>SUMIFS(Таблица1[[#This Row],[8]:[19]],$I$5:$T$5,"Выкуп")</f>
        <v>0</v>
      </c>
      <c r="H1227" s="168">
        <f>SUMIFS(Таблица1[[#This Row],[8]:[19]],$I$5:$T$5,"Аренда")</f>
        <v>0</v>
      </c>
      <c r="I1227" s="196"/>
      <c r="J1227" s="196"/>
      <c r="K1227" s="196"/>
      <c r="L1227" s="196"/>
      <c r="M1227" s="196"/>
      <c r="N1227" s="196"/>
      <c r="O1227" s="196"/>
      <c r="P1227" s="196"/>
      <c r="Q1227" s="196"/>
      <c r="R1227" s="196"/>
      <c r="S1227" s="196"/>
      <c r="T1227" s="196"/>
      <c r="U1227" s="196"/>
      <c r="V1227" s="198"/>
    </row>
    <row r="1228" spans="1:22" s="19" customFormat="1" ht="15" outlineLevel="1" collapsed="1" x14ac:dyDescent="0.25">
      <c r="A1228" s="186">
        <f>SUMIFS(МКД!$A$6:$A$389,МКД!$D$6:$D$389,Таблица1[[#This Row],[2]])</f>
        <v>231</v>
      </c>
      <c r="B1228" s="194">
        <f>SUMIFS(Таблица1[6],Таблица1[2],Таблица1[[#This Row],[2]])+SUMIFS(Таблица1[7],Таблица1[2],Таблица1[[#This Row],[2]])</f>
        <v>82.1</v>
      </c>
      <c r="C1228" s="185" t="s">
        <v>376</v>
      </c>
      <c r="D1228" s="196"/>
      <c r="E1228" s="196"/>
      <c r="F1228" s="196"/>
      <c r="G1228" s="168"/>
      <c r="H1228" s="197"/>
      <c r="I1228" s="196"/>
      <c r="J1228" s="196"/>
      <c r="K1228" s="196"/>
      <c r="L1228" s="196"/>
      <c r="M1228" s="196"/>
      <c r="N1228" s="196"/>
      <c r="O1228" s="196"/>
      <c r="P1228" s="196"/>
      <c r="Q1228" s="196"/>
      <c r="R1228" s="196"/>
      <c r="S1228" s="196"/>
      <c r="T1228" s="196"/>
      <c r="U1228" s="196"/>
      <c r="V1228" s="198"/>
    </row>
    <row r="1229" spans="1:22" hidden="1" outlineLevel="2" x14ac:dyDescent="0.25">
      <c r="A1229" s="186">
        <f>SUMIFS(МКД!$A$6:$A$389,МКД!$D$6:$D$389,Таблица1[[#This Row],[2]])</f>
        <v>231</v>
      </c>
      <c r="B1229" s="170"/>
      <c r="C1229" s="182" t="s">
        <v>376</v>
      </c>
      <c r="D1229" s="167" t="s">
        <v>293</v>
      </c>
      <c r="E1229" s="167" t="s">
        <v>828</v>
      </c>
      <c r="F1229" s="167">
        <v>1</v>
      </c>
      <c r="G1229" s="168">
        <f>SUMIFS(Таблица1[[#This Row],[8]:[19]],$I$5:$T$5,"Выкуп")</f>
        <v>82.1</v>
      </c>
      <c r="H1229" s="168">
        <f>SUMIFS(Таблица1[[#This Row],[8]:[19]],$I$5:$T$5,"Аренда")</f>
        <v>0</v>
      </c>
      <c r="I1229" s="169"/>
      <c r="J1229" s="169"/>
      <c r="K1229" s="169">
        <v>82.1</v>
      </c>
      <c r="L1229" s="169"/>
      <c r="M1229" s="169"/>
      <c r="N1229" s="169"/>
      <c r="O1229" s="169"/>
      <c r="P1229" s="169"/>
      <c r="Q1229" s="169"/>
      <c r="R1229" s="169"/>
      <c r="S1229" s="169"/>
      <c r="T1229" s="169"/>
      <c r="U1229" s="170"/>
      <c r="V1229" s="171"/>
    </row>
    <row r="1230" spans="1:22" ht="15" outlineLevel="1" collapsed="1" x14ac:dyDescent="0.25">
      <c r="A1230" s="186">
        <f>SUMIFS(МКД!$A$6:$A$389,МКД!$D$6:$D$389,Таблица1[[#This Row],[2]])</f>
        <v>232</v>
      </c>
      <c r="B1230" s="194">
        <f>SUMIFS(Таблица1[6],Таблица1[2],Таблица1[[#This Row],[2]])+SUMIFS(Таблица1[7],Таблица1[2],Таблица1[[#This Row],[2]])</f>
        <v>218</v>
      </c>
      <c r="C1230" s="185" t="s">
        <v>377</v>
      </c>
      <c r="D1230" s="196"/>
      <c r="E1230" s="196"/>
      <c r="F1230" s="196"/>
      <c r="G1230" s="168"/>
      <c r="H1230" s="197"/>
      <c r="I1230" s="196"/>
      <c r="J1230" s="196"/>
      <c r="K1230" s="196"/>
      <c r="L1230" s="196"/>
      <c r="M1230" s="196"/>
      <c r="N1230" s="196"/>
      <c r="O1230" s="196"/>
      <c r="P1230" s="196"/>
      <c r="Q1230" s="196"/>
      <c r="R1230" s="196"/>
      <c r="S1230" s="196"/>
      <c r="T1230" s="196"/>
      <c r="U1230" s="196"/>
      <c r="V1230" s="198"/>
    </row>
    <row r="1231" spans="1:22" ht="15" hidden="1" outlineLevel="2" x14ac:dyDescent="0.25">
      <c r="A1231" s="186">
        <f>SUMIFS(МКД!$A$6:$A$389,МКД!$D$6:$D$389,Таблица1[[#This Row],[2]])</f>
        <v>232</v>
      </c>
      <c r="B1231" s="196"/>
      <c r="C1231" s="182" t="s">
        <v>377</v>
      </c>
      <c r="D1231" s="373" t="s">
        <v>1053</v>
      </c>
      <c r="E1231" s="167" t="s">
        <v>2752</v>
      </c>
      <c r="F1231" s="196"/>
      <c r="G1231" s="168">
        <f>SUMIFS(Таблица1[[#This Row],[8]:[19]],$I$5:$T$5,"Выкуп")</f>
        <v>218</v>
      </c>
      <c r="H1231" s="168">
        <f>SUMIFS(Таблица1[[#This Row],[8]:[19]],$I$5:$T$5,"Аренда")</f>
        <v>0</v>
      </c>
      <c r="I1231" s="196"/>
      <c r="J1231" s="196"/>
      <c r="K1231" s="196"/>
      <c r="L1231" s="196"/>
      <c r="M1231" s="196">
        <v>218</v>
      </c>
      <c r="N1231" s="196"/>
      <c r="O1231" s="196"/>
      <c r="P1231" s="196"/>
      <c r="Q1231" s="196"/>
      <c r="R1231" s="196"/>
      <c r="S1231" s="196"/>
      <c r="T1231" s="196"/>
      <c r="U1231" s="196"/>
      <c r="V1231" s="198"/>
    </row>
    <row r="1232" spans="1:22" ht="15" outlineLevel="1" collapsed="1" x14ac:dyDescent="0.25">
      <c r="A1232" s="186">
        <f>SUMIFS(МКД!$A$6:$A$389,МКД!$D$6:$D$389,Таблица1[[#This Row],[2]])</f>
        <v>201</v>
      </c>
      <c r="B1232" s="194">
        <f>SUMIFS(Таблица1[6],Таблица1[2],Таблица1[[#This Row],[2]])+SUMIFS(Таблица1[7],Таблица1[2],Таблица1[[#This Row],[2]])</f>
        <v>150</v>
      </c>
      <c r="C1232" s="185" t="s">
        <v>378</v>
      </c>
      <c r="D1232" s="196"/>
      <c r="E1232" s="196"/>
      <c r="F1232" s="196"/>
      <c r="G1232" s="168"/>
      <c r="H1232" s="197"/>
      <c r="I1232" s="196"/>
      <c r="J1232" s="196"/>
      <c r="K1232" s="196"/>
      <c r="L1232" s="196"/>
      <c r="M1232" s="196"/>
      <c r="N1232" s="196"/>
      <c r="O1232" s="196"/>
      <c r="P1232" s="196"/>
      <c r="Q1232" s="196"/>
      <c r="R1232" s="196"/>
      <c r="S1232" s="196"/>
      <c r="T1232" s="196"/>
      <c r="U1232" s="196"/>
      <c r="V1232" s="198"/>
    </row>
    <row r="1233" spans="1:22" ht="15" hidden="1" outlineLevel="2" x14ac:dyDescent="0.25">
      <c r="A1233" s="186">
        <f>SUMIFS(МКД!$A$6:$A$389,МКД!$D$6:$D$389,Таблица1[[#This Row],[2]])</f>
        <v>201</v>
      </c>
      <c r="B1233" s="196"/>
      <c r="C1233" s="182" t="s">
        <v>378</v>
      </c>
      <c r="D1233" s="373" t="s">
        <v>1053</v>
      </c>
      <c r="E1233" s="167" t="s">
        <v>2752</v>
      </c>
      <c r="F1233" s="196"/>
      <c r="G1233" s="168">
        <f>SUMIFS(Таблица1[[#This Row],[8]:[19]],$I$5:$T$5,"Выкуп")</f>
        <v>150</v>
      </c>
      <c r="H1233" s="168">
        <f>SUMIFS(Таблица1[[#This Row],[8]:[19]],$I$5:$T$5,"Аренда")</f>
        <v>0</v>
      </c>
      <c r="I1233" s="196"/>
      <c r="J1233" s="196"/>
      <c r="K1233" s="196"/>
      <c r="L1233" s="196"/>
      <c r="M1233" s="196">
        <v>150</v>
      </c>
      <c r="N1233" s="196"/>
      <c r="O1233" s="196"/>
      <c r="P1233" s="196"/>
      <c r="Q1233" s="196"/>
      <c r="R1233" s="196"/>
      <c r="S1233" s="196"/>
      <c r="T1233" s="196"/>
      <c r="U1233" s="196"/>
      <c r="V1233" s="198"/>
    </row>
    <row r="1234" spans="1:22" ht="15" outlineLevel="1" collapsed="1" x14ac:dyDescent="0.25">
      <c r="A1234" s="186">
        <f>SUMIFS(МКД!$A$6:$A$389,МКД!$D$6:$D$389,Таблица1[[#This Row],[2]])</f>
        <v>202</v>
      </c>
      <c r="B1234" s="194">
        <f>SUMIFS(Таблица1[6],Таблица1[2],Таблица1[[#This Row],[2]])+SUMIFS(Таблица1[7],Таблица1[2],Таблица1[[#This Row],[2]])</f>
        <v>81.3</v>
      </c>
      <c r="C1234" s="185" t="s">
        <v>379</v>
      </c>
      <c r="D1234" s="196"/>
      <c r="E1234" s="196"/>
      <c r="F1234" s="196"/>
      <c r="G1234" s="168"/>
      <c r="H1234" s="197"/>
      <c r="I1234" s="196"/>
      <c r="J1234" s="196"/>
      <c r="K1234" s="196"/>
      <c r="L1234" s="196"/>
      <c r="M1234" s="196"/>
      <c r="N1234" s="196"/>
      <c r="O1234" s="196"/>
      <c r="P1234" s="196"/>
      <c r="Q1234" s="196"/>
      <c r="R1234" s="196"/>
      <c r="S1234" s="196"/>
      <c r="T1234" s="196"/>
      <c r="U1234" s="196"/>
      <c r="V1234" s="198"/>
    </row>
    <row r="1235" spans="1:22" hidden="1" outlineLevel="2" x14ac:dyDescent="0.25">
      <c r="A1235" s="186">
        <f>SUMIFS(МКД!$A$6:$A$389,МКД!$D$6:$D$389,Таблица1[[#This Row],[2]])</f>
        <v>202</v>
      </c>
      <c r="B1235" s="170"/>
      <c r="C1235" s="182" t="s">
        <v>379</v>
      </c>
      <c r="D1235" s="167" t="s">
        <v>1563</v>
      </c>
      <c r="E1235" s="167" t="s">
        <v>893</v>
      </c>
      <c r="F1235" s="167">
        <v>1</v>
      </c>
      <c r="G1235" s="168">
        <f>SUMIFS(Таблица1[[#This Row],[8]:[19]],$I$5:$T$5,"Выкуп")</f>
        <v>81.3</v>
      </c>
      <c r="H1235" s="168">
        <f>SUMIFS(Таблица1[[#This Row],[8]:[19]],$I$5:$T$5,"Аренда")</f>
        <v>0</v>
      </c>
      <c r="I1235" s="169"/>
      <c r="J1235" s="169"/>
      <c r="K1235" s="169">
        <v>81.3</v>
      </c>
      <c r="L1235" s="169"/>
      <c r="M1235" s="169"/>
      <c r="N1235" s="169"/>
      <c r="O1235" s="169"/>
      <c r="P1235" s="169"/>
      <c r="Q1235" s="169"/>
      <c r="R1235" s="169"/>
      <c r="S1235" s="169"/>
      <c r="T1235" s="169"/>
      <c r="U1235" s="170"/>
      <c r="V1235" s="171"/>
    </row>
    <row r="1236" spans="1:22" ht="15" outlineLevel="1" collapsed="1" x14ac:dyDescent="0.25">
      <c r="A1236" s="186">
        <f>SUMIFS(МКД!$A$6:$A$389,МКД!$D$6:$D$389,Таблица1[[#This Row],[2]])</f>
        <v>203</v>
      </c>
      <c r="B1236" s="194">
        <f>SUMIFS(Таблица1[6],Таблица1[2],Таблица1[[#This Row],[2]])+SUMIFS(Таблица1[7],Таблица1[2],Таблица1[[#This Row],[2]])</f>
        <v>66.8</v>
      </c>
      <c r="C1236" s="185" t="s">
        <v>380</v>
      </c>
      <c r="D1236" s="196"/>
      <c r="E1236" s="196"/>
      <c r="F1236" s="196"/>
      <c r="G1236" s="168"/>
      <c r="H1236" s="197"/>
      <c r="I1236" s="196"/>
      <c r="J1236" s="196"/>
      <c r="K1236" s="196"/>
      <c r="L1236" s="196"/>
      <c r="M1236" s="196"/>
      <c r="N1236" s="196"/>
      <c r="O1236" s="196"/>
      <c r="P1236" s="196"/>
      <c r="Q1236" s="196"/>
      <c r="R1236" s="196"/>
      <c r="S1236" s="196"/>
      <c r="T1236" s="196"/>
      <c r="U1236" s="196"/>
      <c r="V1236" s="198"/>
    </row>
    <row r="1237" spans="1:22" ht="15" hidden="1" outlineLevel="2" x14ac:dyDescent="0.25">
      <c r="A1237" s="186">
        <f>SUMIFS(МКД!$A$6:$A$389,МКД!$D$6:$D$389,Таблица1[[#This Row],[2]])</f>
        <v>203</v>
      </c>
      <c r="B1237" s="196"/>
      <c r="C1237" s="182" t="s">
        <v>380</v>
      </c>
      <c r="D1237" s="196"/>
      <c r="E1237" s="196"/>
      <c r="F1237" s="196"/>
      <c r="G1237" s="168">
        <f>SUMIFS(Таблица1[[#This Row],[8]:[19]],$I$5:$T$5,"Выкуп")</f>
        <v>0</v>
      </c>
      <c r="H1237" s="168">
        <f>SUMIFS(Таблица1[[#This Row],[8]:[19]],$I$5:$T$5,"Аренда")</f>
        <v>0</v>
      </c>
      <c r="I1237" s="196"/>
      <c r="J1237" s="196"/>
      <c r="K1237" s="196"/>
      <c r="L1237" s="196"/>
      <c r="M1237" s="196"/>
      <c r="N1237" s="196"/>
      <c r="O1237" s="196"/>
      <c r="P1237" s="196"/>
      <c r="Q1237" s="196"/>
      <c r="R1237" s="196"/>
      <c r="S1237" s="196"/>
      <c r="T1237" s="196"/>
      <c r="U1237" s="196"/>
      <c r="V1237" s="198"/>
    </row>
    <row r="1238" spans="1:22" ht="15" hidden="1" outlineLevel="2" x14ac:dyDescent="0.25">
      <c r="A1238" s="186">
        <f>SUMIFS(МКД!$A$6:$A$389,МКД!$D$6:$D$389,Таблица1[[#This Row],[2]])</f>
        <v>203</v>
      </c>
      <c r="B1238" s="196"/>
      <c r="C1238" s="182" t="s">
        <v>380</v>
      </c>
      <c r="D1238" s="196" t="s">
        <v>1475</v>
      </c>
      <c r="E1238" s="196" t="s">
        <v>1476</v>
      </c>
      <c r="F1238" s="196"/>
      <c r="G1238" s="168">
        <f>SUMIFS(Таблица1[[#This Row],[8]:[19]],$I$5:$T$5,"Выкуп")</f>
        <v>66.8</v>
      </c>
      <c r="H1238" s="168">
        <f>SUMIFS(Таблица1[[#This Row],[8]:[19]],$I$5:$T$5,"Аренда")</f>
        <v>0</v>
      </c>
      <c r="I1238" s="196"/>
      <c r="J1238" s="196"/>
      <c r="K1238" s="196">
        <v>66.8</v>
      </c>
      <c r="L1238" s="196"/>
      <c r="M1238" s="196"/>
      <c r="N1238" s="196"/>
      <c r="O1238" s="196"/>
      <c r="P1238" s="196"/>
      <c r="Q1238" s="196"/>
      <c r="R1238" s="196"/>
      <c r="S1238" s="196"/>
      <c r="T1238" s="196"/>
      <c r="U1238" s="196"/>
      <c r="V1238" s="198"/>
    </row>
    <row r="1239" spans="1:22" ht="15" outlineLevel="1" collapsed="1" x14ac:dyDescent="0.25">
      <c r="A1239" s="186">
        <f>SUMIFS(МКД!$A$6:$A$389,МКД!$D$6:$D$389,Таблица1[[#This Row],[2]])</f>
        <v>204</v>
      </c>
      <c r="B1239" s="194">
        <f>SUMIFS(Таблица1[6],Таблица1[2],Таблица1[[#This Row],[2]])+SUMIFS(Таблица1[7],Таблица1[2],Таблица1[[#This Row],[2]])</f>
        <v>77.3</v>
      </c>
      <c r="C1239" s="185" t="s">
        <v>381</v>
      </c>
      <c r="D1239" s="196"/>
      <c r="E1239" s="196"/>
      <c r="F1239" s="196"/>
      <c r="G1239" s="168"/>
      <c r="H1239" s="197"/>
      <c r="I1239" s="196"/>
      <c r="J1239" s="196"/>
      <c r="K1239" s="196"/>
      <c r="L1239" s="196"/>
      <c r="M1239" s="196"/>
      <c r="N1239" s="196"/>
      <c r="O1239" s="196"/>
      <c r="P1239" s="196"/>
      <c r="Q1239" s="196"/>
      <c r="R1239" s="196"/>
      <c r="S1239" s="196"/>
      <c r="T1239" s="196"/>
      <c r="U1239" s="196"/>
      <c r="V1239" s="198"/>
    </row>
    <row r="1240" spans="1:22" hidden="1" outlineLevel="2" x14ac:dyDescent="0.25">
      <c r="A1240" s="186">
        <f>SUMIFS(МКД!$A$6:$A$389,МКД!$D$6:$D$389,Таблица1[[#This Row],[2]])</f>
        <v>204</v>
      </c>
      <c r="B1240" s="170"/>
      <c r="C1240" s="182" t="s">
        <v>381</v>
      </c>
      <c r="D1240" s="167" t="s">
        <v>2647</v>
      </c>
      <c r="E1240" s="167" t="s">
        <v>1706</v>
      </c>
      <c r="F1240" s="167">
        <v>1</v>
      </c>
      <c r="G1240" s="168">
        <f>SUMIFS(Таблица1[[#This Row],[8]:[19]],$I$5:$T$5,"Выкуп")</f>
        <v>77.3</v>
      </c>
      <c r="H1240" s="168">
        <f>SUMIFS(Таблица1[[#This Row],[8]:[19]],$I$5:$T$5,"Аренда")</f>
        <v>0</v>
      </c>
      <c r="I1240" s="169"/>
      <c r="J1240" s="169"/>
      <c r="K1240" s="169">
        <v>77.3</v>
      </c>
      <c r="L1240" s="169"/>
      <c r="M1240" s="169"/>
      <c r="N1240" s="169"/>
      <c r="O1240" s="169"/>
      <c r="P1240" s="169"/>
      <c r="Q1240" s="169"/>
      <c r="R1240" s="169"/>
      <c r="S1240" s="169"/>
      <c r="T1240" s="169"/>
      <c r="U1240" s="170"/>
      <c r="V1240" s="171"/>
    </row>
    <row r="1241" spans="1:22" ht="15" outlineLevel="1" collapsed="1" x14ac:dyDescent="0.25">
      <c r="A1241" s="186">
        <f>SUMIFS(МКД!$A$6:$A$389,МКД!$D$6:$D$389,Таблица1[[#This Row],[2]])</f>
        <v>205</v>
      </c>
      <c r="B1241" s="194">
        <f>SUMIFS(Таблица1[6],Таблица1[2],Таблица1[[#This Row],[2]])+SUMIFS(Таблица1[7],Таблица1[2],Таблица1[[#This Row],[2]])</f>
        <v>210.7</v>
      </c>
      <c r="C1241" s="185" t="s">
        <v>382</v>
      </c>
      <c r="D1241" s="196"/>
      <c r="E1241" s="196"/>
      <c r="F1241" s="196"/>
      <c r="G1241" s="168"/>
      <c r="H1241" s="197"/>
      <c r="I1241" s="196"/>
      <c r="J1241" s="196"/>
      <c r="K1241" s="196"/>
      <c r="L1241" s="196"/>
      <c r="M1241" s="196"/>
      <c r="N1241" s="196"/>
      <c r="O1241" s="196"/>
      <c r="P1241" s="196"/>
      <c r="Q1241" s="196"/>
      <c r="R1241" s="196"/>
      <c r="S1241" s="196"/>
      <c r="T1241" s="196"/>
      <c r="U1241" s="196"/>
      <c r="V1241" s="198"/>
    </row>
    <row r="1242" spans="1:22" ht="15" hidden="1" outlineLevel="2" x14ac:dyDescent="0.25">
      <c r="A1242" s="186">
        <f>SUMIFS(МКД!$A$6:$A$389,МКД!$D$6:$D$389,Таблица1[[#This Row],[2]])</f>
        <v>205</v>
      </c>
      <c r="B1242" s="196"/>
      <c r="C1242" s="182" t="s">
        <v>382</v>
      </c>
      <c r="D1242" s="373" t="s">
        <v>1394</v>
      </c>
      <c r="E1242" s="167" t="s">
        <v>2752</v>
      </c>
      <c r="F1242" s="196"/>
      <c r="G1242" s="168">
        <f>SUMIFS(Таблица1[[#This Row],[8]:[19]],$I$5:$T$5,"Выкуп")</f>
        <v>22.6</v>
      </c>
      <c r="H1242" s="168">
        <f>SUMIFS(Таблица1[[#This Row],[8]:[19]],$I$5:$T$5,"Аренда")</f>
        <v>0</v>
      </c>
      <c r="I1242" s="196"/>
      <c r="J1242" s="196"/>
      <c r="K1242" s="196"/>
      <c r="L1242" s="196"/>
      <c r="M1242" s="334">
        <v>22.6</v>
      </c>
      <c r="N1242" s="196"/>
      <c r="O1242" s="196"/>
      <c r="P1242" s="196"/>
      <c r="Q1242" s="196"/>
      <c r="R1242" s="196"/>
      <c r="S1242" s="196"/>
      <c r="T1242" s="196"/>
      <c r="U1242" s="196"/>
      <c r="V1242" s="198"/>
    </row>
    <row r="1243" spans="1:22" ht="15" hidden="1" outlineLevel="2" x14ac:dyDescent="0.25">
      <c r="A1243" s="186">
        <f>SUMIFS(МКД!$A$6:$A$389,МКД!$D$6:$D$389,Таблица1[[#This Row],[2]])</f>
        <v>205</v>
      </c>
      <c r="B1243" s="196"/>
      <c r="C1243" s="182" t="s">
        <v>382</v>
      </c>
      <c r="D1243" s="373" t="s">
        <v>1053</v>
      </c>
      <c r="E1243" s="167" t="s">
        <v>2752</v>
      </c>
      <c r="F1243" s="196"/>
      <c r="G1243" s="168">
        <f>SUMIFS(Таблица1[[#This Row],[8]:[19]],$I$5:$T$5,"Выкуп")</f>
        <v>188.1</v>
      </c>
      <c r="H1243" s="168">
        <f>SUMIFS(Таблица1[[#This Row],[8]:[19]],$I$5:$T$5,"Аренда")</f>
        <v>0</v>
      </c>
      <c r="I1243" s="196"/>
      <c r="J1243" s="196"/>
      <c r="K1243" s="196"/>
      <c r="L1243" s="196"/>
      <c r="M1243" s="334">
        <v>188.1</v>
      </c>
      <c r="N1243" s="196"/>
      <c r="O1243" s="196"/>
      <c r="P1243" s="196"/>
      <c r="Q1243" s="196"/>
      <c r="R1243" s="196"/>
      <c r="S1243" s="196"/>
      <c r="T1243" s="196"/>
      <c r="U1243" s="196"/>
      <c r="V1243" s="198"/>
    </row>
    <row r="1244" spans="1:22" ht="15" outlineLevel="1" collapsed="1" x14ac:dyDescent="0.25">
      <c r="A1244" s="186">
        <f>SUMIFS(МКД!$A$6:$A$389,МКД!$D$6:$D$389,Таблица1[[#This Row],[2]])</f>
        <v>206</v>
      </c>
      <c r="B1244" s="194">
        <f>SUMIFS(Таблица1[6],Таблица1[2],Таблица1[[#This Row],[2]])+SUMIFS(Таблица1[7],Таблица1[2],Таблица1[[#This Row],[2]])</f>
        <v>68.3</v>
      </c>
      <c r="C1244" s="185" t="s">
        <v>383</v>
      </c>
      <c r="D1244" s="196"/>
      <c r="E1244" s="196"/>
      <c r="F1244" s="196"/>
      <c r="G1244" s="168"/>
      <c r="H1244" s="197"/>
      <c r="I1244" s="196"/>
      <c r="J1244" s="196"/>
      <c r="K1244" s="196"/>
      <c r="L1244" s="196"/>
      <c r="M1244" s="196"/>
      <c r="N1244" s="196"/>
      <c r="O1244" s="196"/>
      <c r="P1244" s="196"/>
      <c r="Q1244" s="196"/>
      <c r="R1244" s="196"/>
      <c r="S1244" s="196"/>
      <c r="T1244" s="196"/>
      <c r="U1244" s="196"/>
      <c r="V1244" s="198"/>
    </row>
    <row r="1245" spans="1:22" ht="15" hidden="1" outlineLevel="2" x14ac:dyDescent="0.25">
      <c r="A1245" s="186">
        <f>SUMIFS(МКД!$A$6:$A$389,МКД!$D$6:$D$389,Таблица1[[#This Row],[2]])</f>
        <v>206</v>
      </c>
      <c r="B1245" s="196"/>
      <c r="C1245" s="182" t="s">
        <v>383</v>
      </c>
      <c r="D1245" s="196" t="s">
        <v>1053</v>
      </c>
      <c r="E1245" s="196" t="s">
        <v>1815</v>
      </c>
      <c r="F1245" s="196"/>
      <c r="G1245" s="168">
        <f>SUMIFS(Таблица1[[#This Row],[8]:[19]],$I$5:$T$5,"Выкуп")</f>
        <v>68.3</v>
      </c>
      <c r="H1245" s="168">
        <f>SUMIFS(Таблица1[[#This Row],[8]:[19]],$I$5:$T$5,"Аренда")</f>
        <v>0</v>
      </c>
      <c r="I1245" s="196"/>
      <c r="J1245" s="196"/>
      <c r="K1245" s="196">
        <v>68.3</v>
      </c>
      <c r="L1245" s="196"/>
      <c r="M1245" s="196"/>
      <c r="N1245" s="196"/>
      <c r="O1245" s="196"/>
      <c r="P1245" s="196"/>
      <c r="Q1245" s="196"/>
      <c r="R1245" s="196"/>
      <c r="S1245" s="196"/>
      <c r="T1245" s="196"/>
      <c r="U1245" s="196"/>
      <c r="V1245" s="198"/>
    </row>
    <row r="1246" spans="1:22" ht="15" outlineLevel="1" collapsed="1" x14ac:dyDescent="0.25">
      <c r="A1246" s="186">
        <f>SUMIFS(МКД!$A$6:$A$389,МКД!$D$6:$D$389,Таблица1[[#This Row],[2]])</f>
        <v>207</v>
      </c>
      <c r="B1246" s="194">
        <f>SUMIFS(Таблица1[6],Таблица1[2],Таблица1[[#This Row],[2]])+SUMIFS(Таблица1[7],Таблица1[2],Таблица1[[#This Row],[2]])</f>
        <v>244</v>
      </c>
      <c r="C1246" s="185" t="s">
        <v>384</v>
      </c>
      <c r="D1246" s="196"/>
      <c r="E1246" s="196"/>
      <c r="F1246" s="196"/>
      <c r="G1246" s="168"/>
      <c r="H1246" s="197"/>
      <c r="I1246" s="196"/>
      <c r="J1246" s="196"/>
      <c r="K1246" s="196"/>
      <c r="L1246" s="196"/>
      <c r="M1246" s="196"/>
      <c r="N1246" s="196"/>
      <c r="O1246" s="196"/>
      <c r="P1246" s="196"/>
      <c r="Q1246" s="196"/>
      <c r="R1246" s="196"/>
      <c r="S1246" s="196"/>
      <c r="T1246" s="196"/>
      <c r="U1246" s="196"/>
      <c r="V1246" s="198"/>
    </row>
    <row r="1247" spans="1:22" hidden="1" outlineLevel="2" x14ac:dyDescent="0.25">
      <c r="A1247" s="186">
        <f>SUMIFS(МКД!$A$6:$A$389,МКД!$D$6:$D$389,Таблица1[[#This Row],[2]])</f>
        <v>207</v>
      </c>
      <c r="B1247" s="170"/>
      <c r="C1247" s="182" t="s">
        <v>384</v>
      </c>
      <c r="D1247" s="167" t="s">
        <v>1053</v>
      </c>
      <c r="E1247" s="167" t="s">
        <v>1858</v>
      </c>
      <c r="F1247" s="167">
        <v>1</v>
      </c>
      <c r="G1247" s="168">
        <f>SUMIFS(Таблица1[[#This Row],[8]:[19]],$I$5:$T$5,"Выкуп")</f>
        <v>73.599999999999994</v>
      </c>
      <c r="H1247" s="168">
        <f>SUMIFS(Таблица1[[#This Row],[8]:[19]],$I$5:$T$5,"Аренда")</f>
        <v>0</v>
      </c>
      <c r="I1247" s="169">
        <v>73.599999999999994</v>
      </c>
      <c r="J1247" s="169"/>
      <c r="K1247" s="169"/>
      <c r="L1247" s="169"/>
      <c r="M1247" s="169"/>
      <c r="N1247" s="169"/>
      <c r="O1247" s="169"/>
      <c r="P1247" s="169"/>
      <c r="Q1247" s="169"/>
      <c r="R1247" s="169"/>
      <c r="S1247" s="169"/>
      <c r="T1247" s="169"/>
      <c r="U1247" s="170"/>
      <c r="V1247" s="171"/>
    </row>
    <row r="1248" spans="1:22" hidden="1" outlineLevel="2" x14ac:dyDescent="0.25">
      <c r="A1248" s="186">
        <f>SUMIFS(МКД!$A$6:$A$389,МКД!$D$6:$D$389,Таблица1[[#This Row],[2]])</f>
        <v>207</v>
      </c>
      <c r="B1248" s="168"/>
      <c r="C1248" s="182" t="s">
        <v>384</v>
      </c>
      <c r="D1248" s="167" t="s">
        <v>2021</v>
      </c>
      <c r="E1248" s="167" t="s">
        <v>1384</v>
      </c>
      <c r="F1248" s="167">
        <v>1</v>
      </c>
      <c r="G1248" s="168">
        <f>SUMIFS(Таблица1[[#This Row],[8]:[19]],$I$5:$T$5,"Выкуп")</f>
        <v>84.3</v>
      </c>
      <c r="H1248" s="168">
        <f>SUMIFS(Таблица1[[#This Row],[8]:[19]],$I$5:$T$5,"Аренда")</f>
        <v>0</v>
      </c>
      <c r="I1248" s="169">
        <v>84.3</v>
      </c>
      <c r="J1248" s="169"/>
      <c r="K1248" s="169"/>
      <c r="L1248" s="169"/>
      <c r="M1248" s="169"/>
      <c r="N1248" s="169"/>
      <c r="O1248" s="169"/>
      <c r="P1248" s="169"/>
      <c r="Q1248" s="169"/>
      <c r="R1248" s="169"/>
      <c r="S1248" s="169"/>
      <c r="T1248" s="169"/>
      <c r="U1248" s="170"/>
      <c r="V1248" s="171"/>
    </row>
    <row r="1249" spans="1:22" hidden="1" outlineLevel="2" x14ac:dyDescent="0.25">
      <c r="A1249" s="186">
        <f>SUMIFS(МКД!$A$6:$A$389,МКД!$D$6:$D$389,Таблица1[[#This Row],[2]])</f>
        <v>207</v>
      </c>
      <c r="B1249" s="168"/>
      <c r="C1249" s="182" t="s">
        <v>384</v>
      </c>
      <c r="D1249" s="167" t="s">
        <v>2647</v>
      </c>
      <c r="E1249" s="167" t="s">
        <v>1564</v>
      </c>
      <c r="F1249" s="167">
        <v>1</v>
      </c>
      <c r="G1249" s="168">
        <f>SUMIFS(Таблица1[[#This Row],[8]:[19]],$I$5:$T$5,"Выкуп")</f>
        <v>86.100000000000009</v>
      </c>
      <c r="H1249" s="168">
        <f>SUMIFS(Таблица1[[#This Row],[8]:[19]],$I$5:$T$5,"Аренда")</f>
        <v>0</v>
      </c>
      <c r="I1249" s="169"/>
      <c r="J1249" s="169"/>
      <c r="K1249" s="169">
        <v>79.900000000000006</v>
      </c>
      <c r="L1249" s="169"/>
      <c r="M1249" s="169"/>
      <c r="N1249" s="169"/>
      <c r="O1249" s="169"/>
      <c r="P1249" s="169"/>
      <c r="Q1249" s="169"/>
      <c r="R1249" s="169"/>
      <c r="S1249" s="169">
        <v>6.2</v>
      </c>
      <c r="T1249" s="169"/>
      <c r="U1249" s="170"/>
      <c r="V1249" s="171"/>
    </row>
    <row r="1250" spans="1:22" ht="15" outlineLevel="1" collapsed="1" x14ac:dyDescent="0.25">
      <c r="A1250" s="186">
        <f>SUMIFS(МКД!$A$6:$A$389,МКД!$D$6:$D$389,Таблица1[[#This Row],[2]])</f>
        <v>208</v>
      </c>
      <c r="B1250" s="194">
        <f>SUMIFS(Таблица1[6],Таблица1[2],Таблица1[[#This Row],[2]])+SUMIFS(Таблица1[7],Таблица1[2],Таблица1[[#This Row],[2]])</f>
        <v>183.7</v>
      </c>
      <c r="C1250" s="185" t="s">
        <v>385</v>
      </c>
      <c r="D1250" s="196"/>
      <c r="E1250" s="196"/>
      <c r="F1250" s="196"/>
      <c r="G1250" s="168"/>
      <c r="H1250" s="197"/>
      <c r="I1250" s="196"/>
      <c r="J1250" s="196"/>
      <c r="K1250" s="196"/>
      <c r="L1250" s="196"/>
      <c r="M1250" s="196"/>
      <c r="N1250" s="196"/>
      <c r="O1250" s="196"/>
      <c r="P1250" s="196"/>
      <c r="Q1250" s="196"/>
      <c r="R1250" s="196"/>
      <c r="S1250" s="196"/>
      <c r="T1250" s="196"/>
      <c r="U1250" s="196"/>
      <c r="V1250" s="198"/>
    </row>
    <row r="1251" spans="1:22" ht="15" hidden="1" outlineLevel="2" x14ac:dyDescent="0.25">
      <c r="A1251" s="186">
        <f>SUMIFS(МКД!$A$6:$A$389,МКД!$D$6:$D$389,Таблица1[[#This Row],[2]])</f>
        <v>208</v>
      </c>
      <c r="B1251" s="196"/>
      <c r="C1251" s="182" t="s">
        <v>385</v>
      </c>
      <c r="D1251" s="373" t="s">
        <v>1053</v>
      </c>
      <c r="E1251" s="167" t="s">
        <v>2827</v>
      </c>
      <c r="F1251" s="196"/>
      <c r="G1251" s="168">
        <f>SUMIFS(Таблица1[[#This Row],[8]:[19]],$I$5:$T$5,"Выкуп")</f>
        <v>183.7</v>
      </c>
      <c r="H1251" s="168">
        <f>SUMIFS(Таблица1[[#This Row],[8]:[19]],$I$5:$T$5,"Аренда")</f>
        <v>0</v>
      </c>
      <c r="I1251" s="196"/>
      <c r="J1251" s="196"/>
      <c r="K1251" s="196"/>
      <c r="L1251" s="196"/>
      <c r="M1251" s="196">
        <v>183.7</v>
      </c>
      <c r="N1251" s="196"/>
      <c r="O1251" s="196"/>
      <c r="P1251" s="196"/>
      <c r="Q1251" s="196"/>
      <c r="R1251" s="196"/>
      <c r="S1251" s="196"/>
      <c r="T1251" s="196"/>
      <c r="U1251" s="196"/>
      <c r="V1251" s="198"/>
    </row>
    <row r="1252" spans="1:22" ht="15" outlineLevel="1" collapsed="1" x14ac:dyDescent="0.25">
      <c r="A1252" s="186">
        <f>SUMIFS(МКД!$A$6:$A$389,МКД!$D$6:$D$389,Таблица1[[#This Row],[2]])</f>
        <v>209</v>
      </c>
      <c r="B1252" s="194">
        <f>SUMIFS(Таблица1[6],Таблица1[2],Таблица1[[#This Row],[2]])+SUMIFS(Таблица1[7],Таблица1[2],Таблица1[[#This Row],[2]])</f>
        <v>274.39999999999998</v>
      </c>
      <c r="C1252" s="185" t="s">
        <v>467</v>
      </c>
      <c r="D1252" s="196"/>
      <c r="E1252" s="196"/>
      <c r="F1252" s="196"/>
      <c r="G1252" s="168"/>
      <c r="H1252" s="197"/>
      <c r="I1252" s="196"/>
      <c r="J1252" s="196"/>
      <c r="K1252" s="196"/>
      <c r="L1252" s="196"/>
      <c r="M1252" s="196"/>
      <c r="N1252" s="196"/>
      <c r="O1252" s="196"/>
      <c r="P1252" s="196"/>
      <c r="Q1252" s="196"/>
      <c r="R1252" s="196"/>
      <c r="S1252" s="196"/>
      <c r="T1252" s="196"/>
      <c r="U1252" s="196"/>
      <c r="V1252" s="198"/>
    </row>
    <row r="1253" spans="1:22" hidden="1" outlineLevel="2" x14ac:dyDescent="0.25">
      <c r="A1253" s="186">
        <f>SUMIFS(МКД!$A$6:$A$389,МКД!$D$6:$D$389,Таблица1[[#This Row],[2]])</f>
        <v>209</v>
      </c>
      <c r="B1253" s="170"/>
      <c r="C1253" s="182" t="s">
        <v>467</v>
      </c>
      <c r="D1253" s="167" t="s">
        <v>2275</v>
      </c>
      <c r="E1253" s="167" t="s">
        <v>2276</v>
      </c>
      <c r="F1253" s="167">
        <v>1</v>
      </c>
      <c r="G1253" s="168">
        <f>SUMIFS(Таблица1[[#This Row],[8]:[19]],$I$5:$T$5,"Выкуп")</f>
        <v>74.7</v>
      </c>
      <c r="H1253" s="168">
        <f>SUMIFS(Таблица1[[#This Row],[8]:[19]],$I$5:$T$5,"Аренда")</f>
        <v>0</v>
      </c>
      <c r="I1253" s="169">
        <v>74.7</v>
      </c>
      <c r="J1253" s="169"/>
      <c r="K1253" s="169"/>
      <c r="L1253" s="169"/>
      <c r="M1253" s="169"/>
      <c r="N1253" s="169"/>
      <c r="O1253" s="169"/>
      <c r="P1253" s="169"/>
      <c r="Q1253" s="169"/>
      <c r="R1253" s="169"/>
      <c r="S1253" s="169"/>
      <c r="T1253" s="169"/>
      <c r="U1253" s="170"/>
      <c r="V1253" s="171"/>
    </row>
    <row r="1254" spans="1:22" hidden="1" outlineLevel="2" x14ac:dyDescent="0.25">
      <c r="A1254" s="186">
        <f>SUMIFS(МКД!$A$6:$A$389,МКД!$D$6:$D$389,Таблица1[[#This Row],[2]])</f>
        <v>209</v>
      </c>
      <c r="B1254" s="170"/>
      <c r="C1254" s="182" t="s">
        <v>467</v>
      </c>
      <c r="D1254" s="167" t="s">
        <v>1053</v>
      </c>
      <c r="E1254" s="167" t="s">
        <v>2793</v>
      </c>
      <c r="F1254" s="167">
        <v>1</v>
      </c>
      <c r="G1254" s="168">
        <f>SUMIFS(Таблица1[[#This Row],[8]:[19]],$I$5:$T$5,"Выкуп")</f>
        <v>199.7</v>
      </c>
      <c r="H1254" s="168">
        <f>SUMIFS(Таблица1[[#This Row],[8]:[19]],$I$5:$T$5,"Аренда")</f>
        <v>0</v>
      </c>
      <c r="I1254" s="169"/>
      <c r="J1254" s="169"/>
      <c r="K1254" s="169"/>
      <c r="L1254" s="169"/>
      <c r="M1254" s="278">
        <v>199.7</v>
      </c>
      <c r="N1254" s="169"/>
      <c r="O1254" s="169"/>
      <c r="P1254" s="169"/>
      <c r="Q1254" s="169"/>
      <c r="R1254" s="169"/>
      <c r="S1254" s="169"/>
      <c r="T1254" s="169"/>
      <c r="U1254" s="170"/>
      <c r="V1254" s="171"/>
    </row>
    <row r="1255" spans="1:22" ht="15" outlineLevel="1" collapsed="1" x14ac:dyDescent="0.25">
      <c r="A1255" s="186">
        <f>SUMIFS(МКД!$A$6:$A$389,МКД!$D$6:$D$389,Таблица1[[#This Row],[2]])</f>
        <v>210</v>
      </c>
      <c r="B1255" s="194">
        <f>SUMIFS(Таблица1[6],Таблица1[2],Таблица1[[#This Row],[2]])+SUMIFS(Таблица1[7],Таблица1[2],Таблица1[[#This Row],[2]])</f>
        <v>237.10000000000002</v>
      </c>
      <c r="C1255" s="185" t="s">
        <v>386</v>
      </c>
      <c r="D1255" s="196"/>
      <c r="E1255" s="196"/>
      <c r="F1255" s="196"/>
      <c r="G1255" s="168"/>
      <c r="H1255" s="197"/>
      <c r="I1255" s="196"/>
      <c r="J1255" s="196"/>
      <c r="K1255" s="196"/>
      <c r="L1255" s="196"/>
      <c r="M1255" s="196"/>
      <c r="N1255" s="196"/>
      <c r="O1255" s="196"/>
      <c r="P1255" s="196"/>
      <c r="Q1255" s="196"/>
      <c r="R1255" s="196"/>
      <c r="S1255" s="196"/>
      <c r="T1255" s="196"/>
      <c r="U1255" s="196"/>
      <c r="V1255" s="198"/>
    </row>
    <row r="1256" spans="1:22" hidden="1" outlineLevel="2" x14ac:dyDescent="0.25">
      <c r="A1256" s="186">
        <f>SUMIFS(МКД!$A$6:$A$389,МКД!$D$6:$D$389,Таблица1[[#This Row],[2]])</f>
        <v>210</v>
      </c>
      <c r="B1256" s="170"/>
      <c r="C1256" s="182" t="s">
        <v>386</v>
      </c>
      <c r="D1256" s="167" t="s">
        <v>2633</v>
      </c>
      <c r="E1256" s="167" t="s">
        <v>2632</v>
      </c>
      <c r="F1256" s="167">
        <v>1</v>
      </c>
      <c r="G1256" s="168">
        <f>SUMIFS(Таблица1[[#This Row],[8]:[19]],$I$5:$T$5,"Выкуп")</f>
        <v>0</v>
      </c>
      <c r="H1256" s="168">
        <f>SUMIFS(Таблица1[[#This Row],[8]:[19]],$I$5:$T$5,"Аренда")</f>
        <v>47</v>
      </c>
      <c r="I1256" s="169"/>
      <c r="J1256" s="169"/>
      <c r="K1256" s="167"/>
      <c r="L1256" s="169">
        <v>47</v>
      </c>
      <c r="M1256" s="169"/>
      <c r="N1256" s="169"/>
      <c r="O1256" s="169"/>
      <c r="P1256" s="169"/>
      <c r="Q1256" s="169"/>
      <c r="R1256" s="169"/>
      <c r="S1256" s="169"/>
      <c r="T1256" s="169"/>
      <c r="U1256" s="170"/>
      <c r="V1256" s="171"/>
    </row>
    <row r="1257" spans="1:22" hidden="1" outlineLevel="2" x14ac:dyDescent="0.25">
      <c r="A1257" s="186">
        <f>SUMIFS(МКД!$A$6:$A$389,МКД!$D$6:$D$389,Таблица1[[#This Row],[2]])</f>
        <v>210</v>
      </c>
      <c r="B1257" s="168"/>
      <c r="C1257" s="182" t="s">
        <v>386</v>
      </c>
      <c r="D1257" s="167" t="s">
        <v>1532</v>
      </c>
      <c r="E1257" s="167" t="s">
        <v>1589</v>
      </c>
      <c r="F1257" s="167">
        <v>1</v>
      </c>
      <c r="G1257" s="168">
        <f>SUMIFS(Таблица1[[#This Row],[8]:[19]],$I$5:$T$5,"Выкуп")</f>
        <v>62.3</v>
      </c>
      <c r="H1257" s="168">
        <f>SUMIFS(Таблица1[[#This Row],[8]:[19]],$I$5:$T$5,"Аренда")</f>
        <v>0</v>
      </c>
      <c r="I1257" s="169">
        <v>62.3</v>
      </c>
      <c r="J1257" s="169"/>
      <c r="K1257" s="169"/>
      <c r="L1257" s="169"/>
      <c r="M1257" s="169"/>
      <c r="N1257" s="169"/>
      <c r="O1257" s="169"/>
      <c r="P1257" s="169"/>
      <c r="Q1257" s="169"/>
      <c r="R1257" s="169"/>
      <c r="S1257" s="169"/>
      <c r="T1257" s="169"/>
      <c r="U1257" s="170"/>
      <c r="V1257" s="171"/>
    </row>
    <row r="1258" spans="1:22" hidden="1" outlineLevel="2" x14ac:dyDescent="0.25">
      <c r="A1258" s="186">
        <f>SUMIFS(МКД!$A$6:$A$389,МКД!$D$6:$D$389,Таблица1[[#This Row],[2]])</f>
        <v>210</v>
      </c>
      <c r="B1258" s="168"/>
      <c r="C1258" s="182" t="s">
        <v>386</v>
      </c>
      <c r="D1258" s="167" t="s">
        <v>294</v>
      </c>
      <c r="E1258" s="167" t="s">
        <v>1390</v>
      </c>
      <c r="F1258" s="167">
        <v>1</v>
      </c>
      <c r="G1258" s="168">
        <f>SUMIFS(Таблица1[[#This Row],[8]:[19]],$I$5:$T$5,"Выкуп")</f>
        <v>76</v>
      </c>
      <c r="H1258" s="168">
        <f>SUMIFS(Таблица1[[#This Row],[8]:[19]],$I$5:$T$5,"Аренда")</f>
        <v>0</v>
      </c>
      <c r="I1258" s="169">
        <v>76</v>
      </c>
      <c r="J1258" s="169"/>
      <c r="K1258" s="169"/>
      <c r="L1258" s="169"/>
      <c r="M1258" s="169"/>
      <c r="N1258" s="169"/>
      <c r="O1258" s="169"/>
      <c r="P1258" s="169"/>
      <c r="Q1258" s="169"/>
      <c r="R1258" s="169"/>
      <c r="S1258" s="169"/>
      <c r="T1258" s="169"/>
      <c r="U1258" s="170"/>
      <c r="V1258" s="171"/>
    </row>
    <row r="1259" spans="1:22" s="21" customFormat="1" hidden="1" outlineLevel="2" x14ac:dyDescent="0.25">
      <c r="A1259" s="186">
        <f>SUMIFS(МКД!$A$6:$A$389,МКД!$D$6:$D$389,Таблица1[[#This Row],[2]])</f>
        <v>210</v>
      </c>
      <c r="B1259" s="168"/>
      <c r="C1259" s="182" t="s">
        <v>386</v>
      </c>
      <c r="D1259" s="167" t="s">
        <v>1874</v>
      </c>
      <c r="E1259" s="167" t="s">
        <v>1590</v>
      </c>
      <c r="F1259" s="167">
        <v>1</v>
      </c>
      <c r="G1259" s="168">
        <f>SUMIFS(Таблица1[[#This Row],[8]:[19]],$I$5:$T$5,"Выкуп")</f>
        <v>51.8</v>
      </c>
      <c r="H1259" s="168">
        <f>SUMIFS(Таблица1[[#This Row],[8]:[19]],$I$5:$T$5,"Аренда")</f>
        <v>0</v>
      </c>
      <c r="I1259" s="169">
        <v>51.8</v>
      </c>
      <c r="J1259" s="169"/>
      <c r="K1259" s="169"/>
      <c r="L1259" s="169"/>
      <c r="M1259" s="169"/>
      <c r="N1259" s="169"/>
      <c r="O1259" s="169"/>
      <c r="P1259" s="169"/>
      <c r="Q1259" s="169"/>
      <c r="R1259" s="169"/>
      <c r="S1259" s="169"/>
      <c r="T1259" s="169"/>
      <c r="U1259" s="170"/>
      <c r="V1259" s="171"/>
    </row>
    <row r="1260" spans="1:22" s="21" customFormat="1" ht="15" outlineLevel="1" collapsed="1" x14ac:dyDescent="0.25">
      <c r="A1260" s="186">
        <f>SUMIFS(МКД!$A$6:$A$389,МКД!$D$6:$D$389,Таблица1[[#This Row],[2]])</f>
        <v>211</v>
      </c>
      <c r="B1260" s="194">
        <f>SUMIFS(Таблица1[6],Таблица1[2],Таблица1[[#This Row],[2]])+SUMIFS(Таблица1[7],Таблица1[2],Таблица1[[#This Row],[2]])</f>
        <v>125.7</v>
      </c>
      <c r="C1260" s="185" t="s">
        <v>468</v>
      </c>
      <c r="D1260" s="196"/>
      <c r="E1260" s="196"/>
      <c r="F1260" s="196"/>
      <c r="G1260" s="168"/>
      <c r="H1260" s="197"/>
      <c r="I1260" s="196"/>
      <c r="J1260" s="196"/>
      <c r="K1260" s="196"/>
      <c r="L1260" s="196"/>
      <c r="M1260" s="196"/>
      <c r="N1260" s="196"/>
      <c r="O1260" s="196"/>
      <c r="P1260" s="196"/>
      <c r="Q1260" s="196"/>
      <c r="R1260" s="196"/>
      <c r="S1260" s="196"/>
      <c r="T1260" s="196"/>
      <c r="U1260" s="196"/>
      <c r="V1260" s="198"/>
    </row>
    <row r="1261" spans="1:22" s="21" customFormat="1" ht="15" hidden="1" outlineLevel="2" x14ac:dyDescent="0.25">
      <c r="A1261" s="186">
        <f>SUMIFS(МКД!$A$6:$A$389,МКД!$D$6:$D$389,Таблица1[[#This Row],[2]])</f>
        <v>211</v>
      </c>
      <c r="B1261" s="196"/>
      <c r="C1261" s="182" t="s">
        <v>468</v>
      </c>
      <c r="D1261" s="167" t="s">
        <v>1593</v>
      </c>
      <c r="E1261" s="273" t="s">
        <v>1757</v>
      </c>
      <c r="F1261" s="196"/>
      <c r="G1261" s="168">
        <f>SUMIFS(Таблица1[[#This Row],[8]:[19]],$I$5:$T$5,"Выкуп")</f>
        <v>125.7</v>
      </c>
      <c r="H1261" s="168">
        <f>SUMIFS(Таблица1[[#This Row],[8]:[19]],$I$5:$T$5,"Аренда")</f>
        <v>0</v>
      </c>
      <c r="I1261" s="196"/>
      <c r="J1261" s="196"/>
      <c r="K1261" s="196">
        <v>125.7</v>
      </c>
      <c r="L1261" s="196"/>
      <c r="M1261" s="196"/>
      <c r="N1261" s="196"/>
      <c r="O1261" s="196"/>
      <c r="P1261" s="196"/>
      <c r="Q1261" s="196"/>
      <c r="R1261" s="196"/>
      <c r="S1261" s="196"/>
      <c r="T1261" s="196"/>
      <c r="U1261" s="196"/>
      <c r="V1261" s="198"/>
    </row>
    <row r="1262" spans="1:22" s="21" customFormat="1" ht="15" outlineLevel="1" collapsed="1" x14ac:dyDescent="0.25">
      <c r="A1262" s="186">
        <f>SUMIFS(МКД!$A$6:$A$389,МКД!$D$6:$D$389,Таблица1[[#This Row],[2]])</f>
        <v>212</v>
      </c>
      <c r="B1262" s="194">
        <f>SUMIFS(Таблица1[6],Таблица1[2],Таблица1[[#This Row],[2]])+SUMIFS(Таблица1[7],Таблица1[2],Таблица1[[#This Row],[2]])</f>
        <v>622.69999999999993</v>
      </c>
      <c r="C1262" s="185" t="s">
        <v>469</v>
      </c>
      <c r="D1262" s="196"/>
      <c r="E1262" s="196"/>
      <c r="F1262" s="196"/>
      <c r="G1262" s="168"/>
      <c r="H1262" s="197"/>
      <c r="I1262" s="196"/>
      <c r="J1262" s="196"/>
      <c r="K1262" s="196"/>
      <c r="L1262" s="196"/>
      <c r="M1262" s="196"/>
      <c r="N1262" s="196"/>
      <c r="O1262" s="196"/>
      <c r="P1262" s="196"/>
      <c r="Q1262" s="196"/>
      <c r="R1262" s="196"/>
      <c r="S1262" s="196"/>
      <c r="T1262" s="196"/>
      <c r="U1262" s="196"/>
      <c r="V1262" s="198"/>
    </row>
    <row r="1263" spans="1:22" s="21" customFormat="1" hidden="1" outlineLevel="2" x14ac:dyDescent="0.25">
      <c r="A1263" s="186">
        <f>SUMIFS(МКД!$A$6:$A$389,МКД!$D$6:$D$389,Таблица1[[#This Row],[2]])</f>
        <v>212</v>
      </c>
      <c r="B1263" s="170"/>
      <c r="C1263" s="182" t="s">
        <v>469</v>
      </c>
      <c r="D1263" s="167" t="s">
        <v>189</v>
      </c>
      <c r="E1263" s="167" t="s">
        <v>1398</v>
      </c>
      <c r="F1263" s="167">
        <v>1</v>
      </c>
      <c r="G1263" s="168">
        <f>SUMIFS(Таблица1[[#This Row],[8]:[19]],$I$5:$T$5,"Выкуп")</f>
        <v>343.4</v>
      </c>
      <c r="H1263" s="168">
        <f>SUMIFS(Таблица1[[#This Row],[8]:[19]],$I$5:$T$5,"Аренда")</f>
        <v>0</v>
      </c>
      <c r="I1263" s="169">
        <v>343.4</v>
      </c>
      <c r="J1263" s="169"/>
      <c r="K1263" s="169"/>
      <c r="L1263" s="169"/>
      <c r="M1263" s="169"/>
      <c r="N1263" s="169"/>
      <c r="O1263" s="169"/>
      <c r="P1263" s="169"/>
      <c r="Q1263" s="169"/>
      <c r="R1263" s="169"/>
      <c r="S1263" s="169"/>
      <c r="T1263" s="169"/>
      <c r="U1263" s="170"/>
      <c r="V1263" s="195"/>
    </row>
    <row r="1264" spans="1:22" hidden="1" outlineLevel="2" x14ac:dyDescent="0.25">
      <c r="A1264" s="186">
        <f>SUMIFS(МКД!$A$6:$A$389,МКД!$D$6:$D$389,Таблица1[[#This Row],[2]])</f>
        <v>212</v>
      </c>
      <c r="B1264" s="168"/>
      <c r="C1264" s="182" t="s">
        <v>469</v>
      </c>
      <c r="D1264" s="167" t="s">
        <v>189</v>
      </c>
      <c r="E1264" s="167" t="s">
        <v>1399</v>
      </c>
      <c r="F1264" s="167"/>
      <c r="G1264" s="168">
        <f>SUMIFS(Таблица1[[#This Row],[8]:[19]],$I$5:$T$5,"Выкуп")</f>
        <v>11.4</v>
      </c>
      <c r="H1264" s="168">
        <f>SUMIFS(Таблица1[[#This Row],[8]:[19]],$I$5:$T$5,"Аренда")</f>
        <v>0</v>
      </c>
      <c r="I1264" s="167">
        <v>11.4</v>
      </c>
      <c r="J1264" s="167"/>
      <c r="K1264" s="169"/>
      <c r="L1264" s="169"/>
      <c r="M1264" s="169"/>
      <c r="N1264" s="169"/>
      <c r="O1264" s="169"/>
      <c r="P1264" s="169"/>
      <c r="Q1264" s="169"/>
      <c r="R1264" s="169"/>
      <c r="S1264" s="169"/>
      <c r="T1264" s="169"/>
      <c r="U1264" s="170"/>
      <c r="V1264" s="195"/>
    </row>
    <row r="1265" spans="1:22" hidden="1" outlineLevel="2" x14ac:dyDescent="0.25">
      <c r="A1265" s="186">
        <f>SUMIFS(МКД!$A$6:$A$389,МКД!$D$6:$D$389,Таблица1[[#This Row],[2]])</f>
        <v>212</v>
      </c>
      <c r="B1265" s="168"/>
      <c r="C1265" s="182" t="s">
        <v>469</v>
      </c>
      <c r="D1265" s="167" t="s">
        <v>1053</v>
      </c>
      <c r="E1265" s="167" t="s">
        <v>1949</v>
      </c>
      <c r="F1265" s="167"/>
      <c r="G1265" s="168">
        <f>SUMIFS(Таблица1[[#This Row],[8]:[19]],$I$5:$T$5,"Выкуп")</f>
        <v>28.2</v>
      </c>
      <c r="H1265" s="168">
        <f>SUMIFS(Таблица1[[#This Row],[8]:[19]],$I$5:$T$5,"Аренда")</f>
        <v>0</v>
      </c>
      <c r="I1265" s="167">
        <v>28.2</v>
      </c>
      <c r="J1265" s="167"/>
      <c r="K1265" s="169"/>
      <c r="L1265" s="169"/>
      <c r="M1265" s="169"/>
      <c r="N1265" s="169"/>
      <c r="O1265" s="169"/>
      <c r="P1265" s="169"/>
      <c r="Q1265" s="169"/>
      <c r="R1265" s="169"/>
      <c r="S1265" s="169"/>
      <c r="T1265" s="169"/>
      <c r="U1265" s="170"/>
      <c r="V1265" s="195"/>
    </row>
    <row r="1266" spans="1:22" hidden="1" outlineLevel="2" x14ac:dyDescent="0.25">
      <c r="A1266" s="186">
        <f>SUMIFS(МКД!$A$6:$A$389,МКД!$D$6:$D$389,Таблица1[[#This Row],[2]])</f>
        <v>212</v>
      </c>
      <c r="B1266" s="168"/>
      <c r="C1266" s="182" t="s">
        <v>469</v>
      </c>
      <c r="D1266" s="167" t="s">
        <v>1053</v>
      </c>
      <c r="E1266" s="167" t="s">
        <v>2827</v>
      </c>
      <c r="F1266" s="167"/>
      <c r="G1266" s="168">
        <f>SUMIFS(Таблица1[[#This Row],[8]:[19]],$I$5:$T$5,"Выкуп")</f>
        <v>239.7</v>
      </c>
      <c r="H1266" s="168">
        <f>SUMIFS(Таблица1[[#This Row],[8]:[19]],$I$5:$T$5,"Аренда")</f>
        <v>0</v>
      </c>
      <c r="I1266" s="167"/>
      <c r="J1266" s="167"/>
      <c r="K1266" s="169"/>
      <c r="L1266" s="169"/>
      <c r="M1266" s="278">
        <v>239.7</v>
      </c>
      <c r="N1266" s="169"/>
      <c r="O1266" s="169"/>
      <c r="P1266" s="169"/>
      <c r="Q1266" s="169"/>
      <c r="R1266" s="169"/>
      <c r="S1266" s="169"/>
      <c r="T1266" s="169"/>
      <c r="U1266" s="170"/>
      <c r="V1266" s="195"/>
    </row>
    <row r="1267" spans="1:22" ht="15" outlineLevel="1" collapsed="1" x14ac:dyDescent="0.25">
      <c r="A1267" s="186">
        <f>SUMIFS(МКД!$A$6:$A$389,МКД!$D$6:$D$389,Таблица1[[#This Row],[2]])</f>
        <v>214</v>
      </c>
      <c r="B1267" s="194">
        <f>SUMIFS(Таблица1[6],Таблица1[2],Таблица1[[#This Row],[2]])+SUMIFS(Таблица1[7],Таблица1[2],Таблица1[[#This Row],[2]])</f>
        <v>0</v>
      </c>
      <c r="C1267" s="185" t="s">
        <v>470</v>
      </c>
      <c r="D1267" s="196"/>
      <c r="E1267" s="196"/>
      <c r="F1267" s="196"/>
      <c r="G1267" s="168"/>
      <c r="H1267" s="197"/>
      <c r="I1267" s="196"/>
      <c r="J1267" s="196"/>
      <c r="K1267" s="196"/>
      <c r="L1267" s="196"/>
      <c r="M1267" s="196"/>
      <c r="N1267" s="196"/>
      <c r="O1267" s="196"/>
      <c r="P1267" s="196"/>
      <c r="Q1267" s="196"/>
      <c r="R1267" s="196"/>
      <c r="S1267" s="196"/>
      <c r="T1267" s="196"/>
      <c r="U1267" s="196"/>
      <c r="V1267" s="198"/>
    </row>
    <row r="1268" spans="1:22" ht="15" hidden="1" outlineLevel="2" x14ac:dyDescent="0.25">
      <c r="A1268" s="186">
        <f>SUMIFS(МКД!$A$6:$A$389,МКД!$D$6:$D$389,Таблица1[[#This Row],[2]])</f>
        <v>214</v>
      </c>
      <c r="B1268" s="196"/>
      <c r="C1268" s="182" t="s">
        <v>470</v>
      </c>
      <c r="D1268" s="196"/>
      <c r="E1268" s="196"/>
      <c r="F1268" s="196"/>
      <c r="G1268" s="168">
        <f>SUMIFS(Таблица1[[#This Row],[8]:[19]],$I$5:$T$5,"Выкуп")</f>
        <v>0</v>
      </c>
      <c r="H1268" s="168">
        <f>SUMIFS(Таблица1[[#This Row],[8]:[19]],$I$5:$T$5,"Аренда")</f>
        <v>0</v>
      </c>
      <c r="I1268" s="196"/>
      <c r="J1268" s="196"/>
      <c r="K1268" s="196"/>
      <c r="L1268" s="196"/>
      <c r="M1268" s="196"/>
      <c r="N1268" s="196"/>
      <c r="O1268" s="196"/>
      <c r="P1268" s="196"/>
      <c r="Q1268" s="196"/>
      <c r="R1268" s="196"/>
      <c r="S1268" s="196"/>
      <c r="T1268" s="196"/>
      <c r="U1268" s="196"/>
      <c r="V1268" s="198"/>
    </row>
    <row r="1269" spans="1:22" ht="15" outlineLevel="1" collapsed="1" x14ac:dyDescent="0.25">
      <c r="A1269" s="186">
        <f>SUMIFS(МКД!$A$6:$A$389,МКД!$D$6:$D$389,Таблица1[[#This Row],[2]])</f>
        <v>215</v>
      </c>
      <c r="B1269" s="194">
        <f>SUMIFS(Таблица1[6],Таблица1[2],Таблица1[[#This Row],[2]])+SUMIFS(Таблица1[7],Таблица1[2],Таблица1[[#This Row],[2]])</f>
        <v>218.5</v>
      </c>
      <c r="C1269" s="185" t="s">
        <v>471</v>
      </c>
      <c r="D1269" s="196"/>
      <c r="E1269" s="196"/>
      <c r="F1269" s="196"/>
      <c r="G1269" s="168"/>
      <c r="H1269" s="197"/>
      <c r="I1269" s="196"/>
      <c r="J1269" s="196"/>
      <c r="K1269" s="196"/>
      <c r="L1269" s="196"/>
      <c r="M1269" s="196"/>
      <c r="N1269" s="196"/>
      <c r="O1269" s="196"/>
      <c r="P1269" s="196"/>
      <c r="Q1269" s="196"/>
      <c r="R1269" s="196"/>
      <c r="S1269" s="196"/>
      <c r="T1269" s="196"/>
      <c r="U1269" s="196"/>
      <c r="V1269" s="198"/>
    </row>
    <row r="1270" spans="1:22" ht="15" hidden="1" outlineLevel="2" x14ac:dyDescent="0.25">
      <c r="A1270" s="186">
        <f>SUMIFS(МКД!$A$6:$A$389,МКД!$D$6:$D$389,Таблица1[[#This Row],[2]])</f>
        <v>215</v>
      </c>
      <c r="B1270" s="196"/>
      <c r="C1270" s="182" t="s">
        <v>471</v>
      </c>
      <c r="D1270" s="373" t="s">
        <v>1053</v>
      </c>
      <c r="E1270" s="167" t="s">
        <v>2827</v>
      </c>
      <c r="F1270" s="196"/>
      <c r="G1270" s="168">
        <f>SUMIFS(Таблица1[[#This Row],[8]:[19]],$I$5:$T$5,"Выкуп")</f>
        <v>218.5</v>
      </c>
      <c r="H1270" s="168">
        <f>SUMIFS(Таблица1[[#This Row],[8]:[19]],$I$5:$T$5,"Аренда")</f>
        <v>0</v>
      </c>
      <c r="I1270" s="196"/>
      <c r="J1270" s="196"/>
      <c r="K1270" s="196"/>
      <c r="L1270" s="196"/>
      <c r="M1270" s="196">
        <v>218.5</v>
      </c>
      <c r="N1270" s="196"/>
      <c r="O1270" s="196"/>
      <c r="P1270" s="196"/>
      <c r="Q1270" s="196"/>
      <c r="R1270" s="196"/>
      <c r="S1270" s="196"/>
      <c r="T1270" s="196"/>
      <c r="U1270" s="196"/>
      <c r="V1270" s="198"/>
    </row>
    <row r="1271" spans="1:22" ht="15" outlineLevel="1" collapsed="1" x14ac:dyDescent="0.25">
      <c r="A1271" s="186">
        <f>SUMIFS(МКД!$A$6:$A$389,МКД!$D$6:$D$389,Таблица1[[#This Row],[2]])</f>
        <v>216</v>
      </c>
      <c r="B1271" s="194">
        <f>SUMIFS(Таблица1[6],Таблица1[2],Таблица1[[#This Row],[2]])+SUMIFS(Таблица1[7],Таблица1[2],Таблица1[[#This Row],[2]])</f>
        <v>46.8</v>
      </c>
      <c r="C1271" s="185" t="s">
        <v>472</v>
      </c>
      <c r="D1271" s="196"/>
      <c r="E1271" s="196"/>
      <c r="F1271" s="196"/>
      <c r="G1271" s="168"/>
      <c r="H1271" s="197"/>
      <c r="I1271" s="196"/>
      <c r="J1271" s="196"/>
      <c r="K1271" s="196"/>
      <c r="L1271" s="196"/>
      <c r="M1271" s="196"/>
      <c r="N1271" s="196"/>
      <c r="O1271" s="196"/>
      <c r="P1271" s="196"/>
      <c r="Q1271" s="196"/>
      <c r="R1271" s="196"/>
      <c r="S1271" s="196"/>
      <c r="T1271" s="196"/>
      <c r="U1271" s="196"/>
      <c r="V1271" s="198"/>
    </row>
    <row r="1272" spans="1:22" hidden="1" outlineLevel="2" x14ac:dyDescent="0.25">
      <c r="A1272" s="186">
        <f>SUMIFS(МКД!$A$6:$A$389,МКД!$D$6:$D$389,Таблица1[[#This Row],[2]])</f>
        <v>216</v>
      </c>
      <c r="B1272" s="170"/>
      <c r="C1272" s="182" t="s">
        <v>472</v>
      </c>
      <c r="D1272" s="167" t="s">
        <v>2611</v>
      </c>
      <c r="E1272" s="167" t="s">
        <v>2277</v>
      </c>
      <c r="F1272" s="167">
        <v>1</v>
      </c>
      <c r="G1272" s="168">
        <f>SUMIFS(Таблица1[[#This Row],[8]:[19]],$I$5:$T$5,"Выкуп")</f>
        <v>46.8</v>
      </c>
      <c r="H1272" s="168">
        <f>SUMIFS(Таблица1[[#This Row],[8]:[19]],$I$5:$T$5,"Аренда")</f>
        <v>0</v>
      </c>
      <c r="I1272" s="169">
        <v>46.8</v>
      </c>
      <c r="J1272" s="169"/>
      <c r="K1272" s="169"/>
      <c r="L1272" s="169"/>
      <c r="M1272" s="169"/>
      <c r="N1272" s="169"/>
      <c r="O1272" s="169"/>
      <c r="P1272" s="169"/>
      <c r="Q1272" s="169"/>
      <c r="R1272" s="169"/>
      <c r="S1272" s="169"/>
      <c r="T1272" s="169"/>
      <c r="U1272" s="170"/>
      <c r="V1272" s="171"/>
    </row>
    <row r="1273" spans="1:22" ht="15" outlineLevel="1" collapsed="1" x14ac:dyDescent="0.25">
      <c r="A1273" s="186">
        <f>SUMIFS(МКД!$A$6:$A$389,МКД!$D$6:$D$389,Таблица1[[#This Row],[2]])</f>
        <v>217</v>
      </c>
      <c r="B1273" s="194">
        <f>SUMIFS(Таблица1[6],Таблица1[2],Таблица1[[#This Row],[2]])+SUMIFS(Таблица1[7],Таблица1[2],Таблица1[[#This Row],[2]])</f>
        <v>611.70000000000005</v>
      </c>
      <c r="C1273" s="185" t="s">
        <v>473</v>
      </c>
      <c r="D1273" s="196"/>
      <c r="E1273" s="196"/>
      <c r="F1273" s="196"/>
      <c r="G1273" s="168"/>
      <c r="H1273" s="197"/>
      <c r="I1273" s="196"/>
      <c r="J1273" s="196"/>
      <c r="K1273" s="196"/>
      <c r="L1273" s="196"/>
      <c r="M1273" s="196"/>
      <c r="N1273" s="196"/>
      <c r="O1273" s="196"/>
      <c r="P1273" s="196"/>
      <c r="Q1273" s="196"/>
      <c r="R1273" s="196"/>
      <c r="S1273" s="196"/>
      <c r="T1273" s="196"/>
      <c r="U1273" s="196"/>
      <c r="V1273" s="198"/>
    </row>
    <row r="1274" spans="1:22" hidden="1" outlineLevel="2" x14ac:dyDescent="0.25">
      <c r="A1274" s="186">
        <f>SUMIFS(МКД!$A$6:$A$389,МКД!$D$6:$D$389,Таблица1[[#This Row],[2]])</f>
        <v>217</v>
      </c>
      <c r="B1274" s="170"/>
      <c r="C1274" s="182" t="s">
        <v>473</v>
      </c>
      <c r="D1274" s="167" t="s">
        <v>138</v>
      </c>
      <c r="E1274" s="167" t="s">
        <v>1950</v>
      </c>
      <c r="F1274" s="167">
        <v>1</v>
      </c>
      <c r="G1274" s="168">
        <f>SUMIFS(Таблица1[[#This Row],[8]:[19]],$I$5:$T$5,"Выкуп")</f>
        <v>263.3</v>
      </c>
      <c r="H1274" s="168">
        <f>SUMIFS(Таблица1[[#This Row],[8]:[19]],$I$5:$T$5,"Аренда")</f>
        <v>0</v>
      </c>
      <c r="I1274" s="169">
        <v>263.3</v>
      </c>
      <c r="J1274" s="169"/>
      <c r="K1274" s="169"/>
      <c r="L1274" s="169"/>
      <c r="M1274" s="169"/>
      <c r="N1274" s="169"/>
      <c r="O1274" s="169"/>
      <c r="P1274" s="169"/>
      <c r="Q1274" s="169"/>
      <c r="R1274" s="169"/>
      <c r="S1274" s="169"/>
      <c r="T1274" s="169"/>
      <c r="U1274" s="170"/>
      <c r="V1274" s="171"/>
    </row>
    <row r="1275" spans="1:22" hidden="1" outlineLevel="2" x14ac:dyDescent="0.25">
      <c r="A1275" s="186">
        <f>SUMIFS(МКД!$A$6:$A$389,МКД!$D$6:$D$389,Таблица1[[#This Row],[2]])</f>
        <v>217</v>
      </c>
      <c r="B1275" s="168"/>
      <c r="C1275" s="182" t="s">
        <v>473</v>
      </c>
      <c r="D1275" s="167" t="s">
        <v>1477</v>
      </c>
      <c r="E1275" s="167" t="s">
        <v>2523</v>
      </c>
      <c r="F1275" s="167">
        <v>1</v>
      </c>
      <c r="G1275" s="168">
        <f>SUMIFS(Таблица1[[#This Row],[8]:[19]],$I$5:$T$5,"Выкуп")</f>
        <v>12.3</v>
      </c>
      <c r="H1275" s="168">
        <f>SUMIFS(Таблица1[[#This Row],[8]:[19]],$I$5:$T$5,"Аренда")</f>
        <v>0</v>
      </c>
      <c r="I1275" s="169">
        <v>12.3</v>
      </c>
      <c r="J1275" s="169"/>
      <c r="K1275" s="169"/>
      <c r="L1275" s="169"/>
      <c r="M1275" s="169"/>
      <c r="N1275" s="169"/>
      <c r="O1275" s="169"/>
      <c r="P1275" s="169"/>
      <c r="Q1275" s="169"/>
      <c r="R1275" s="169"/>
      <c r="S1275" s="169"/>
      <c r="T1275" s="169"/>
      <c r="U1275" s="170"/>
      <c r="V1275" s="171"/>
    </row>
    <row r="1276" spans="1:22" hidden="1" outlineLevel="2" x14ac:dyDescent="0.25">
      <c r="A1276" s="186">
        <f>SUMIFS(МКД!$A$6:$A$389,МКД!$D$6:$D$389,Таблица1[[#This Row],[2]])</f>
        <v>217</v>
      </c>
      <c r="B1276" s="168"/>
      <c r="C1276" s="182" t="s">
        <v>473</v>
      </c>
      <c r="D1276" s="167" t="s">
        <v>1053</v>
      </c>
      <c r="E1276" s="167" t="s">
        <v>1949</v>
      </c>
      <c r="F1276" s="167">
        <v>1</v>
      </c>
      <c r="G1276" s="168">
        <f>SUMIFS(Таблица1[[#This Row],[8]:[19]],$I$5:$T$5,"Выкуп")</f>
        <v>29</v>
      </c>
      <c r="H1276" s="168">
        <f>SUMIFS(Таблица1[[#This Row],[8]:[19]],$I$5:$T$5,"Аренда")</f>
        <v>0</v>
      </c>
      <c r="I1276" s="169">
        <v>29</v>
      </c>
      <c r="J1276" s="169"/>
      <c r="K1276" s="169"/>
      <c r="L1276" s="169"/>
      <c r="M1276" s="169"/>
      <c r="N1276" s="169"/>
      <c r="O1276" s="169"/>
      <c r="P1276" s="169"/>
      <c r="Q1276" s="169"/>
      <c r="R1276" s="169"/>
      <c r="S1276" s="169"/>
      <c r="T1276" s="169"/>
      <c r="U1276" s="170"/>
      <c r="V1276" s="171"/>
    </row>
    <row r="1277" spans="1:22" hidden="1" outlineLevel="2" x14ac:dyDescent="0.25">
      <c r="A1277" s="186">
        <f>SUMIFS(МКД!$A$6:$A$389,МКД!$D$6:$D$389,Таблица1[[#This Row],[2]])</f>
        <v>217</v>
      </c>
      <c r="B1277" s="168"/>
      <c r="C1277" s="182" t="s">
        <v>473</v>
      </c>
      <c r="D1277" s="167" t="s">
        <v>1053</v>
      </c>
      <c r="E1277" s="167" t="s">
        <v>835</v>
      </c>
      <c r="F1277" s="167"/>
      <c r="G1277" s="168">
        <f>SUMIFS(Таблица1[[#This Row],[8]:[19]],$I$5:$T$5,"Выкуп")</f>
        <v>64.7</v>
      </c>
      <c r="H1277" s="168">
        <f>SUMIFS(Таблица1[[#This Row],[8]:[19]],$I$5:$T$5,"Аренда")</f>
        <v>0</v>
      </c>
      <c r="I1277" s="169"/>
      <c r="J1277" s="169"/>
      <c r="K1277" s="169">
        <v>64.7</v>
      </c>
      <c r="L1277" s="167"/>
      <c r="M1277" s="169"/>
      <c r="N1277" s="169"/>
      <c r="O1277" s="169"/>
      <c r="P1277" s="169"/>
      <c r="Q1277" s="169"/>
      <c r="R1277" s="169"/>
      <c r="S1277" s="169"/>
      <c r="T1277" s="169"/>
      <c r="U1277" s="170"/>
      <c r="V1277" s="171"/>
    </row>
    <row r="1278" spans="1:22" hidden="1" outlineLevel="2" x14ac:dyDescent="0.25">
      <c r="A1278" s="186">
        <f>SUMIFS(МКД!$A$6:$A$389,МКД!$D$6:$D$389,Таблица1[[#This Row],[2]])</f>
        <v>217</v>
      </c>
      <c r="B1278" s="168"/>
      <c r="C1278" s="182" t="s">
        <v>473</v>
      </c>
      <c r="D1278" s="167" t="s">
        <v>1053</v>
      </c>
      <c r="E1278" s="167" t="s">
        <v>2793</v>
      </c>
      <c r="F1278" s="167"/>
      <c r="G1278" s="168">
        <f>SUMIFS(Таблица1[[#This Row],[8]:[19]],$I$5:$T$5,"Выкуп")</f>
        <v>242.4</v>
      </c>
      <c r="H1278" s="168">
        <f>SUMIFS(Таблица1[[#This Row],[8]:[19]],$I$5:$T$5,"Аренда")</f>
        <v>0</v>
      </c>
      <c r="I1278" s="169"/>
      <c r="J1278" s="169"/>
      <c r="K1278" s="169"/>
      <c r="L1278" s="167"/>
      <c r="M1278" s="169">
        <v>242.4</v>
      </c>
      <c r="N1278" s="169"/>
      <c r="O1278" s="169"/>
      <c r="P1278" s="169"/>
      <c r="Q1278" s="169"/>
      <c r="R1278" s="169"/>
      <c r="S1278" s="169"/>
      <c r="T1278" s="169"/>
      <c r="U1278" s="170"/>
      <c r="V1278" s="171"/>
    </row>
    <row r="1279" spans="1:22" ht="15" outlineLevel="1" collapsed="1" x14ac:dyDescent="0.25">
      <c r="A1279" s="186">
        <f>SUMIFS(МКД!$A$6:$A$389,МКД!$D$6:$D$389,Таблица1[[#This Row],[2]])</f>
        <v>218</v>
      </c>
      <c r="B1279" s="194">
        <f>SUMIFS(Таблица1[6],Таблица1[2],Таблица1[[#This Row],[2]])+SUMIFS(Таблица1[7],Таблица1[2],Таблица1[[#This Row],[2]])</f>
        <v>0</v>
      </c>
      <c r="C1279" s="185" t="s">
        <v>474</v>
      </c>
      <c r="D1279" s="196"/>
      <c r="E1279" s="196"/>
      <c r="F1279" s="196"/>
      <c r="G1279" s="168"/>
      <c r="H1279" s="197"/>
      <c r="I1279" s="196"/>
      <c r="J1279" s="196"/>
      <c r="K1279" s="196"/>
      <c r="L1279" s="196"/>
      <c r="M1279" s="196"/>
      <c r="N1279" s="196"/>
      <c r="O1279" s="196"/>
      <c r="P1279" s="196"/>
      <c r="Q1279" s="196"/>
      <c r="R1279" s="196"/>
      <c r="S1279" s="196"/>
      <c r="T1279" s="196"/>
      <c r="U1279" s="196"/>
      <c r="V1279" s="198"/>
    </row>
    <row r="1280" spans="1:22" ht="15" hidden="1" outlineLevel="2" x14ac:dyDescent="0.25">
      <c r="A1280" s="186">
        <f>SUMIFS(МКД!$A$6:$A$389,МКД!$D$6:$D$389,Таблица1[[#This Row],[2]])</f>
        <v>218</v>
      </c>
      <c r="B1280" s="196"/>
      <c r="C1280" s="182" t="s">
        <v>474</v>
      </c>
      <c r="D1280" s="196"/>
      <c r="E1280" s="196"/>
      <c r="F1280" s="196"/>
      <c r="G1280" s="168">
        <f>SUMIFS(Таблица1[[#This Row],[8]:[19]],$I$5:$T$5,"Выкуп")</f>
        <v>0</v>
      </c>
      <c r="H1280" s="168">
        <f>SUMIFS(Таблица1[[#This Row],[8]:[19]],$I$5:$T$5,"Аренда")</f>
        <v>0</v>
      </c>
      <c r="I1280" s="196"/>
      <c r="J1280" s="196"/>
      <c r="K1280" s="196"/>
      <c r="L1280" s="196"/>
      <c r="M1280" s="196"/>
      <c r="N1280" s="196"/>
      <c r="O1280" s="196"/>
      <c r="P1280" s="196"/>
      <c r="Q1280" s="196"/>
      <c r="R1280" s="196"/>
      <c r="S1280" s="196"/>
      <c r="T1280" s="196"/>
      <c r="U1280" s="196"/>
      <c r="V1280" s="198"/>
    </row>
    <row r="1281" spans="1:22" ht="15" outlineLevel="1" collapsed="1" x14ac:dyDescent="0.25">
      <c r="A1281" s="186">
        <f>SUMIFS(МКД!$A$6:$A$389,МКД!$D$6:$D$389,Таблица1[[#This Row],[2]])</f>
        <v>219</v>
      </c>
      <c r="B1281" s="194">
        <f>SUMIFS(Таблица1[6],Таблица1[2],Таблица1[[#This Row],[2]])+SUMIFS(Таблица1[7],Таблица1[2],Таблица1[[#This Row],[2]])</f>
        <v>105.1</v>
      </c>
      <c r="C1281" s="185" t="s">
        <v>475</v>
      </c>
      <c r="D1281" s="196"/>
      <c r="E1281" s="196"/>
      <c r="F1281" s="196"/>
      <c r="G1281" s="168"/>
      <c r="H1281" s="197"/>
      <c r="I1281" s="196"/>
      <c r="J1281" s="196"/>
      <c r="K1281" s="196"/>
      <c r="L1281" s="196"/>
      <c r="M1281" s="196"/>
      <c r="N1281" s="196"/>
      <c r="O1281" s="196"/>
      <c r="P1281" s="196"/>
      <c r="Q1281" s="196"/>
      <c r="R1281" s="196"/>
      <c r="S1281" s="196"/>
      <c r="T1281" s="196"/>
      <c r="U1281" s="196"/>
      <c r="V1281" s="198"/>
    </row>
    <row r="1282" spans="1:22" ht="15" hidden="1" outlineLevel="2" x14ac:dyDescent="0.25">
      <c r="A1282" s="186">
        <f>SUMIFS(МКД!$A$6:$A$389,МКД!$D$6:$D$389,Таблица1[[#This Row],[2]])</f>
        <v>219</v>
      </c>
      <c r="B1282" s="196"/>
      <c r="C1282" s="182" t="s">
        <v>475</v>
      </c>
      <c r="D1282" s="373" t="s">
        <v>1053</v>
      </c>
      <c r="E1282" s="167" t="s">
        <v>2828</v>
      </c>
      <c r="F1282" s="196"/>
      <c r="G1282" s="168">
        <f>SUMIFS(Таблица1[[#This Row],[8]:[19]],$I$5:$T$5,"Выкуп")</f>
        <v>105.1</v>
      </c>
      <c r="H1282" s="168">
        <f>SUMIFS(Таблица1[[#This Row],[8]:[19]],$I$5:$T$5,"Аренда")</f>
        <v>0</v>
      </c>
      <c r="I1282" s="196"/>
      <c r="J1282" s="196"/>
      <c r="K1282" s="196"/>
      <c r="L1282" s="196"/>
      <c r="M1282" s="196">
        <v>105.1</v>
      </c>
      <c r="N1282" s="196"/>
      <c r="O1282" s="196"/>
      <c r="P1282" s="196"/>
      <c r="Q1282" s="196"/>
      <c r="R1282" s="196"/>
      <c r="S1282" s="196"/>
      <c r="T1282" s="196"/>
      <c r="U1282" s="196"/>
      <c r="V1282" s="198"/>
    </row>
    <row r="1283" spans="1:22" ht="15" outlineLevel="1" collapsed="1" x14ac:dyDescent="0.25">
      <c r="A1283" s="186">
        <f>SUMIFS(МКД!$A$6:$A$389,МКД!$D$6:$D$389,Таблица1[[#This Row],[2]])</f>
        <v>220</v>
      </c>
      <c r="B1283" s="194">
        <f>SUMIFS(Таблица1[6],Таблица1[2],Таблица1[[#This Row],[2]])+SUMIFS(Таблица1[7],Таблица1[2],Таблица1[[#This Row],[2]])</f>
        <v>80.099999999999994</v>
      </c>
      <c r="C1283" s="185" t="s">
        <v>476</v>
      </c>
      <c r="D1283" s="196"/>
      <c r="E1283" s="196"/>
      <c r="F1283" s="196"/>
      <c r="G1283" s="168"/>
      <c r="H1283" s="197"/>
      <c r="I1283" s="196"/>
      <c r="J1283" s="196"/>
      <c r="K1283" s="196"/>
      <c r="L1283" s="196"/>
      <c r="M1283" s="196"/>
      <c r="N1283" s="196"/>
      <c r="O1283" s="196"/>
      <c r="P1283" s="196"/>
      <c r="Q1283" s="196"/>
      <c r="R1283" s="196"/>
      <c r="S1283" s="196"/>
      <c r="T1283" s="196"/>
      <c r="U1283" s="196"/>
      <c r="V1283" s="198"/>
    </row>
    <row r="1284" spans="1:22" hidden="1" outlineLevel="2" x14ac:dyDescent="0.25">
      <c r="A1284" s="186">
        <f>SUMIFS(МКД!$A$6:$A$389,МКД!$D$6:$D$389,Таблица1[[#This Row],[2]])</f>
        <v>220</v>
      </c>
      <c r="B1284" s="170"/>
      <c r="C1284" s="182" t="s">
        <v>476</v>
      </c>
      <c r="D1284" s="167" t="s">
        <v>1053</v>
      </c>
      <c r="E1284" s="167" t="s">
        <v>2612</v>
      </c>
      <c r="F1284" s="167"/>
      <c r="G1284" s="168">
        <f>SUMIFS(Таблица1[[#This Row],[8]:[19]],$I$5:$T$5,"Выкуп")</f>
        <v>80.099999999999994</v>
      </c>
      <c r="H1284" s="168">
        <f>SUMIFS(Таблица1[[#This Row],[8]:[19]],$I$5:$T$5,"Аренда")</f>
        <v>0</v>
      </c>
      <c r="I1284" s="169"/>
      <c r="J1284" s="169"/>
      <c r="K1284" s="319">
        <v>80.099999999999994</v>
      </c>
      <c r="L1284" s="169">
        <f>81.4*0</f>
        <v>0</v>
      </c>
      <c r="M1284" s="169"/>
      <c r="N1284" s="169"/>
      <c r="O1284" s="169"/>
      <c r="P1284" s="169"/>
      <c r="Q1284" s="169"/>
      <c r="R1284" s="169"/>
      <c r="S1284" s="169"/>
      <c r="T1284" s="169"/>
      <c r="U1284" s="170"/>
      <c r="V1284" s="171"/>
    </row>
    <row r="1285" spans="1:22" ht="15" outlineLevel="1" collapsed="1" x14ac:dyDescent="0.25">
      <c r="A1285" s="186">
        <f>SUMIFS(МКД!$A$6:$A$389,МКД!$D$6:$D$389,Таблица1[[#This Row],[2]])</f>
        <v>221</v>
      </c>
      <c r="B1285" s="194">
        <f>SUMIFS(Таблица1[6],Таблица1[2],Таблица1[[#This Row],[2]])+SUMIFS(Таблица1[7],Таблица1[2],Таблица1[[#This Row],[2]])</f>
        <v>232.2</v>
      </c>
      <c r="C1285" s="185" t="s">
        <v>477</v>
      </c>
      <c r="D1285" s="196"/>
      <c r="E1285" s="196"/>
      <c r="F1285" s="196"/>
      <c r="G1285" s="168"/>
      <c r="H1285" s="197"/>
      <c r="I1285" s="196"/>
      <c r="J1285" s="196"/>
      <c r="K1285" s="196"/>
      <c r="L1285" s="196"/>
      <c r="M1285" s="196"/>
      <c r="N1285" s="196"/>
      <c r="O1285" s="196"/>
      <c r="P1285" s="196"/>
      <c r="Q1285" s="196"/>
      <c r="R1285" s="196"/>
      <c r="S1285" s="196"/>
      <c r="T1285" s="196"/>
      <c r="U1285" s="196"/>
      <c r="V1285" s="198"/>
    </row>
    <row r="1286" spans="1:22" hidden="1" outlineLevel="2" x14ac:dyDescent="0.25">
      <c r="A1286" s="186">
        <f>SUMIFS(МКД!$A$6:$A$389,МКД!$D$6:$D$389,Таблица1[[#This Row],[2]])</f>
        <v>221</v>
      </c>
      <c r="B1286" s="170"/>
      <c r="C1286" s="182" t="s">
        <v>477</v>
      </c>
      <c r="D1286" s="167" t="s">
        <v>295</v>
      </c>
      <c r="E1286" s="167" t="s">
        <v>761</v>
      </c>
      <c r="F1286" s="167">
        <v>1</v>
      </c>
      <c r="G1286" s="168">
        <f>SUMIFS(Таблица1[[#This Row],[8]:[19]],$I$5:$T$5,"Выкуп")</f>
        <v>45.5</v>
      </c>
      <c r="H1286" s="168">
        <f>SUMIFS(Таблица1[[#This Row],[8]:[19]],$I$5:$T$5,"Аренда")</f>
        <v>0</v>
      </c>
      <c r="I1286" s="169">
        <v>45.5</v>
      </c>
      <c r="J1286" s="169"/>
      <c r="K1286" s="169"/>
      <c r="L1286" s="169"/>
      <c r="M1286" s="169"/>
      <c r="N1286" s="169"/>
      <c r="O1286" s="169"/>
      <c r="P1286" s="169"/>
      <c r="Q1286" s="169"/>
      <c r="R1286" s="169"/>
      <c r="S1286" s="169"/>
      <c r="T1286" s="169"/>
      <c r="U1286" s="170"/>
      <c r="V1286" s="171"/>
    </row>
    <row r="1287" spans="1:22" hidden="1" outlineLevel="2" x14ac:dyDescent="0.25">
      <c r="A1287" s="186">
        <f>SUMIFS(МКД!$A$6:$A$389,МКД!$D$6:$D$389,Таблица1[[#This Row],[2]])</f>
        <v>221</v>
      </c>
      <c r="B1287" s="170"/>
      <c r="C1287" s="182" t="s">
        <v>477</v>
      </c>
      <c r="D1287" s="167" t="s">
        <v>214</v>
      </c>
      <c r="E1287" s="167"/>
      <c r="F1287" s="167"/>
      <c r="G1287" s="168">
        <f>SUMIFS(Таблица1[[#This Row],[8]:[19]],$I$5:$T$5,"Выкуп")</f>
        <v>15</v>
      </c>
      <c r="H1287" s="168">
        <f>SUMIFS(Таблица1[[#This Row],[8]:[19]],$I$5:$T$5,"Аренда")</f>
        <v>0</v>
      </c>
      <c r="I1287" s="169">
        <v>15</v>
      </c>
      <c r="J1287" s="169"/>
      <c r="K1287" s="169"/>
      <c r="L1287" s="169"/>
      <c r="M1287" s="169"/>
      <c r="N1287" s="169"/>
      <c r="O1287" s="169"/>
      <c r="P1287" s="169"/>
      <c r="Q1287" s="169"/>
      <c r="R1287" s="169"/>
      <c r="S1287" s="169"/>
      <c r="T1287" s="169"/>
      <c r="U1287" s="170"/>
      <c r="V1287" s="171"/>
    </row>
    <row r="1288" spans="1:22" hidden="1" outlineLevel="2" x14ac:dyDescent="0.25">
      <c r="A1288" s="186">
        <f>SUMIFS(МКД!$A$6:$A$389,МКД!$D$6:$D$389,Таблица1[[#This Row],[2]])</f>
        <v>221</v>
      </c>
      <c r="B1288" s="170"/>
      <c r="C1288" s="182" t="s">
        <v>477</v>
      </c>
      <c r="D1288" s="167" t="s">
        <v>1053</v>
      </c>
      <c r="E1288" s="167" t="s">
        <v>2827</v>
      </c>
      <c r="F1288" s="167"/>
      <c r="G1288" s="168">
        <f>SUMIFS(Таблица1[[#This Row],[8]:[19]],$I$5:$T$5,"Выкуп")</f>
        <v>171.7</v>
      </c>
      <c r="H1288" s="168">
        <f>SUMIFS(Таблица1[[#This Row],[8]:[19]],$I$5:$T$5,"Аренда")</f>
        <v>0</v>
      </c>
      <c r="I1288" s="169"/>
      <c r="J1288" s="169"/>
      <c r="K1288" s="169"/>
      <c r="L1288" s="169"/>
      <c r="M1288" s="169">
        <v>171.7</v>
      </c>
      <c r="N1288" s="169"/>
      <c r="O1288" s="169"/>
      <c r="P1288" s="169"/>
      <c r="Q1288" s="169"/>
      <c r="R1288" s="169"/>
      <c r="S1288" s="169"/>
      <c r="T1288" s="169"/>
      <c r="U1288" s="170"/>
      <c r="V1288" s="171"/>
    </row>
    <row r="1289" spans="1:22" ht="15" outlineLevel="1" collapsed="1" x14ac:dyDescent="0.25">
      <c r="A1289" s="186">
        <f>SUMIFS(МКД!$A$6:$A$389,МКД!$D$6:$D$389,Таблица1[[#This Row],[2]])</f>
        <v>225</v>
      </c>
      <c r="B1289" s="194">
        <f>SUMIFS(Таблица1[6],Таблица1[2],Таблица1[[#This Row],[2]])+SUMIFS(Таблица1[7],Таблица1[2],Таблица1[[#This Row],[2]])</f>
        <v>188.2</v>
      </c>
      <c r="C1289" s="185" t="s">
        <v>478</v>
      </c>
      <c r="D1289" s="196"/>
      <c r="E1289" s="196"/>
      <c r="F1289" s="196"/>
      <c r="G1289" s="168"/>
      <c r="H1289" s="197"/>
      <c r="I1289" s="196"/>
      <c r="J1289" s="196"/>
      <c r="K1289" s="196"/>
      <c r="L1289" s="196"/>
      <c r="M1289" s="196"/>
      <c r="N1289" s="196"/>
      <c r="O1289" s="196"/>
      <c r="P1289" s="196"/>
      <c r="Q1289" s="196"/>
      <c r="R1289" s="196"/>
      <c r="S1289" s="196"/>
      <c r="T1289" s="196"/>
      <c r="U1289" s="196"/>
      <c r="V1289" s="198"/>
    </row>
    <row r="1290" spans="1:22" hidden="1" outlineLevel="2" x14ac:dyDescent="0.25">
      <c r="A1290" s="186">
        <f>SUMIFS(МКД!$A$6:$A$389,МКД!$D$6:$D$389,Таблица1[[#This Row],[2]])</f>
        <v>225</v>
      </c>
      <c r="B1290" s="170"/>
      <c r="C1290" s="182" t="s">
        <v>478</v>
      </c>
      <c r="D1290" s="167" t="s">
        <v>2280</v>
      </c>
      <c r="E1290" s="167" t="s">
        <v>2281</v>
      </c>
      <c r="F1290" s="167">
        <v>1</v>
      </c>
      <c r="G1290" s="168">
        <f>SUMIFS(Таблица1[[#This Row],[8]:[19]],$I$5:$T$5,"Выкуп")</f>
        <v>0</v>
      </c>
      <c r="H1290" s="168">
        <f>SUMIFS(Таблица1[[#This Row],[8]:[19]],$I$5:$T$5,"Аренда")</f>
        <v>0</v>
      </c>
      <c r="I1290" s="169">
        <f>47*0</f>
        <v>0</v>
      </c>
      <c r="J1290" s="169"/>
      <c r="K1290" s="167"/>
      <c r="L1290" s="169"/>
      <c r="M1290" s="169"/>
      <c r="N1290" s="169"/>
      <c r="O1290" s="169"/>
      <c r="P1290" s="169"/>
      <c r="Q1290" s="169"/>
      <c r="R1290" s="169"/>
      <c r="S1290" s="167"/>
      <c r="T1290" s="169"/>
      <c r="U1290" s="170"/>
      <c r="V1290" s="171"/>
    </row>
    <row r="1291" spans="1:22" hidden="1" outlineLevel="2" x14ac:dyDescent="0.25">
      <c r="A1291" s="186">
        <f>SUMIFS(МКД!$A$6:$A$389,МКД!$D$6:$D$389,Таблица1[[#This Row],[2]])</f>
        <v>225</v>
      </c>
      <c r="B1291" s="170"/>
      <c r="C1291" s="182" t="s">
        <v>478</v>
      </c>
      <c r="D1291" s="167" t="s">
        <v>2279</v>
      </c>
      <c r="E1291" s="167" t="s">
        <v>1905</v>
      </c>
      <c r="F1291" s="167">
        <v>1</v>
      </c>
      <c r="G1291" s="168">
        <f>SUMIFS(Таблица1[[#This Row],[8]:[19]],$I$5:$T$5,"Выкуп")</f>
        <v>131.6</v>
      </c>
      <c r="H1291" s="168">
        <f>SUMIFS(Таблица1[[#This Row],[8]:[19]],$I$5:$T$5,"Аренда")</f>
        <v>0</v>
      </c>
      <c r="I1291" s="169">
        <v>46</v>
      </c>
      <c r="J1291" s="169"/>
      <c r="K1291" s="167">
        <v>84.1</v>
      </c>
      <c r="L1291" s="169"/>
      <c r="M1291" s="169"/>
      <c r="N1291" s="169"/>
      <c r="O1291" s="169"/>
      <c r="P1291" s="169"/>
      <c r="Q1291" s="169"/>
      <c r="R1291" s="169"/>
      <c r="S1291" s="167">
        <v>1.5</v>
      </c>
      <c r="T1291" s="169"/>
      <c r="U1291" s="170"/>
      <c r="V1291" s="171"/>
    </row>
    <row r="1292" spans="1:22" hidden="1" outlineLevel="2" x14ac:dyDescent="0.25">
      <c r="A1292" s="186">
        <f>SUMIFS(МКД!$A$6:$A$389,МКД!$D$6:$D$389,Таблица1[[#This Row],[2]])</f>
        <v>225</v>
      </c>
      <c r="B1292" s="170"/>
      <c r="C1292" s="182" t="s">
        <v>478</v>
      </c>
      <c r="D1292" s="167" t="s">
        <v>2808</v>
      </c>
      <c r="E1292" s="167" t="s">
        <v>215</v>
      </c>
      <c r="F1292" s="167"/>
      <c r="G1292" s="168">
        <f>SUMIFS(Таблица1[[#This Row],[8]:[19]],$I$5:$T$5,"Выкуп")</f>
        <v>56.6</v>
      </c>
      <c r="H1292" s="168">
        <f>SUMIFS(Таблица1[[#This Row],[8]:[19]],$I$5:$T$5,"Аренда")</f>
        <v>0</v>
      </c>
      <c r="I1292" s="169">
        <v>56.6</v>
      </c>
      <c r="J1292" s="169"/>
      <c r="K1292" s="169"/>
      <c r="L1292" s="169"/>
      <c r="M1292" s="169"/>
      <c r="N1292" s="169"/>
      <c r="O1292" s="169"/>
      <c r="P1292" s="169"/>
      <c r="Q1292" s="169"/>
      <c r="R1292" s="169"/>
      <c r="S1292" s="169"/>
      <c r="T1292" s="169"/>
      <c r="U1292" s="170"/>
      <c r="V1292" s="171"/>
    </row>
    <row r="1293" spans="1:22" hidden="1" outlineLevel="2" x14ac:dyDescent="0.25">
      <c r="A1293" s="186">
        <f>SUMIFS(МКД!$A$6:$A$389,МКД!$D$6:$D$389,Таблица1[[#This Row],[2]])</f>
        <v>225</v>
      </c>
      <c r="B1293" s="168"/>
      <c r="C1293" s="182" t="s">
        <v>478</v>
      </c>
      <c r="D1293" s="167"/>
      <c r="E1293" s="167" t="s">
        <v>1864</v>
      </c>
      <c r="F1293" s="167">
        <v>1</v>
      </c>
      <c r="G1293" s="168">
        <f>SUMIFS(Таблица1[[#This Row],[8]:[19]],$I$5:$T$5,"Выкуп")</f>
        <v>0</v>
      </c>
      <c r="H1293" s="168">
        <f>SUMIFS(Таблица1[[#This Row],[8]:[19]],$I$5:$T$5,"Аренда")</f>
        <v>0</v>
      </c>
      <c r="I1293" s="169"/>
      <c r="J1293" s="169"/>
      <c r="K1293" s="169"/>
      <c r="L1293" s="169"/>
      <c r="M1293" s="169"/>
      <c r="N1293" s="169"/>
      <c r="O1293" s="167"/>
      <c r="P1293" s="169">
        <f>12.4*0</f>
        <v>0</v>
      </c>
      <c r="Q1293" s="169"/>
      <c r="R1293" s="169"/>
      <c r="S1293" s="169"/>
      <c r="T1293" s="169"/>
      <c r="U1293" s="170"/>
      <c r="V1293" s="171"/>
    </row>
    <row r="1294" spans="1:22" hidden="1" outlineLevel="2" x14ac:dyDescent="0.25">
      <c r="A1294" s="186">
        <f>SUMIFS(МКД!$A$6:$A$389,МКД!$D$6:$D$389,Таблица1[[#This Row],[2]])</f>
        <v>225</v>
      </c>
      <c r="B1294" s="168"/>
      <c r="C1294" s="182" t="s">
        <v>478</v>
      </c>
      <c r="D1294" s="167" t="s">
        <v>296</v>
      </c>
      <c r="E1294" s="167" t="s">
        <v>1372</v>
      </c>
      <c r="F1294" s="167">
        <v>1</v>
      </c>
      <c r="G1294" s="168">
        <f>SUMIFS(Таблица1[[#This Row],[8]:[19]],$I$5:$T$5,"Выкуп")</f>
        <v>0</v>
      </c>
      <c r="H1294" s="168">
        <f>SUMIFS(Таблица1[[#This Row],[8]:[19]],$I$5:$T$5,"Аренда")</f>
        <v>0</v>
      </c>
      <c r="I1294" s="169"/>
      <c r="J1294" s="169"/>
      <c r="K1294" s="169"/>
      <c r="L1294" s="169"/>
      <c r="M1294" s="169"/>
      <c r="N1294" s="169"/>
      <c r="O1294" s="167"/>
      <c r="P1294" s="169"/>
      <c r="Q1294" s="169"/>
      <c r="R1294" s="169"/>
      <c r="S1294" s="169"/>
      <c r="T1294" s="169"/>
      <c r="U1294" s="170"/>
      <c r="V1294" s="171"/>
    </row>
    <row r="1295" spans="1:22" ht="15" outlineLevel="1" collapsed="1" x14ac:dyDescent="0.25">
      <c r="A1295" s="186">
        <f>SUMIFS(МКД!$A$6:$A$389,МКД!$D$6:$D$389,Таблица1[[#This Row],[2]])</f>
        <v>233</v>
      </c>
      <c r="B1295" s="194">
        <f>SUMIFS(Таблица1[6],Таблица1[2],Таблица1[[#This Row],[2]])+SUMIFS(Таблица1[7],Таблица1[2],Таблица1[[#This Row],[2]])</f>
        <v>0</v>
      </c>
      <c r="C1295" s="185" t="s">
        <v>714</v>
      </c>
      <c r="D1295" s="196"/>
      <c r="E1295" s="196"/>
      <c r="F1295" s="196"/>
      <c r="G1295" s="168"/>
      <c r="H1295" s="197"/>
      <c r="I1295" s="196"/>
      <c r="J1295" s="196"/>
      <c r="K1295" s="196"/>
      <c r="L1295" s="196"/>
      <c r="M1295" s="196"/>
      <c r="N1295" s="196"/>
      <c r="O1295" s="196"/>
      <c r="P1295" s="196"/>
      <c r="Q1295" s="196"/>
      <c r="R1295" s="196"/>
      <c r="S1295" s="196"/>
      <c r="T1295" s="196"/>
      <c r="U1295" s="196"/>
      <c r="V1295" s="198"/>
    </row>
    <row r="1296" spans="1:22" hidden="1" outlineLevel="2" x14ac:dyDescent="0.25">
      <c r="A1296" s="186">
        <f>SUMIFS(МКД!$A$6:$A$389,МКД!$D$6:$D$389,Таблица1[[#This Row],[2]])</f>
        <v>233</v>
      </c>
      <c r="B1296" s="170"/>
      <c r="C1296" s="182" t="s">
        <v>714</v>
      </c>
      <c r="D1296" s="167"/>
      <c r="E1296" s="167"/>
      <c r="F1296" s="167"/>
      <c r="G1296" s="168">
        <f>SUMIFS(Таблица1[[#This Row],[8]:[19]],$I$5:$T$5,"Выкуп")</f>
        <v>0</v>
      </c>
      <c r="H1296" s="168">
        <f>SUMIFS(Таблица1[[#This Row],[8]:[19]],$I$5:$T$5,"Аренда")</f>
        <v>0</v>
      </c>
      <c r="I1296" s="169"/>
      <c r="J1296" s="169"/>
      <c r="K1296" s="167"/>
      <c r="L1296" s="169"/>
      <c r="M1296" s="169"/>
      <c r="N1296" s="169"/>
      <c r="O1296" s="169"/>
      <c r="P1296" s="169"/>
      <c r="Q1296" s="169"/>
      <c r="R1296" s="169"/>
      <c r="S1296" s="167"/>
      <c r="T1296" s="169"/>
      <c r="U1296" s="170"/>
      <c r="V1296" s="171"/>
    </row>
    <row r="1297" spans="1:22" ht="15" outlineLevel="1" collapsed="1" x14ac:dyDescent="0.25">
      <c r="A1297" s="186">
        <f>SUMIFS(МКД!$A$6:$A$389,МКД!$D$6:$D$389,Таблица1[[#This Row],[2]])</f>
        <v>234</v>
      </c>
      <c r="B1297" s="194">
        <f>SUMIFS(Таблица1[6],Таблица1[2],Таблица1[[#This Row],[2]])+SUMIFS(Таблица1[7],Таблица1[2],Таблица1[[#This Row],[2]])</f>
        <v>0</v>
      </c>
      <c r="C1297" s="185" t="s">
        <v>715</v>
      </c>
      <c r="D1297" s="196"/>
      <c r="E1297" s="196"/>
      <c r="F1297" s="196"/>
      <c r="G1297" s="168"/>
      <c r="H1297" s="197"/>
      <c r="I1297" s="196"/>
      <c r="J1297" s="196"/>
      <c r="K1297" s="196"/>
      <c r="L1297" s="196"/>
      <c r="M1297" s="196"/>
      <c r="N1297" s="196"/>
      <c r="O1297" s="196"/>
      <c r="P1297" s="196"/>
      <c r="Q1297" s="196"/>
      <c r="R1297" s="196"/>
      <c r="S1297" s="196"/>
      <c r="T1297" s="196"/>
      <c r="U1297" s="196"/>
      <c r="V1297" s="198"/>
    </row>
    <row r="1298" spans="1:22" hidden="1" outlineLevel="2" x14ac:dyDescent="0.25">
      <c r="A1298" s="186">
        <f>SUMIFS(МКД!$A$6:$A$389,МКД!$D$6:$D$389,Таблица1[[#This Row],[2]])</f>
        <v>234</v>
      </c>
      <c r="B1298" s="170"/>
      <c r="C1298" s="182" t="s">
        <v>715</v>
      </c>
      <c r="D1298" s="167"/>
      <c r="E1298" s="167"/>
      <c r="F1298" s="167"/>
      <c r="G1298" s="168">
        <f>SUMIFS(Таблица1[[#This Row],[8]:[19]],$I$5:$T$5,"Выкуп")</f>
        <v>0</v>
      </c>
      <c r="H1298" s="168">
        <f>SUMIFS(Таблица1[[#This Row],[8]:[19]],$I$5:$T$5,"Аренда")</f>
        <v>0</v>
      </c>
      <c r="I1298" s="169"/>
      <c r="J1298" s="169"/>
      <c r="K1298" s="167"/>
      <c r="L1298" s="169"/>
      <c r="M1298" s="169"/>
      <c r="N1298" s="169"/>
      <c r="O1298" s="169"/>
      <c r="P1298" s="169"/>
      <c r="Q1298" s="169"/>
      <c r="R1298" s="169"/>
      <c r="S1298" s="167"/>
      <c r="T1298" s="169"/>
      <c r="U1298" s="170"/>
      <c r="V1298" s="171"/>
    </row>
    <row r="1299" spans="1:22" ht="15" outlineLevel="1" collapsed="1" x14ac:dyDescent="0.25">
      <c r="A1299" s="186">
        <f>SUMIFS(МКД!$A$6:$A$389,МКД!$D$6:$D$389,Таблица1[[#This Row],[2]])</f>
        <v>235</v>
      </c>
      <c r="B1299" s="194">
        <f>SUMIFS(Таблица1[6],Таблица1[2],Таблица1[[#This Row],[2]])+SUMIFS(Таблица1[7],Таблица1[2],Таблица1[[#This Row],[2]])</f>
        <v>0</v>
      </c>
      <c r="C1299" s="185" t="s">
        <v>716</v>
      </c>
      <c r="D1299" s="196"/>
      <c r="E1299" s="196"/>
      <c r="F1299" s="196"/>
      <c r="G1299" s="168"/>
      <c r="H1299" s="197"/>
      <c r="I1299" s="196"/>
      <c r="J1299" s="196"/>
      <c r="K1299" s="196"/>
      <c r="L1299" s="196"/>
      <c r="M1299" s="196"/>
      <c r="N1299" s="196"/>
      <c r="O1299" s="196"/>
      <c r="P1299" s="196"/>
      <c r="Q1299" s="196"/>
      <c r="R1299" s="196"/>
      <c r="S1299" s="196"/>
      <c r="T1299" s="196"/>
      <c r="U1299" s="196"/>
      <c r="V1299" s="198"/>
    </row>
    <row r="1300" spans="1:22" hidden="1" outlineLevel="2" x14ac:dyDescent="0.25">
      <c r="A1300" s="186">
        <f>SUMIFS(МКД!$A$6:$A$389,МКД!$D$6:$D$389,Таблица1[[#This Row],[2]])</f>
        <v>235</v>
      </c>
      <c r="B1300" s="170"/>
      <c r="C1300" s="182" t="s">
        <v>716</v>
      </c>
      <c r="D1300" s="167"/>
      <c r="E1300" s="167"/>
      <c r="F1300" s="167"/>
      <c r="G1300" s="168">
        <f>SUMIFS(Таблица1[[#This Row],[8]:[19]],$I$5:$T$5,"Выкуп")</f>
        <v>0</v>
      </c>
      <c r="H1300" s="168">
        <f>SUMIFS(Таблица1[[#This Row],[8]:[19]],$I$5:$T$5,"Аренда")</f>
        <v>0</v>
      </c>
      <c r="I1300" s="169"/>
      <c r="J1300" s="169"/>
      <c r="K1300" s="167"/>
      <c r="L1300" s="169"/>
      <c r="M1300" s="169"/>
      <c r="N1300" s="169"/>
      <c r="O1300" s="169"/>
      <c r="P1300" s="169"/>
      <c r="Q1300" s="169"/>
      <c r="R1300" s="169"/>
      <c r="S1300" s="167"/>
      <c r="T1300" s="169"/>
      <c r="U1300" s="170"/>
      <c r="V1300" s="171"/>
    </row>
    <row r="1301" spans="1:22" ht="15" outlineLevel="1" collapsed="1" x14ac:dyDescent="0.25">
      <c r="A1301" s="186">
        <f>SUMIFS(МКД!$A$6:$A$389,МКД!$D$6:$D$389,Таблица1[[#This Row],[2]])</f>
        <v>236</v>
      </c>
      <c r="B1301" s="194">
        <f>SUMIFS(Таблица1[6],Таблица1[2],Таблица1[[#This Row],[2]])+SUMIFS(Таблица1[7],Таблица1[2],Таблица1[[#This Row],[2]])</f>
        <v>0</v>
      </c>
      <c r="C1301" s="185" t="s">
        <v>717</v>
      </c>
      <c r="D1301" s="196"/>
      <c r="E1301" s="196"/>
      <c r="F1301" s="196"/>
      <c r="G1301" s="168"/>
      <c r="H1301" s="197"/>
      <c r="I1301" s="196"/>
      <c r="J1301" s="196"/>
      <c r="K1301" s="196"/>
      <c r="L1301" s="196"/>
      <c r="M1301" s="196"/>
      <c r="N1301" s="196"/>
      <c r="O1301" s="196"/>
      <c r="P1301" s="196"/>
      <c r="Q1301" s="196"/>
      <c r="R1301" s="196"/>
      <c r="S1301" s="196"/>
      <c r="T1301" s="196"/>
      <c r="U1301" s="196"/>
      <c r="V1301" s="198"/>
    </row>
    <row r="1302" spans="1:22" hidden="1" outlineLevel="2" x14ac:dyDescent="0.25">
      <c r="A1302" s="186">
        <f>SUMIFS(МКД!$A$6:$A$389,МКД!$D$6:$D$389,Таблица1[[#This Row],[2]])</f>
        <v>236</v>
      </c>
      <c r="B1302" s="170"/>
      <c r="C1302" s="182" t="s">
        <v>717</v>
      </c>
      <c r="D1302" s="167"/>
      <c r="E1302" s="167"/>
      <c r="F1302" s="167"/>
      <c r="G1302" s="168">
        <f>SUMIFS(Таблица1[[#This Row],[8]:[19]],$I$5:$T$5,"Выкуп")</f>
        <v>0</v>
      </c>
      <c r="H1302" s="168">
        <f>SUMIFS(Таблица1[[#This Row],[8]:[19]],$I$5:$T$5,"Аренда")</f>
        <v>0</v>
      </c>
      <c r="I1302" s="169"/>
      <c r="J1302" s="169"/>
      <c r="K1302" s="167"/>
      <c r="L1302" s="169"/>
      <c r="M1302" s="169"/>
      <c r="N1302" s="169"/>
      <c r="O1302" s="169"/>
      <c r="P1302" s="169"/>
      <c r="Q1302" s="169"/>
      <c r="R1302" s="169"/>
      <c r="S1302" s="167"/>
      <c r="T1302" s="169"/>
      <c r="U1302" s="170"/>
      <c r="V1302" s="171"/>
    </row>
    <row r="1303" spans="1:22" ht="15" outlineLevel="1" collapsed="1" x14ac:dyDescent="0.25">
      <c r="A1303" s="186">
        <f>SUMIFS(МКД!$A$6:$A$389,МКД!$D$6:$D$389,Таблица1[[#This Row],[2]])</f>
        <v>237</v>
      </c>
      <c r="B1303" s="194">
        <f>SUMIFS(Таблица1[6],Таблица1[2],Таблица1[[#This Row],[2]])+SUMIFS(Таблица1[7],Таблица1[2],Таблица1[[#This Row],[2]])</f>
        <v>0</v>
      </c>
      <c r="C1303" s="185" t="s">
        <v>718</v>
      </c>
      <c r="D1303" s="196"/>
      <c r="E1303" s="196"/>
      <c r="F1303" s="196"/>
      <c r="G1303" s="168"/>
      <c r="H1303" s="197"/>
      <c r="I1303" s="196"/>
      <c r="J1303" s="196"/>
      <c r="K1303" s="196"/>
      <c r="L1303" s="196"/>
      <c r="M1303" s="196"/>
      <c r="N1303" s="196"/>
      <c r="O1303" s="196"/>
      <c r="P1303" s="196"/>
      <c r="Q1303" s="196"/>
      <c r="R1303" s="196"/>
      <c r="S1303" s="196"/>
      <c r="T1303" s="196"/>
      <c r="U1303" s="196"/>
      <c r="V1303" s="198"/>
    </row>
    <row r="1304" spans="1:22" hidden="1" outlineLevel="2" x14ac:dyDescent="0.25">
      <c r="A1304" s="186">
        <f>SUMIFS(МКД!$A$6:$A$389,МКД!$D$6:$D$389,Таблица1[[#This Row],[2]])</f>
        <v>237</v>
      </c>
      <c r="B1304" s="170"/>
      <c r="C1304" s="182" t="s">
        <v>718</v>
      </c>
      <c r="D1304" s="167"/>
      <c r="E1304" s="167"/>
      <c r="F1304" s="167"/>
      <c r="G1304" s="168">
        <f>SUMIFS(Таблица1[[#This Row],[8]:[19]],$I$5:$T$5,"Выкуп")</f>
        <v>0</v>
      </c>
      <c r="H1304" s="168">
        <f>SUMIFS(Таблица1[[#This Row],[8]:[19]],$I$5:$T$5,"Аренда")</f>
        <v>0</v>
      </c>
      <c r="I1304" s="169"/>
      <c r="J1304" s="169"/>
      <c r="K1304" s="167"/>
      <c r="L1304" s="169"/>
      <c r="M1304" s="169"/>
      <c r="N1304" s="169"/>
      <c r="O1304" s="169"/>
      <c r="P1304" s="169"/>
      <c r="Q1304" s="169"/>
      <c r="R1304" s="169"/>
      <c r="S1304" s="167"/>
      <c r="T1304" s="169"/>
      <c r="U1304" s="170"/>
      <c r="V1304" s="171"/>
    </row>
    <row r="1305" spans="1:22" ht="15" outlineLevel="1" collapsed="1" x14ac:dyDescent="0.25">
      <c r="A1305" s="186">
        <f>SUMIFS(МКД!$A$6:$A$389,МКД!$D$6:$D$389,Таблица1[[#This Row],[2]])</f>
        <v>238</v>
      </c>
      <c r="B1305" s="194">
        <f>SUMIFS(Таблица1[6],Таблица1[2],Таблица1[[#This Row],[2]])+SUMIFS(Таблица1[7],Таблица1[2],Таблица1[[#This Row],[2]])</f>
        <v>0</v>
      </c>
      <c r="C1305" s="185" t="s">
        <v>719</v>
      </c>
      <c r="D1305" s="196"/>
      <c r="E1305" s="196"/>
      <c r="F1305" s="196"/>
      <c r="G1305" s="168"/>
      <c r="H1305" s="197"/>
      <c r="I1305" s="196"/>
      <c r="J1305" s="196"/>
      <c r="K1305" s="196"/>
      <c r="L1305" s="196"/>
      <c r="M1305" s="196"/>
      <c r="N1305" s="196"/>
      <c r="O1305" s="196"/>
      <c r="P1305" s="196"/>
      <c r="Q1305" s="196"/>
      <c r="R1305" s="196"/>
      <c r="S1305" s="196"/>
      <c r="T1305" s="196"/>
      <c r="U1305" s="196"/>
      <c r="V1305" s="198"/>
    </row>
    <row r="1306" spans="1:22" hidden="1" outlineLevel="2" x14ac:dyDescent="0.25">
      <c r="A1306" s="186">
        <f>SUMIFS(МКД!$A$6:$A$389,МКД!$D$6:$D$389,Таблица1[[#This Row],[2]])</f>
        <v>238</v>
      </c>
      <c r="B1306" s="170"/>
      <c r="C1306" s="182" t="s">
        <v>719</v>
      </c>
      <c r="D1306" s="167"/>
      <c r="E1306" s="167"/>
      <c r="F1306" s="167"/>
      <c r="G1306" s="168">
        <f>SUMIFS(Таблица1[[#This Row],[8]:[19]],$I$5:$T$5,"Выкуп")</f>
        <v>0</v>
      </c>
      <c r="H1306" s="168">
        <f>SUMIFS(Таблица1[[#This Row],[8]:[19]],$I$5:$T$5,"Аренда")</f>
        <v>0</v>
      </c>
      <c r="I1306" s="169"/>
      <c r="J1306" s="169"/>
      <c r="K1306" s="167"/>
      <c r="L1306" s="169"/>
      <c r="M1306" s="169"/>
      <c r="N1306" s="169"/>
      <c r="O1306" s="169"/>
      <c r="P1306" s="169"/>
      <c r="Q1306" s="169"/>
      <c r="R1306" s="169"/>
      <c r="S1306" s="167"/>
      <c r="T1306" s="169"/>
      <c r="U1306" s="170"/>
      <c r="V1306" s="171"/>
    </row>
    <row r="1307" spans="1:22" ht="15" outlineLevel="1" collapsed="1" x14ac:dyDescent="0.25">
      <c r="A1307" s="186">
        <f>SUMIFS(МКД!$A$6:$A$389,МКД!$D$6:$D$389,Таблица1[[#This Row],[2]])</f>
        <v>239</v>
      </c>
      <c r="B1307" s="194">
        <f>SUMIFS(Таблица1[6],Таблица1[2],Таблица1[[#This Row],[2]])+SUMIFS(Таблица1[7],Таблица1[2],Таблица1[[#This Row],[2]])</f>
        <v>838.9</v>
      </c>
      <c r="C1307" s="185" t="s">
        <v>526</v>
      </c>
      <c r="D1307" s="196"/>
      <c r="E1307" s="196"/>
      <c r="F1307" s="196"/>
      <c r="G1307" s="168"/>
      <c r="H1307" s="197"/>
      <c r="I1307" s="196"/>
      <c r="J1307" s="196"/>
      <c r="K1307" s="196"/>
      <c r="L1307" s="196"/>
      <c r="M1307" s="196"/>
      <c r="N1307" s="196"/>
      <c r="O1307" s="196"/>
      <c r="P1307" s="196"/>
      <c r="Q1307" s="196"/>
      <c r="R1307" s="196"/>
      <c r="S1307" s="196"/>
      <c r="T1307" s="196"/>
      <c r="U1307" s="196"/>
      <c r="V1307" s="198"/>
    </row>
    <row r="1308" spans="1:22" hidden="1" outlineLevel="2" x14ac:dyDescent="0.25">
      <c r="A1308" s="186">
        <f>SUMIFS(МКД!$A$6:$A$389,МКД!$D$6:$D$389,Таблица1[[#This Row],[2]])</f>
        <v>239</v>
      </c>
      <c r="B1308" s="170"/>
      <c r="C1308" s="182" t="s">
        <v>526</v>
      </c>
      <c r="D1308" s="167" t="s">
        <v>1053</v>
      </c>
      <c r="E1308" s="167" t="s">
        <v>2030</v>
      </c>
      <c r="F1308" s="167">
        <v>1</v>
      </c>
      <c r="G1308" s="168">
        <f>SUMIFS(Таблица1[[#This Row],[8]:[19]],$I$5:$T$5,"Выкуп")</f>
        <v>139.1</v>
      </c>
      <c r="H1308" s="168">
        <f>SUMIFS(Таблица1[[#This Row],[8]:[19]],$I$5:$T$5,"Аренда")</f>
        <v>0</v>
      </c>
      <c r="I1308" s="169"/>
      <c r="J1308" s="169"/>
      <c r="K1308" s="169">
        <v>139.1</v>
      </c>
      <c r="L1308" s="169"/>
      <c r="M1308" s="169"/>
      <c r="N1308" s="169"/>
      <c r="O1308" s="169"/>
      <c r="P1308" s="169"/>
      <c r="Q1308" s="169"/>
      <c r="R1308" s="169"/>
      <c r="S1308" s="169"/>
      <c r="T1308" s="169"/>
      <c r="U1308" s="170"/>
      <c r="V1308" s="171"/>
    </row>
    <row r="1309" spans="1:22" hidden="1" outlineLevel="2" x14ac:dyDescent="0.25">
      <c r="A1309" s="186">
        <f>SUMIFS(МКД!$A$6:$A$389,МКД!$D$6:$D$389,Таблица1[[#This Row],[2]])</f>
        <v>239</v>
      </c>
      <c r="B1309" s="168"/>
      <c r="C1309" s="182" t="s">
        <v>526</v>
      </c>
      <c r="D1309" s="167" t="s">
        <v>2648</v>
      </c>
      <c r="E1309" s="167" t="s">
        <v>2588</v>
      </c>
      <c r="F1309" s="167">
        <v>1</v>
      </c>
      <c r="G1309" s="168">
        <f>SUMIFS(Таблица1[[#This Row],[8]:[19]],$I$5:$T$5,"Выкуп")</f>
        <v>68.5</v>
      </c>
      <c r="H1309" s="168">
        <f>SUMIFS(Таблица1[[#This Row],[8]:[19]],$I$5:$T$5,"Аренда")</f>
        <v>0</v>
      </c>
      <c r="I1309" s="169">
        <v>68.5</v>
      </c>
      <c r="J1309" s="169"/>
      <c r="K1309" s="169"/>
      <c r="L1309" s="169"/>
      <c r="M1309" s="169"/>
      <c r="N1309" s="169"/>
      <c r="O1309" s="169"/>
      <c r="P1309" s="169"/>
      <c r="Q1309" s="169"/>
      <c r="R1309" s="169"/>
      <c r="S1309" s="169"/>
      <c r="T1309" s="169"/>
      <c r="U1309" s="170"/>
      <c r="V1309" s="171"/>
    </row>
    <row r="1310" spans="1:22" hidden="1" outlineLevel="2" x14ac:dyDescent="0.25">
      <c r="A1310" s="186">
        <f>SUMIFS(МКД!$A$6:$A$389,МКД!$D$6:$D$389,Таблица1[[#This Row],[2]])</f>
        <v>239</v>
      </c>
      <c r="B1310" s="168"/>
      <c r="C1310" s="182" t="s">
        <v>526</v>
      </c>
      <c r="D1310" s="167" t="s">
        <v>297</v>
      </c>
      <c r="E1310" s="167" t="s">
        <v>2587</v>
      </c>
      <c r="F1310" s="167">
        <v>1</v>
      </c>
      <c r="G1310" s="168">
        <f>SUMIFS(Таблица1[[#This Row],[8]:[19]],$I$5:$T$5,"Выкуп")</f>
        <v>141.69999999999999</v>
      </c>
      <c r="H1310" s="168">
        <f>SUMIFS(Таблица1[[#This Row],[8]:[19]],$I$5:$T$5,"Аренда")</f>
        <v>0</v>
      </c>
      <c r="I1310" s="169">
        <v>141.69999999999999</v>
      </c>
      <c r="J1310" s="169"/>
      <c r="K1310" s="169"/>
      <c r="L1310" s="169"/>
      <c r="M1310" s="169"/>
      <c r="N1310" s="169"/>
      <c r="O1310" s="169"/>
      <c r="P1310" s="169"/>
      <c r="Q1310" s="169"/>
      <c r="R1310" s="169"/>
      <c r="S1310" s="169"/>
      <c r="T1310" s="169"/>
      <c r="U1310" s="170"/>
      <c r="V1310" s="171"/>
    </row>
    <row r="1311" spans="1:22" s="20" customFormat="1" hidden="1" outlineLevel="2" x14ac:dyDescent="0.25">
      <c r="A1311" s="186">
        <f>SUMIFS(МКД!$A$6:$A$389,МКД!$D$6:$D$389,Таблица1[[#This Row],[2]])</f>
        <v>239</v>
      </c>
      <c r="B1311" s="168"/>
      <c r="C1311" s="182" t="s">
        <v>526</v>
      </c>
      <c r="D1311" s="167" t="s">
        <v>2786</v>
      </c>
      <c r="E1311" s="167" t="s">
        <v>828</v>
      </c>
      <c r="F1311" s="167">
        <v>1</v>
      </c>
      <c r="G1311" s="168">
        <f>SUMIFS(Таблица1[[#This Row],[8]:[19]],$I$5:$T$5,"Выкуп")</f>
        <v>405.1</v>
      </c>
      <c r="H1311" s="168">
        <f>SUMIFS(Таблица1[[#This Row],[8]:[19]],$I$5:$T$5,"Аренда")</f>
        <v>0</v>
      </c>
      <c r="I1311" s="169">
        <v>206.1</v>
      </c>
      <c r="J1311" s="169"/>
      <c r="K1311" s="169">
        <v>103.7</v>
      </c>
      <c r="L1311" s="169"/>
      <c r="M1311" s="169">
        <v>95.3</v>
      </c>
      <c r="N1311" s="169"/>
      <c r="O1311" s="169"/>
      <c r="P1311" s="169"/>
      <c r="Q1311" s="169"/>
      <c r="R1311" s="169"/>
      <c r="S1311" s="169"/>
      <c r="T1311" s="169"/>
      <c r="U1311" s="170"/>
      <c r="V1311" s="171"/>
    </row>
    <row r="1312" spans="1:22" hidden="1" outlineLevel="2" x14ac:dyDescent="0.25">
      <c r="A1312" s="186">
        <f>SUMIFS(МКД!$A$6:$A$389,МКД!$D$6:$D$389,Таблица1[[#This Row],[2]])</f>
        <v>239</v>
      </c>
      <c r="B1312" s="168"/>
      <c r="C1312" s="182" t="s">
        <v>526</v>
      </c>
      <c r="D1312" s="167" t="s">
        <v>2786</v>
      </c>
      <c r="E1312" s="167" t="s">
        <v>1065</v>
      </c>
      <c r="F1312" s="167">
        <v>1</v>
      </c>
      <c r="G1312" s="168">
        <f>SUMIFS(Таблица1[[#This Row],[8]:[19]],$I$5:$T$5,"Выкуп")</f>
        <v>84.5</v>
      </c>
      <c r="H1312" s="168">
        <f>SUMIFS(Таблица1[[#This Row],[8]:[19]],$I$5:$T$5,"Аренда")</f>
        <v>0</v>
      </c>
      <c r="I1312" s="169">
        <v>84.5</v>
      </c>
      <c r="J1312" s="169"/>
      <c r="K1312" s="169"/>
      <c r="L1312" s="169"/>
      <c r="M1312" s="169"/>
      <c r="N1312" s="169"/>
      <c r="O1312" s="169"/>
      <c r="P1312" s="169"/>
      <c r="Q1312" s="169"/>
      <c r="R1312" s="169"/>
      <c r="S1312" s="169"/>
      <c r="T1312" s="169"/>
      <c r="U1312" s="170"/>
      <c r="V1312" s="171"/>
    </row>
    <row r="1313" spans="1:22" ht="15" outlineLevel="1" collapsed="1" x14ac:dyDescent="0.25">
      <c r="A1313" s="186">
        <f>SUMIFS(МКД!$A$6:$A$389,МКД!$D$6:$D$389,Таблица1[[#This Row],[2]])</f>
        <v>261</v>
      </c>
      <c r="B1313" s="194">
        <f>SUMIFS(Таблица1[6],Таблица1[2],Таблица1[[#This Row],[2]])+SUMIFS(Таблица1[7],Таблица1[2],Таблица1[[#This Row],[2]])</f>
        <v>499.5</v>
      </c>
      <c r="C1313" s="185" t="s">
        <v>527</v>
      </c>
      <c r="D1313" s="196"/>
      <c r="E1313" s="196"/>
      <c r="F1313" s="196"/>
      <c r="G1313" s="168"/>
      <c r="H1313" s="197"/>
      <c r="I1313" s="196"/>
      <c r="J1313" s="196"/>
      <c r="K1313" s="196"/>
      <c r="L1313" s="196"/>
      <c r="M1313" s="196"/>
      <c r="N1313" s="196"/>
      <c r="O1313" s="196"/>
      <c r="P1313" s="196"/>
      <c r="Q1313" s="196"/>
      <c r="R1313" s="196"/>
      <c r="S1313" s="196"/>
      <c r="T1313" s="196"/>
      <c r="U1313" s="196"/>
      <c r="V1313" s="198"/>
    </row>
    <row r="1314" spans="1:22" hidden="1" outlineLevel="2" x14ac:dyDescent="0.25">
      <c r="A1314" s="186">
        <f>SUMIFS(МКД!$A$6:$A$389,МКД!$D$6:$D$389,Таблица1[[#This Row],[2]])</f>
        <v>261</v>
      </c>
      <c r="B1314" s="170"/>
      <c r="C1314" s="182" t="s">
        <v>527</v>
      </c>
      <c r="D1314" s="167" t="s">
        <v>2590</v>
      </c>
      <c r="E1314" s="167" t="s">
        <v>2589</v>
      </c>
      <c r="F1314" s="167">
        <v>1</v>
      </c>
      <c r="G1314" s="168">
        <f>SUMIFS(Таблица1[[#This Row],[8]:[19]],$I$5:$T$5,"Выкуп")</f>
        <v>77.2</v>
      </c>
      <c r="H1314" s="168">
        <f>SUMIFS(Таблица1[[#This Row],[8]:[19]],$I$5:$T$5,"Аренда")</f>
        <v>0</v>
      </c>
      <c r="I1314" s="169">
        <v>63.5</v>
      </c>
      <c r="J1314" s="169"/>
      <c r="K1314" s="169"/>
      <c r="L1314" s="169"/>
      <c r="M1314" s="169"/>
      <c r="N1314" s="169"/>
      <c r="O1314" s="169">
        <v>13.7</v>
      </c>
      <c r="P1314" s="169"/>
      <c r="Q1314" s="169"/>
      <c r="R1314" s="169"/>
      <c r="S1314" s="169"/>
      <c r="T1314" s="169"/>
      <c r="U1314" s="170"/>
      <c r="V1314" s="171"/>
    </row>
    <row r="1315" spans="1:22" hidden="1" outlineLevel="2" x14ac:dyDescent="0.25">
      <c r="A1315" s="186">
        <f>SUMIFS(МКД!$A$6:$A$389,МКД!$D$6:$D$389,Таблица1[[#This Row],[2]])</f>
        <v>261</v>
      </c>
      <c r="B1315" s="168"/>
      <c r="C1315" s="182" t="s">
        <v>527</v>
      </c>
      <c r="D1315" s="167" t="s">
        <v>2648</v>
      </c>
      <c r="E1315" s="167" t="s">
        <v>762</v>
      </c>
      <c r="F1315" s="167">
        <v>1</v>
      </c>
      <c r="G1315" s="168">
        <f>SUMIFS(Таблица1[[#This Row],[8]:[19]],$I$5:$T$5,"Выкуп")</f>
        <v>26.3</v>
      </c>
      <c r="H1315" s="168">
        <f>SUMIFS(Таблица1[[#This Row],[8]:[19]],$I$5:$T$5,"Аренда")</f>
        <v>0</v>
      </c>
      <c r="I1315" s="169">
        <v>26.3</v>
      </c>
      <c r="J1315" s="169"/>
      <c r="K1315" s="169"/>
      <c r="L1315" s="169"/>
      <c r="M1315" s="169"/>
      <c r="N1315" s="169"/>
      <c r="O1315" s="169"/>
      <c r="P1315" s="169"/>
      <c r="Q1315" s="169"/>
      <c r="R1315" s="169"/>
      <c r="S1315" s="169"/>
      <c r="T1315" s="169"/>
      <c r="U1315" s="170"/>
      <c r="V1315" s="171"/>
    </row>
    <row r="1316" spans="1:22" hidden="1" outlineLevel="2" x14ac:dyDescent="0.25">
      <c r="A1316" s="186">
        <f>SUMIFS(МКД!$A$6:$A$389,МКД!$D$6:$D$389,Таблица1[[#This Row],[2]])</f>
        <v>261</v>
      </c>
      <c r="B1316" s="168"/>
      <c r="C1316" s="182" t="s">
        <v>527</v>
      </c>
      <c r="D1316" s="167" t="s">
        <v>2675</v>
      </c>
      <c r="E1316" s="319" t="s">
        <v>2715</v>
      </c>
      <c r="F1316" s="167">
        <v>1</v>
      </c>
      <c r="G1316" s="168">
        <f>SUMIFS(Таблица1[[#This Row],[8]:[19]],$I$5:$T$5,"Выкуп")</f>
        <v>136.5</v>
      </c>
      <c r="H1316" s="168">
        <f>SUMIFS(Таблица1[[#This Row],[8]:[19]],$I$5:$T$5,"Аренда")</f>
        <v>0</v>
      </c>
      <c r="I1316" s="169">
        <v>136.5</v>
      </c>
      <c r="J1316" s="169"/>
      <c r="K1316" s="169"/>
      <c r="L1316" s="169"/>
      <c r="M1316" s="169"/>
      <c r="N1316" s="169"/>
      <c r="O1316" s="169"/>
      <c r="P1316" s="169"/>
      <c r="Q1316" s="169"/>
      <c r="R1316" s="169"/>
      <c r="S1316" s="169"/>
      <c r="T1316" s="169"/>
      <c r="U1316" s="170"/>
      <c r="V1316" s="171"/>
    </row>
    <row r="1317" spans="1:22" hidden="1" outlineLevel="2" x14ac:dyDescent="0.25">
      <c r="A1317" s="186">
        <f>SUMIFS(МКД!$A$6:$A$389,МКД!$D$6:$D$389,Таблица1[[#This Row],[2]])</f>
        <v>261</v>
      </c>
      <c r="B1317" s="168"/>
      <c r="C1317" s="182" t="s">
        <v>527</v>
      </c>
      <c r="D1317" s="167" t="s">
        <v>2675</v>
      </c>
      <c r="E1317" s="319" t="s">
        <v>2716</v>
      </c>
      <c r="F1317" s="167">
        <v>1</v>
      </c>
      <c r="G1317" s="168">
        <f>SUMIFS(Таблица1[[#This Row],[8]:[19]],$I$5:$T$5,"Выкуп")</f>
        <v>204.9</v>
      </c>
      <c r="H1317" s="168">
        <f>SUMIFS(Таблица1[[#This Row],[8]:[19]],$I$5:$T$5,"Аренда")</f>
        <v>0</v>
      </c>
      <c r="I1317" s="169"/>
      <c r="J1317" s="169"/>
      <c r="K1317" s="169">
        <v>204.9</v>
      </c>
      <c r="L1317" s="169"/>
      <c r="M1317" s="169"/>
      <c r="N1317" s="169"/>
      <c r="O1317" s="169"/>
      <c r="P1317" s="169"/>
      <c r="Q1317" s="169"/>
      <c r="R1317" s="169"/>
      <c r="S1317" s="169"/>
      <c r="T1317" s="169"/>
      <c r="U1317" s="170"/>
      <c r="V1317" s="171"/>
    </row>
    <row r="1318" spans="1:22" hidden="1" outlineLevel="2" x14ac:dyDescent="0.25">
      <c r="A1318" s="186">
        <f>SUMIFS(МКД!$A$6:$A$389,МКД!$D$6:$D$389,Таблица1[[#This Row],[2]])</f>
        <v>261</v>
      </c>
      <c r="B1318" s="168"/>
      <c r="C1318" s="182" t="s">
        <v>527</v>
      </c>
      <c r="D1318" s="167" t="s">
        <v>2592</v>
      </c>
      <c r="E1318" s="167" t="s">
        <v>2591</v>
      </c>
      <c r="F1318" s="167">
        <v>1</v>
      </c>
      <c r="G1318" s="168">
        <f>SUMIFS(Таблица1[[#This Row],[8]:[19]],$I$5:$T$5,"Выкуп")</f>
        <v>54.6</v>
      </c>
      <c r="H1318" s="168">
        <f>SUMIFS(Таблица1[[#This Row],[8]:[19]],$I$5:$T$5,"Аренда")</f>
        <v>0</v>
      </c>
      <c r="I1318" s="169">
        <v>54.6</v>
      </c>
      <c r="J1318" s="169"/>
      <c r="K1318" s="169"/>
      <c r="L1318" s="169"/>
      <c r="M1318" s="169"/>
      <c r="N1318" s="169"/>
      <c r="O1318" s="169"/>
      <c r="P1318" s="169"/>
      <c r="Q1318" s="169"/>
      <c r="R1318" s="169"/>
      <c r="S1318" s="169"/>
      <c r="T1318" s="169"/>
      <c r="U1318" s="170"/>
      <c r="V1318" s="171"/>
    </row>
    <row r="1319" spans="1:22" ht="15" outlineLevel="1" collapsed="1" x14ac:dyDescent="0.25">
      <c r="A1319" s="186">
        <f>SUMIFS(МКД!$A$6:$A$389,МКД!$D$6:$D$389,Таблица1[[#This Row],[2]])</f>
        <v>262</v>
      </c>
      <c r="B1319" s="194">
        <f>SUMIFS(Таблица1[6],Таблица1[2],Таблица1[[#This Row],[2]])+SUMIFS(Таблица1[7],Таблица1[2],Таблица1[[#This Row],[2]])</f>
        <v>982.99999999999989</v>
      </c>
      <c r="C1319" s="185" t="s">
        <v>387</v>
      </c>
      <c r="D1319" s="196"/>
      <c r="E1319" s="196"/>
      <c r="F1319" s="196"/>
      <c r="G1319" s="168"/>
      <c r="H1319" s="197"/>
      <c r="I1319" s="196"/>
      <c r="J1319" s="196"/>
      <c r="K1319" s="196"/>
      <c r="L1319" s="196"/>
      <c r="M1319" s="196"/>
      <c r="N1319" s="196"/>
      <c r="O1319" s="196"/>
      <c r="P1319" s="196"/>
      <c r="Q1319" s="196"/>
      <c r="R1319" s="196"/>
      <c r="S1319" s="196"/>
      <c r="T1319" s="196"/>
      <c r="U1319" s="196"/>
      <c r="V1319" s="198"/>
    </row>
    <row r="1320" spans="1:22" hidden="1" outlineLevel="2" x14ac:dyDescent="0.25">
      <c r="A1320" s="186">
        <f>SUMIFS(МКД!$A$6:$A$389,МКД!$D$6:$D$389,Таблица1[[#This Row],[2]])</f>
        <v>262</v>
      </c>
      <c r="B1320" s="170"/>
      <c r="C1320" s="182" t="s">
        <v>387</v>
      </c>
      <c r="D1320" s="167" t="s">
        <v>2580</v>
      </c>
      <c r="E1320" s="167" t="s">
        <v>1392</v>
      </c>
      <c r="F1320" s="167">
        <v>1</v>
      </c>
      <c r="G1320" s="168">
        <f>SUMIFS(Таблица1[[#This Row],[8]:[19]],$I$5:$T$5,"Выкуп")</f>
        <v>137.55000000000001</v>
      </c>
      <c r="H1320" s="168">
        <f>SUMIFS(Таблица1[[#This Row],[8]:[19]],$I$5:$T$5,"Аренда")</f>
        <v>0</v>
      </c>
      <c r="I1320" s="169">
        <f>132.8+4.75</f>
        <v>137.55000000000001</v>
      </c>
      <c r="J1320" s="169"/>
      <c r="K1320" s="169"/>
      <c r="L1320" s="169"/>
      <c r="M1320" s="169"/>
      <c r="N1320" s="169"/>
      <c r="O1320" s="169"/>
      <c r="P1320" s="169"/>
      <c r="Q1320" s="169"/>
      <c r="R1320" s="169"/>
      <c r="S1320" s="169"/>
      <c r="T1320" s="169"/>
      <c r="U1320" s="170"/>
      <c r="V1320" s="171"/>
    </row>
    <row r="1321" spans="1:22" hidden="1" outlineLevel="2" x14ac:dyDescent="0.25">
      <c r="A1321" s="186">
        <f>SUMIFS(МКД!$A$6:$A$389,МКД!$D$6:$D$389,Таблица1[[#This Row],[2]])</f>
        <v>262</v>
      </c>
      <c r="B1321" s="168"/>
      <c r="C1321" s="182" t="s">
        <v>387</v>
      </c>
      <c r="D1321" s="167" t="s">
        <v>1479</v>
      </c>
      <c r="E1321" s="167" t="s">
        <v>1478</v>
      </c>
      <c r="F1321" s="167">
        <v>1</v>
      </c>
      <c r="G1321" s="168">
        <f>SUMIFS(Таблица1[[#This Row],[8]:[19]],$I$5:$T$5,"Выкуп")</f>
        <v>82.1</v>
      </c>
      <c r="H1321" s="168">
        <f>SUMIFS(Таблица1[[#This Row],[8]:[19]],$I$5:$T$5,"Аренда")</f>
        <v>0</v>
      </c>
      <c r="I1321" s="169">
        <v>82.1</v>
      </c>
      <c r="J1321" s="169"/>
      <c r="K1321" s="169"/>
      <c r="L1321" s="169"/>
      <c r="M1321" s="169"/>
      <c r="N1321" s="169"/>
      <c r="O1321" s="169"/>
      <c r="P1321" s="169"/>
      <c r="Q1321" s="169"/>
      <c r="R1321" s="169"/>
      <c r="S1321" s="169"/>
      <c r="T1321" s="169"/>
      <c r="U1321" s="170"/>
      <c r="V1321" s="171"/>
    </row>
    <row r="1322" spans="1:22" hidden="1" outlineLevel="2" x14ac:dyDescent="0.25">
      <c r="A1322" s="186">
        <f>SUMIFS(МКД!$A$6:$A$389,МКД!$D$6:$D$389,Таблица1[[#This Row],[2]])</f>
        <v>262</v>
      </c>
      <c r="B1322" s="168"/>
      <c r="C1322" s="182" t="s">
        <v>387</v>
      </c>
      <c r="D1322" s="167" t="s">
        <v>2607</v>
      </c>
      <c r="E1322" s="167" t="s">
        <v>1602</v>
      </c>
      <c r="F1322" s="167">
        <v>1</v>
      </c>
      <c r="G1322" s="168">
        <f>SUMIFS(Таблица1[[#This Row],[8]:[19]],$I$5:$T$5,"Выкуп")</f>
        <v>0</v>
      </c>
      <c r="H1322" s="168">
        <f>SUMIFS(Таблица1[[#This Row],[8]:[19]],$I$5:$T$5,"Аренда")</f>
        <v>15</v>
      </c>
      <c r="I1322" s="169"/>
      <c r="J1322" s="169"/>
      <c r="K1322" s="169"/>
      <c r="L1322" s="169"/>
      <c r="M1322" s="169"/>
      <c r="N1322" s="169"/>
      <c r="O1322" s="169"/>
      <c r="P1322" s="169">
        <v>15</v>
      </c>
      <c r="Q1322" s="169"/>
      <c r="R1322" s="169"/>
      <c r="S1322" s="169"/>
      <c r="T1322" s="169"/>
      <c r="U1322" s="170"/>
      <c r="V1322" s="171"/>
    </row>
    <row r="1323" spans="1:22" hidden="1" outlineLevel="2" x14ac:dyDescent="0.25">
      <c r="A1323" s="186">
        <f>SUMIFS(МКД!$A$6:$A$389,МКД!$D$6:$D$389,Таблица1[[#This Row],[2]])</f>
        <v>262</v>
      </c>
      <c r="B1323" s="168"/>
      <c r="C1323" s="182" t="s">
        <v>387</v>
      </c>
      <c r="D1323" s="167" t="s">
        <v>299</v>
      </c>
      <c r="E1323" s="167" t="s">
        <v>1391</v>
      </c>
      <c r="F1323" s="167">
        <v>1</v>
      </c>
      <c r="G1323" s="168">
        <f>SUMIFS(Таблица1[[#This Row],[8]:[19]],$I$5:$T$5,"Выкуп")</f>
        <v>82.35</v>
      </c>
      <c r="H1323" s="168">
        <f>SUMIFS(Таблица1[[#This Row],[8]:[19]],$I$5:$T$5,"Аренда")</f>
        <v>0</v>
      </c>
      <c r="I1323" s="169">
        <v>82.35</v>
      </c>
      <c r="J1323" s="169"/>
      <c r="K1323" s="169"/>
      <c r="L1323" s="169"/>
      <c r="M1323" s="169"/>
      <c r="N1323" s="169"/>
      <c r="O1323" s="169"/>
      <c r="P1323" s="169"/>
      <c r="Q1323" s="169"/>
      <c r="R1323" s="169"/>
      <c r="S1323" s="169"/>
      <c r="T1323" s="169"/>
      <c r="U1323" s="170"/>
      <c r="V1323" s="171"/>
    </row>
    <row r="1324" spans="1:22" hidden="1" outlineLevel="2" x14ac:dyDescent="0.25">
      <c r="A1324" s="186">
        <f>SUMIFS(МКД!$A$6:$A$389,МКД!$D$6:$D$389,Таблица1[[#This Row],[2]])</f>
        <v>262</v>
      </c>
      <c r="B1324" s="168"/>
      <c r="C1324" s="182" t="s">
        <v>387</v>
      </c>
      <c r="D1324" s="167" t="s">
        <v>1826</v>
      </c>
      <c r="E1324" s="167" t="s">
        <v>828</v>
      </c>
      <c r="F1324" s="167">
        <v>1</v>
      </c>
      <c r="G1324" s="168">
        <f>SUMIFS(Таблица1[[#This Row],[8]:[19]],$I$5:$T$5,"Выкуп")</f>
        <v>437.4</v>
      </c>
      <c r="H1324" s="168">
        <f>SUMIFS(Таблица1[[#This Row],[8]:[19]],$I$5:$T$5,"Аренда")</f>
        <v>0</v>
      </c>
      <c r="I1324" s="169">
        <v>437.4</v>
      </c>
      <c r="J1324" s="169"/>
      <c r="K1324" s="169"/>
      <c r="L1324" s="169"/>
      <c r="M1324" s="169"/>
      <c r="N1324" s="169"/>
      <c r="O1324" s="169"/>
      <c r="P1324" s="169"/>
      <c r="Q1324" s="169"/>
      <c r="R1324" s="169"/>
      <c r="S1324" s="169"/>
      <c r="T1324" s="169"/>
      <c r="U1324" s="170"/>
      <c r="V1324" s="171"/>
    </row>
    <row r="1325" spans="1:22" hidden="1" outlineLevel="2" x14ac:dyDescent="0.25">
      <c r="A1325" s="186">
        <f>SUMIFS(МКД!$A$6:$A$389,МКД!$D$6:$D$389,Таблица1[[#This Row],[2]])</f>
        <v>262</v>
      </c>
      <c r="B1325" s="168"/>
      <c r="C1325" s="182" t="s">
        <v>387</v>
      </c>
      <c r="D1325" s="167" t="s">
        <v>2294</v>
      </c>
      <c r="E1325" s="167" t="s">
        <v>2293</v>
      </c>
      <c r="F1325" s="167">
        <v>1</v>
      </c>
      <c r="G1325" s="168">
        <f>SUMIFS(Таблица1[[#This Row],[8]:[19]],$I$5:$T$5,"Выкуп")</f>
        <v>46.8</v>
      </c>
      <c r="H1325" s="168">
        <f>SUMIFS(Таблица1[[#This Row],[8]:[19]],$I$5:$T$5,"Аренда")</f>
        <v>0</v>
      </c>
      <c r="I1325" s="169">
        <v>46.8</v>
      </c>
      <c r="J1325" s="169"/>
      <c r="K1325" s="169"/>
      <c r="L1325" s="169"/>
      <c r="M1325" s="169"/>
      <c r="N1325" s="169"/>
      <c r="O1325" s="169"/>
      <c r="P1325" s="169"/>
      <c r="Q1325" s="169"/>
      <c r="R1325" s="169"/>
      <c r="S1325" s="169"/>
      <c r="T1325" s="169"/>
      <c r="U1325" s="170"/>
      <c r="V1325" s="171"/>
    </row>
    <row r="1326" spans="1:22" hidden="1" outlineLevel="2" x14ac:dyDescent="0.25">
      <c r="A1326" s="186">
        <f>SUMIFS(МКД!$A$6:$A$389,МКД!$D$6:$D$389,Таблица1[[#This Row],[2]])</f>
        <v>262</v>
      </c>
      <c r="B1326" s="168"/>
      <c r="C1326" s="182" t="s">
        <v>387</v>
      </c>
      <c r="D1326" s="167" t="s">
        <v>1394</v>
      </c>
      <c r="E1326" s="167" t="s">
        <v>2793</v>
      </c>
      <c r="F1326" s="167"/>
      <c r="G1326" s="168">
        <f>SUMIFS(Таблица1[[#This Row],[8]:[19]],$I$5:$T$5,"Выкуп")</f>
        <v>63</v>
      </c>
      <c r="H1326" s="168">
        <f>SUMIFS(Таблица1[[#This Row],[8]:[19]],$I$5:$T$5,"Аренда")</f>
        <v>0</v>
      </c>
      <c r="I1326" s="169"/>
      <c r="J1326" s="169"/>
      <c r="K1326" s="169"/>
      <c r="L1326" s="169"/>
      <c r="M1326" s="319">
        <v>63</v>
      </c>
      <c r="N1326" s="169"/>
      <c r="O1326" s="169"/>
      <c r="P1326" s="169"/>
      <c r="Q1326" s="169"/>
      <c r="R1326" s="169"/>
      <c r="S1326" s="169"/>
      <c r="T1326" s="169"/>
      <c r="U1326" s="170"/>
      <c r="V1326" s="171"/>
    </row>
    <row r="1327" spans="1:22" hidden="1" outlineLevel="2" x14ac:dyDescent="0.25">
      <c r="A1327" s="186">
        <f>SUMIFS(МКД!$A$6:$A$389,МКД!$D$6:$D$389,Таблица1[[#This Row],[2]])</f>
        <v>262</v>
      </c>
      <c r="B1327" s="168"/>
      <c r="C1327" s="182" t="s">
        <v>387</v>
      </c>
      <c r="D1327" s="167" t="s">
        <v>1053</v>
      </c>
      <c r="E1327" s="167" t="s">
        <v>2834</v>
      </c>
      <c r="F1327" s="167"/>
      <c r="G1327" s="168">
        <f>SUMIFS(Таблица1[[#This Row],[8]:[19]],$I$5:$T$5,"Выкуп")</f>
        <v>118.8</v>
      </c>
      <c r="H1327" s="168">
        <f>SUMIFS(Таблица1[[#This Row],[8]:[19]],$I$5:$T$5,"Аренда")</f>
        <v>0</v>
      </c>
      <c r="I1327" s="169"/>
      <c r="J1327" s="169"/>
      <c r="K1327" s="169"/>
      <c r="L1327" s="169"/>
      <c r="M1327" s="319">
        <v>118.8</v>
      </c>
      <c r="N1327" s="169"/>
      <c r="O1327" s="169"/>
      <c r="P1327" s="169"/>
      <c r="Q1327" s="169"/>
      <c r="R1327" s="169"/>
      <c r="S1327" s="169"/>
      <c r="T1327" s="169"/>
      <c r="U1327" s="170"/>
      <c r="V1327" s="171"/>
    </row>
    <row r="1328" spans="1:22" ht="15" outlineLevel="1" collapsed="1" x14ac:dyDescent="0.25">
      <c r="A1328" s="186">
        <f>SUMIFS(МКД!$A$6:$A$389,МКД!$D$6:$D$389,Таблица1[[#This Row],[2]])</f>
        <v>264</v>
      </c>
      <c r="B1328" s="194">
        <f>SUMIFS(Таблица1[6],Таблица1[2],Таблица1[[#This Row],[2]])+SUMIFS(Таблица1[7],Таблица1[2],Таблица1[[#This Row],[2]])</f>
        <v>347.09999999999997</v>
      </c>
      <c r="C1328" s="185" t="s">
        <v>388</v>
      </c>
      <c r="D1328" s="196"/>
      <c r="E1328" s="196"/>
      <c r="F1328" s="196"/>
      <c r="G1328" s="168"/>
      <c r="H1328" s="197"/>
      <c r="I1328" s="196"/>
      <c r="J1328" s="196"/>
      <c r="K1328" s="196"/>
      <c r="L1328" s="196"/>
      <c r="M1328" s="196"/>
      <c r="N1328" s="196"/>
      <c r="O1328" s="196"/>
      <c r="P1328" s="196"/>
      <c r="Q1328" s="196"/>
      <c r="R1328" s="196"/>
      <c r="S1328" s="196"/>
      <c r="T1328" s="196"/>
      <c r="U1328" s="196"/>
      <c r="V1328" s="198"/>
    </row>
    <row r="1329" spans="1:22" hidden="1" outlineLevel="2" x14ac:dyDescent="0.25">
      <c r="A1329" s="186">
        <f>SUMIFS(МКД!$A$6:$A$389,МКД!$D$6:$D$389,Таблица1[[#This Row],[2]])</f>
        <v>264</v>
      </c>
      <c r="B1329" s="170"/>
      <c r="C1329" s="182" t="s">
        <v>388</v>
      </c>
      <c r="D1329" s="167" t="s">
        <v>2296</v>
      </c>
      <c r="E1329" s="167" t="s">
        <v>330</v>
      </c>
      <c r="F1329" s="167">
        <v>1</v>
      </c>
      <c r="G1329" s="168">
        <f>SUMIFS(Таблица1[[#This Row],[8]:[19]],$I$5:$T$5,"Выкуп")</f>
        <v>14</v>
      </c>
      <c r="H1329" s="168">
        <f>SUMIFS(Таблица1[[#This Row],[8]:[19]],$I$5:$T$5,"Аренда")</f>
        <v>0</v>
      </c>
      <c r="I1329" s="169">
        <v>14</v>
      </c>
      <c r="J1329" s="169"/>
      <c r="K1329" s="169"/>
      <c r="L1329" s="169"/>
      <c r="M1329" s="169"/>
      <c r="N1329" s="169"/>
      <c r="O1329" s="169"/>
      <c r="P1329" s="169"/>
      <c r="Q1329" s="169"/>
      <c r="R1329" s="169"/>
      <c r="S1329" s="169"/>
      <c r="T1329" s="169"/>
      <c r="U1329" s="170"/>
      <c r="V1329" s="171"/>
    </row>
    <row r="1330" spans="1:22" hidden="1" outlineLevel="2" x14ac:dyDescent="0.25">
      <c r="A1330" s="186">
        <f>SUMIFS(МКД!$A$6:$A$389,МКД!$D$6:$D$389,Таблица1[[#This Row],[2]])</f>
        <v>264</v>
      </c>
      <c r="B1330" s="170"/>
      <c r="C1330" s="182" t="s">
        <v>388</v>
      </c>
      <c r="D1330" s="167" t="s">
        <v>1622</v>
      </c>
      <c r="E1330" s="167" t="s">
        <v>1949</v>
      </c>
      <c r="F1330" s="167">
        <v>1</v>
      </c>
      <c r="G1330" s="168">
        <f>SUMIFS(Таблица1[[#This Row],[8]:[19]],$I$5:$T$5,"Выкуп")</f>
        <v>36.700000000000003</v>
      </c>
      <c r="H1330" s="168">
        <f>SUMIFS(Таблица1[[#This Row],[8]:[19]],$I$5:$T$5,"Аренда")</f>
        <v>0</v>
      </c>
      <c r="I1330" s="169">
        <v>36.700000000000003</v>
      </c>
      <c r="J1330" s="169"/>
      <c r="K1330" s="169"/>
      <c r="L1330" s="169"/>
      <c r="M1330" s="169"/>
      <c r="N1330" s="169"/>
      <c r="O1330" s="169"/>
      <c r="P1330" s="169"/>
      <c r="Q1330" s="169"/>
      <c r="R1330" s="169"/>
      <c r="S1330" s="169"/>
      <c r="T1330" s="169"/>
      <c r="U1330" s="170"/>
      <c r="V1330" s="171"/>
    </row>
    <row r="1331" spans="1:22" hidden="1" outlineLevel="2" x14ac:dyDescent="0.25">
      <c r="A1331" s="186">
        <f>SUMIFS(МКД!$A$6:$A$389,МКД!$D$6:$D$389,Таблица1[[#This Row],[2]])</f>
        <v>264</v>
      </c>
      <c r="B1331" s="170"/>
      <c r="C1331" s="182" t="s">
        <v>388</v>
      </c>
      <c r="D1331" s="167" t="s">
        <v>726</v>
      </c>
      <c r="E1331" s="167" t="s">
        <v>2061</v>
      </c>
      <c r="F1331" s="167">
        <v>1</v>
      </c>
      <c r="G1331" s="168">
        <f>SUMIFS(Таблица1[[#This Row],[8]:[19]],$I$5:$T$5,"Выкуп")</f>
        <v>99.1</v>
      </c>
      <c r="H1331" s="168">
        <f>SUMIFS(Таблица1[[#This Row],[8]:[19]],$I$5:$T$5,"Аренда")</f>
        <v>0</v>
      </c>
      <c r="I1331" s="169">
        <v>99.1</v>
      </c>
      <c r="J1331" s="169"/>
      <c r="K1331" s="169"/>
      <c r="L1331" s="169"/>
      <c r="M1331" s="169"/>
      <c r="N1331" s="169"/>
      <c r="O1331" s="169"/>
      <c r="P1331" s="169"/>
      <c r="Q1331" s="169"/>
      <c r="R1331" s="169"/>
      <c r="S1331" s="169"/>
      <c r="T1331" s="169"/>
      <c r="U1331" s="170"/>
      <c r="V1331" s="171"/>
    </row>
    <row r="1332" spans="1:22" hidden="1" outlineLevel="2" x14ac:dyDescent="0.25">
      <c r="A1332" s="186">
        <f>SUMIFS(МКД!$A$6:$A$389,МКД!$D$6:$D$389,Таблица1[[#This Row],[2]])</f>
        <v>264</v>
      </c>
      <c r="B1332" s="168"/>
      <c r="C1332" s="182" t="s">
        <v>388</v>
      </c>
      <c r="D1332" s="167" t="s">
        <v>1843</v>
      </c>
      <c r="E1332" s="167" t="s">
        <v>1842</v>
      </c>
      <c r="F1332" s="167">
        <v>1</v>
      </c>
      <c r="G1332" s="168">
        <f>SUMIFS(Таблица1[[#This Row],[8]:[19]],$I$5:$T$5,"Выкуп")</f>
        <v>53.5</v>
      </c>
      <c r="H1332" s="168">
        <f>SUMIFS(Таблица1[[#This Row],[8]:[19]],$I$5:$T$5,"Аренда")</f>
        <v>0</v>
      </c>
      <c r="I1332" s="169">
        <v>53.5</v>
      </c>
      <c r="J1332" s="169"/>
      <c r="K1332" s="169"/>
      <c r="L1332" s="169"/>
      <c r="M1332" s="169"/>
      <c r="N1332" s="169"/>
      <c r="O1332" s="169"/>
      <c r="P1332" s="169"/>
      <c r="Q1332" s="169"/>
      <c r="R1332" s="169"/>
      <c r="S1332" s="169"/>
      <c r="T1332" s="169"/>
      <c r="U1332" s="170"/>
      <c r="V1332" s="171"/>
    </row>
    <row r="1333" spans="1:22" hidden="1" outlineLevel="2" x14ac:dyDescent="0.25">
      <c r="A1333" s="186">
        <f>SUMIFS(МКД!$A$6:$A$389,МКД!$D$6:$D$389,Таблица1[[#This Row],[2]])</f>
        <v>264</v>
      </c>
      <c r="B1333" s="168"/>
      <c r="C1333" s="182" t="s">
        <v>388</v>
      </c>
      <c r="D1333" s="167" t="s">
        <v>2295</v>
      </c>
      <c r="E1333" s="167" t="s">
        <v>2297</v>
      </c>
      <c r="F1333" s="167">
        <v>1</v>
      </c>
      <c r="G1333" s="168">
        <f>SUMIFS(Таблица1[[#This Row],[8]:[19]],$I$5:$T$5,"Выкуп")</f>
        <v>61.9</v>
      </c>
      <c r="H1333" s="168">
        <f>SUMIFS(Таблица1[[#This Row],[8]:[19]],$I$5:$T$5,"Аренда")</f>
        <v>0</v>
      </c>
      <c r="I1333" s="169">
        <v>61.9</v>
      </c>
      <c r="J1333" s="169"/>
      <c r="K1333" s="169"/>
      <c r="L1333" s="169"/>
      <c r="M1333" s="169"/>
      <c r="N1333" s="169"/>
      <c r="O1333" s="169"/>
      <c r="P1333" s="169"/>
      <c r="Q1333" s="169"/>
      <c r="R1333" s="169"/>
      <c r="S1333" s="169"/>
      <c r="T1333" s="169"/>
      <c r="U1333" s="170"/>
      <c r="V1333" s="171"/>
    </row>
    <row r="1334" spans="1:22" hidden="1" outlineLevel="2" x14ac:dyDescent="0.25">
      <c r="A1334" s="186">
        <f>SUMIFS(МКД!$A$6:$A$389,МКД!$D$6:$D$389,Таблица1[[#This Row],[2]])</f>
        <v>264</v>
      </c>
      <c r="B1334" s="168"/>
      <c r="C1334" s="182" t="s">
        <v>388</v>
      </c>
      <c r="D1334" s="167" t="s">
        <v>2295</v>
      </c>
      <c r="E1334" s="167" t="s">
        <v>2298</v>
      </c>
      <c r="F1334" s="167">
        <v>1</v>
      </c>
      <c r="G1334" s="168">
        <f>SUMIFS(Таблица1[[#This Row],[8]:[19]],$I$5:$T$5,"Выкуп")</f>
        <v>0</v>
      </c>
      <c r="H1334" s="168">
        <f>SUMIFS(Таблица1[[#This Row],[8]:[19]],$I$5:$T$5,"Аренда")</f>
        <v>0</v>
      </c>
      <c r="I1334" s="169">
        <f>30.7*0</f>
        <v>0</v>
      </c>
      <c r="J1334" s="169"/>
      <c r="K1334" s="169"/>
      <c r="L1334" s="169"/>
      <c r="M1334" s="169"/>
      <c r="N1334" s="169"/>
      <c r="O1334" s="169"/>
      <c r="P1334" s="169"/>
      <c r="Q1334" s="169"/>
      <c r="R1334" s="169"/>
      <c r="S1334" s="169"/>
      <c r="T1334" s="169"/>
      <c r="U1334" s="170"/>
      <c r="V1334" s="171"/>
    </row>
    <row r="1335" spans="1:22" hidden="1" outlineLevel="2" x14ac:dyDescent="0.25">
      <c r="A1335" s="186">
        <f>SUMIFS(МКД!$A$6:$A$389,МКД!$D$6:$D$389,Таблица1[[#This Row],[2]])</f>
        <v>264</v>
      </c>
      <c r="B1335" s="168"/>
      <c r="C1335" s="182" t="s">
        <v>388</v>
      </c>
      <c r="D1335" s="167" t="s">
        <v>2062</v>
      </c>
      <c r="E1335" s="167" t="s">
        <v>1951</v>
      </c>
      <c r="F1335" s="167">
        <v>1</v>
      </c>
      <c r="G1335" s="168">
        <f>SUMIFS(Таблица1[[#This Row],[8]:[19]],$I$5:$T$5,"Выкуп")</f>
        <v>28.4</v>
      </c>
      <c r="H1335" s="168">
        <f>SUMIFS(Таблица1[[#This Row],[8]:[19]],$I$5:$T$5,"Аренда")</f>
        <v>0</v>
      </c>
      <c r="I1335" s="169">
        <v>28.4</v>
      </c>
      <c r="J1335" s="169"/>
      <c r="K1335" s="169"/>
      <c r="L1335" s="169"/>
      <c r="M1335" s="169"/>
      <c r="N1335" s="169"/>
      <c r="O1335" s="169"/>
      <c r="P1335" s="169"/>
      <c r="Q1335" s="169"/>
      <c r="R1335" s="169"/>
      <c r="S1335" s="169"/>
      <c r="T1335" s="169"/>
      <c r="U1335" s="170"/>
      <c r="V1335" s="171"/>
    </row>
    <row r="1336" spans="1:22" hidden="1" outlineLevel="2" x14ac:dyDescent="0.25">
      <c r="A1336" s="186">
        <f>SUMIFS(МКД!$A$6:$A$389,МКД!$D$6:$D$389,Таблица1[[#This Row],[2]])</f>
        <v>264</v>
      </c>
      <c r="B1336" s="168"/>
      <c r="C1336" s="182" t="s">
        <v>388</v>
      </c>
      <c r="D1336" s="167" t="s">
        <v>300</v>
      </c>
      <c r="E1336" s="167" t="s">
        <v>2299</v>
      </c>
      <c r="F1336" s="167">
        <v>1</v>
      </c>
      <c r="G1336" s="168">
        <f>SUMIFS(Таблица1[[#This Row],[8]:[19]],$I$5:$T$5,"Выкуп")</f>
        <v>53.5</v>
      </c>
      <c r="H1336" s="168">
        <f>SUMIFS(Таблица1[[#This Row],[8]:[19]],$I$5:$T$5,"Аренда")</f>
        <v>0</v>
      </c>
      <c r="I1336" s="169">
        <v>53.5</v>
      </c>
      <c r="J1336" s="169"/>
      <c r="K1336" s="169"/>
      <c r="L1336" s="169"/>
      <c r="M1336" s="169"/>
      <c r="N1336" s="169"/>
      <c r="O1336" s="169"/>
      <c r="P1336" s="169"/>
      <c r="Q1336" s="169"/>
      <c r="R1336" s="169"/>
      <c r="S1336" s="169"/>
      <c r="T1336" s="169"/>
      <c r="U1336" s="170"/>
      <c r="V1336" s="171"/>
    </row>
    <row r="1337" spans="1:22" ht="15" outlineLevel="1" collapsed="1" x14ac:dyDescent="0.25">
      <c r="A1337" s="186">
        <f>SUMIFS(МКД!$A$6:$A$389,МКД!$D$6:$D$389,Таблица1[[#This Row],[2]])</f>
        <v>265</v>
      </c>
      <c r="B1337" s="194">
        <f>SUMIFS(Таблица1[6],Таблица1[2],Таблица1[[#This Row],[2]])+SUMIFS(Таблица1[7],Таблица1[2],Таблица1[[#This Row],[2]])</f>
        <v>13.6</v>
      </c>
      <c r="C1337" s="185" t="s">
        <v>389</v>
      </c>
      <c r="D1337" s="196"/>
      <c r="E1337" s="196"/>
      <c r="F1337" s="196"/>
      <c r="G1337" s="168"/>
      <c r="H1337" s="197"/>
      <c r="I1337" s="196"/>
      <c r="J1337" s="196"/>
      <c r="K1337" s="196"/>
      <c r="L1337" s="196"/>
      <c r="M1337" s="196"/>
      <c r="N1337" s="196"/>
      <c r="O1337" s="196"/>
      <c r="P1337" s="196"/>
      <c r="Q1337" s="196"/>
      <c r="R1337" s="196"/>
      <c r="S1337" s="196"/>
      <c r="T1337" s="196"/>
      <c r="U1337" s="196"/>
      <c r="V1337" s="198"/>
    </row>
    <row r="1338" spans="1:22" hidden="1" outlineLevel="2" x14ac:dyDescent="0.25">
      <c r="A1338" s="186">
        <f>SUMIFS(МКД!$A$6:$A$389,МКД!$D$6:$D$389,Таблица1[[#This Row],[2]])</f>
        <v>265</v>
      </c>
      <c r="B1338" s="170"/>
      <c r="C1338" s="182" t="s">
        <v>389</v>
      </c>
      <c r="D1338" s="167" t="s">
        <v>1513</v>
      </c>
      <c r="E1338" s="167" t="s">
        <v>828</v>
      </c>
      <c r="F1338" s="167">
        <v>1</v>
      </c>
      <c r="G1338" s="168">
        <f>SUMIFS(Таблица1[[#This Row],[8]:[19]],$I$5:$T$5,"Выкуп")</f>
        <v>13.6</v>
      </c>
      <c r="H1338" s="168">
        <f>SUMIFS(Таблица1[[#This Row],[8]:[19]],$I$5:$T$5,"Аренда")</f>
        <v>0</v>
      </c>
      <c r="I1338" s="169">
        <v>13.6</v>
      </c>
      <c r="J1338" s="169"/>
      <c r="K1338" s="169"/>
      <c r="L1338" s="169"/>
      <c r="M1338" s="169"/>
      <c r="N1338" s="169"/>
      <c r="O1338" s="169"/>
      <c r="P1338" s="169"/>
      <c r="Q1338" s="169"/>
      <c r="R1338" s="169"/>
      <c r="S1338" s="169"/>
      <c r="T1338" s="169"/>
      <c r="U1338" s="170"/>
      <c r="V1338" s="171"/>
    </row>
    <row r="1339" spans="1:22" ht="15" outlineLevel="1" collapsed="1" x14ac:dyDescent="0.25">
      <c r="A1339" s="186">
        <f>SUMIFS(МКД!$A$6:$A$389,МКД!$D$6:$D$389,Таблица1[[#This Row],[2]])</f>
        <v>266</v>
      </c>
      <c r="B1339" s="194">
        <f>SUMIFS(Таблица1[6],Таблица1[2],Таблица1[[#This Row],[2]])+SUMIFS(Таблица1[7],Таблица1[2],Таблица1[[#This Row],[2]])</f>
        <v>1405.9999999999998</v>
      </c>
      <c r="C1339" s="185" t="s">
        <v>528</v>
      </c>
      <c r="D1339" s="196"/>
      <c r="E1339" s="196"/>
      <c r="F1339" s="196"/>
      <c r="G1339" s="168"/>
      <c r="H1339" s="197"/>
      <c r="I1339" s="196"/>
      <c r="J1339" s="196"/>
      <c r="K1339" s="196"/>
      <c r="L1339" s="196"/>
      <c r="M1339" s="196"/>
      <c r="N1339" s="196"/>
      <c r="O1339" s="196"/>
      <c r="P1339" s="196"/>
      <c r="Q1339" s="196"/>
      <c r="R1339" s="196"/>
      <c r="S1339" s="196"/>
      <c r="T1339" s="196"/>
      <c r="U1339" s="196"/>
      <c r="V1339" s="198"/>
    </row>
    <row r="1340" spans="1:22" hidden="1" outlineLevel="2" x14ac:dyDescent="0.25">
      <c r="A1340" s="186">
        <f>SUMIFS(МКД!$A$6:$A$389,МКД!$D$6:$D$389,Таблица1[[#This Row],[2]])</f>
        <v>266</v>
      </c>
      <c r="B1340" s="170"/>
      <c r="C1340" s="182" t="s">
        <v>528</v>
      </c>
      <c r="D1340" s="167" t="s">
        <v>1445</v>
      </c>
      <c r="E1340" s="167" t="s">
        <v>2302</v>
      </c>
      <c r="F1340" s="167">
        <v>2</v>
      </c>
      <c r="G1340" s="168">
        <f>SUMIFS(Таблица1[[#This Row],[8]:[19]],$I$5:$T$5,"Выкуп")</f>
        <v>408.8</v>
      </c>
      <c r="H1340" s="168">
        <f>SUMIFS(Таблица1[[#This Row],[8]:[19]],$I$5:$T$5,"Аренда")</f>
        <v>0</v>
      </c>
      <c r="I1340" s="169">
        <v>305.5</v>
      </c>
      <c r="J1340" s="169"/>
      <c r="K1340" s="169">
        <v>103.3</v>
      </c>
      <c r="L1340" s="169"/>
      <c r="M1340" s="169"/>
      <c r="N1340" s="169"/>
      <c r="O1340" s="169"/>
      <c r="P1340" s="169"/>
      <c r="Q1340" s="169"/>
      <c r="R1340" s="169"/>
      <c r="S1340" s="169"/>
      <c r="T1340" s="169"/>
      <c r="U1340" s="170"/>
      <c r="V1340" s="171"/>
    </row>
    <row r="1341" spans="1:22" hidden="1" outlineLevel="2" x14ac:dyDescent="0.25">
      <c r="A1341" s="186">
        <f>SUMIFS(МКД!$A$6:$A$389,МКД!$D$6:$D$389,Таблица1[[#This Row],[2]])</f>
        <v>266</v>
      </c>
      <c r="B1341" s="168"/>
      <c r="C1341" s="182" t="s">
        <v>528</v>
      </c>
      <c r="D1341" s="167" t="s">
        <v>301</v>
      </c>
      <c r="E1341" s="167" t="s">
        <v>2300</v>
      </c>
      <c r="F1341" s="167">
        <v>1</v>
      </c>
      <c r="G1341" s="168">
        <f>SUMIFS(Таблица1[[#This Row],[8]:[19]],$I$5:$T$5,"Выкуп")</f>
        <v>47.9</v>
      </c>
      <c r="H1341" s="168">
        <f>SUMIFS(Таблица1[[#This Row],[8]:[19]],$I$5:$T$5,"Аренда")</f>
        <v>0</v>
      </c>
      <c r="I1341" s="169">
        <v>47.9</v>
      </c>
      <c r="J1341" s="169"/>
      <c r="K1341" s="169"/>
      <c r="L1341" s="169"/>
      <c r="M1341" s="169"/>
      <c r="N1341" s="169"/>
      <c r="O1341" s="169"/>
      <c r="P1341" s="169"/>
      <c r="Q1341" s="169"/>
      <c r="R1341" s="169"/>
      <c r="S1341" s="169"/>
      <c r="T1341" s="169"/>
      <c r="U1341" s="170"/>
      <c r="V1341" s="171"/>
    </row>
    <row r="1342" spans="1:22" hidden="1" outlineLevel="2" x14ac:dyDescent="0.25">
      <c r="A1342" s="186">
        <f>SUMIFS(МКД!$A$6:$A$389,МКД!$D$6:$D$389,Таблица1[[#This Row],[2]])</f>
        <v>266</v>
      </c>
      <c r="B1342" s="168"/>
      <c r="C1342" s="182" t="s">
        <v>528</v>
      </c>
      <c r="D1342" s="167" t="s">
        <v>2801</v>
      </c>
      <c r="E1342" s="167" t="s">
        <v>2802</v>
      </c>
      <c r="F1342" s="167">
        <v>1</v>
      </c>
      <c r="G1342" s="168">
        <f>SUMIFS(Таблица1[[#This Row],[8]:[19]],$I$5:$T$5,"Выкуп")</f>
        <v>349.7</v>
      </c>
      <c r="H1342" s="168">
        <f>SUMIFS(Таблица1[[#This Row],[8]:[19]],$I$5:$T$5,"Аренда")</f>
        <v>0</v>
      </c>
      <c r="I1342" s="169">
        <v>349.7</v>
      </c>
      <c r="J1342" s="169"/>
      <c r="K1342" s="169"/>
      <c r="L1342" s="169"/>
      <c r="M1342" s="169"/>
      <c r="N1342" s="169"/>
      <c r="O1342" s="169"/>
      <c r="P1342" s="169"/>
      <c r="Q1342" s="169"/>
      <c r="R1342" s="169"/>
      <c r="S1342" s="169"/>
      <c r="T1342" s="169"/>
      <c r="U1342" s="170"/>
      <c r="V1342" s="171"/>
    </row>
    <row r="1343" spans="1:22" hidden="1" outlineLevel="2" x14ac:dyDescent="0.25">
      <c r="A1343" s="186">
        <f>SUMIFS(МКД!$A$6:$A$389,МКД!$D$6:$D$389,Таблица1[[#This Row],[2]])</f>
        <v>266</v>
      </c>
      <c r="B1343" s="168"/>
      <c r="C1343" s="182" t="s">
        <v>528</v>
      </c>
      <c r="D1343" s="167" t="s">
        <v>1593</v>
      </c>
      <c r="E1343" s="273" t="s">
        <v>1729</v>
      </c>
      <c r="F1343" s="167">
        <v>1</v>
      </c>
      <c r="G1343" s="168">
        <f>SUMIFS(Таблица1[[#This Row],[8]:[19]],$I$5:$T$5,"Выкуп")</f>
        <v>68.2</v>
      </c>
      <c r="H1343" s="168">
        <f>SUMIFS(Таблица1[[#This Row],[8]:[19]],$I$5:$T$5,"Аренда")</f>
        <v>0</v>
      </c>
      <c r="I1343" s="169"/>
      <c r="J1343" s="169"/>
      <c r="K1343" s="169">
        <v>68.2</v>
      </c>
      <c r="L1343" s="169"/>
      <c r="M1343" s="169"/>
      <c r="N1343" s="169"/>
      <c r="O1343" s="169"/>
      <c r="P1343" s="169"/>
      <c r="Q1343" s="169"/>
      <c r="R1343" s="169"/>
      <c r="S1343" s="169"/>
      <c r="T1343" s="169"/>
      <c r="U1343" s="170"/>
      <c r="V1343" s="171"/>
    </row>
    <row r="1344" spans="1:22" hidden="1" outlineLevel="2" x14ac:dyDescent="0.25">
      <c r="A1344" s="186">
        <f>SUMIFS(МКД!$A$6:$A$389,МКД!$D$6:$D$389,Таблица1[[#This Row],[2]])</f>
        <v>266</v>
      </c>
      <c r="B1344" s="168"/>
      <c r="C1344" s="182" t="s">
        <v>528</v>
      </c>
      <c r="D1344" s="167" t="s">
        <v>2301</v>
      </c>
      <c r="E1344" s="167" t="s">
        <v>988</v>
      </c>
      <c r="F1344" s="167">
        <v>1</v>
      </c>
      <c r="G1344" s="168">
        <f>SUMIFS(Таблица1[[#This Row],[8]:[19]],$I$5:$T$5,"Выкуп")</f>
        <v>67.8</v>
      </c>
      <c r="H1344" s="168">
        <f>SUMIFS(Таблица1[[#This Row],[8]:[19]],$I$5:$T$5,"Аренда")</f>
        <v>0</v>
      </c>
      <c r="I1344" s="169">
        <v>67.8</v>
      </c>
      <c r="J1344" s="169"/>
      <c r="K1344" s="169"/>
      <c r="L1344" s="169"/>
      <c r="M1344" s="169"/>
      <c r="N1344" s="169"/>
      <c r="O1344" s="169"/>
      <c r="P1344" s="169"/>
      <c r="Q1344" s="169"/>
      <c r="R1344" s="169"/>
      <c r="S1344" s="169"/>
      <c r="T1344" s="169"/>
      <c r="U1344" s="170"/>
      <c r="V1344" s="171"/>
    </row>
    <row r="1345" spans="1:22" hidden="1" outlineLevel="2" x14ac:dyDescent="0.25">
      <c r="A1345" s="186">
        <f>SUMIFS(МКД!$A$6:$A$389,МКД!$D$6:$D$389,Таблица1[[#This Row],[2]])</f>
        <v>266</v>
      </c>
      <c r="B1345" s="168"/>
      <c r="C1345" s="182" t="s">
        <v>528</v>
      </c>
      <c r="D1345" s="167" t="s">
        <v>1930</v>
      </c>
      <c r="E1345" s="167" t="s">
        <v>1929</v>
      </c>
      <c r="F1345" s="167">
        <v>2</v>
      </c>
      <c r="G1345" s="168">
        <f>SUMIFS(Таблица1[[#This Row],[8]:[19]],$I$5:$T$5,"Выкуп")</f>
        <v>35.9</v>
      </c>
      <c r="H1345" s="168">
        <f>SUMIFS(Таблица1[[#This Row],[8]:[19]],$I$5:$T$5,"Аренда")</f>
        <v>0</v>
      </c>
      <c r="I1345" s="169">
        <v>35.9</v>
      </c>
      <c r="J1345" s="169"/>
      <c r="K1345" s="169"/>
      <c r="L1345" s="169"/>
      <c r="M1345" s="169"/>
      <c r="N1345" s="169"/>
      <c r="O1345" s="169"/>
      <c r="P1345" s="169"/>
      <c r="Q1345" s="169"/>
      <c r="R1345" s="169"/>
      <c r="S1345" s="169"/>
      <c r="T1345" s="169"/>
      <c r="U1345" s="170"/>
      <c r="V1345" s="171"/>
    </row>
    <row r="1346" spans="1:22" hidden="1" outlineLevel="2" x14ac:dyDescent="0.25">
      <c r="A1346" s="186">
        <f>SUMIFS(МКД!$A$6:$A$389,МКД!$D$6:$D$389,Таблица1[[#This Row],[2]])</f>
        <v>266</v>
      </c>
      <c r="B1346" s="168"/>
      <c r="C1346" s="182" t="s">
        <v>528</v>
      </c>
      <c r="D1346" s="167" t="s">
        <v>302</v>
      </c>
      <c r="E1346" s="167" t="s">
        <v>2303</v>
      </c>
      <c r="F1346" s="167">
        <v>2</v>
      </c>
      <c r="G1346" s="168">
        <f>SUMIFS(Таблица1[[#This Row],[8]:[19]],$I$5:$T$5,"Выкуп")</f>
        <v>69.3</v>
      </c>
      <c r="H1346" s="168">
        <f>SUMIFS(Таблица1[[#This Row],[8]:[19]],$I$5:$T$5,"Аренда")</f>
        <v>0</v>
      </c>
      <c r="I1346" s="169">
        <v>69.3</v>
      </c>
      <c r="J1346" s="169"/>
      <c r="K1346" s="169"/>
      <c r="L1346" s="169"/>
      <c r="M1346" s="169"/>
      <c r="N1346" s="169"/>
      <c r="O1346" s="169"/>
      <c r="P1346" s="169"/>
      <c r="Q1346" s="169"/>
      <c r="R1346" s="169"/>
      <c r="S1346" s="169"/>
      <c r="T1346" s="169"/>
      <c r="U1346" s="170"/>
      <c r="V1346" s="171"/>
    </row>
    <row r="1347" spans="1:22" hidden="1" outlineLevel="2" x14ac:dyDescent="0.25">
      <c r="A1347" s="186">
        <f>SUMIFS(МКД!$A$6:$A$389,МКД!$D$6:$D$389,Таблица1[[#This Row],[2]])</f>
        <v>266</v>
      </c>
      <c r="B1347" s="168"/>
      <c r="C1347" s="182" t="s">
        <v>528</v>
      </c>
      <c r="D1347" s="167" t="s">
        <v>2787</v>
      </c>
      <c r="E1347" s="167" t="s">
        <v>1931</v>
      </c>
      <c r="F1347" s="167">
        <v>2</v>
      </c>
      <c r="G1347" s="168">
        <f>SUMIFS(Таблица1[[#This Row],[8]:[19]],$I$5:$T$5,"Выкуп")</f>
        <v>98.5</v>
      </c>
      <c r="H1347" s="168">
        <f>SUMIFS(Таблица1[[#This Row],[8]:[19]],$I$5:$T$5,"Аренда")</f>
        <v>0</v>
      </c>
      <c r="I1347" s="169">
        <v>98.5</v>
      </c>
      <c r="J1347" s="169"/>
      <c r="K1347" s="169"/>
      <c r="L1347" s="169"/>
      <c r="M1347" s="169"/>
      <c r="N1347" s="169"/>
      <c r="O1347" s="169"/>
      <c r="P1347" s="169"/>
      <c r="Q1347" s="169"/>
      <c r="R1347" s="169"/>
      <c r="S1347" s="169"/>
      <c r="T1347" s="169"/>
      <c r="U1347" s="170"/>
      <c r="V1347" s="171"/>
    </row>
    <row r="1348" spans="1:22" hidden="1" outlineLevel="2" x14ac:dyDescent="0.25">
      <c r="A1348" s="186">
        <f>SUMIFS(МКД!$A$6:$A$389,МКД!$D$6:$D$389,Таблица1[[#This Row],[2]])</f>
        <v>266</v>
      </c>
      <c r="B1348" s="168"/>
      <c r="C1348" s="182" t="s">
        <v>528</v>
      </c>
      <c r="D1348" s="167" t="s">
        <v>1707</v>
      </c>
      <c r="E1348" s="167" t="s">
        <v>99</v>
      </c>
      <c r="F1348" s="167">
        <v>2</v>
      </c>
      <c r="G1348" s="168">
        <f>SUMIFS(Таблица1[[#This Row],[8]:[19]],$I$5:$T$5,"Выкуп")</f>
        <v>99.3</v>
      </c>
      <c r="H1348" s="168">
        <f>SUMIFS(Таблица1[[#This Row],[8]:[19]],$I$5:$T$5,"Аренда")</f>
        <v>0</v>
      </c>
      <c r="I1348" s="169">
        <v>99.3</v>
      </c>
      <c r="J1348" s="169"/>
      <c r="K1348" s="169"/>
      <c r="L1348" s="169"/>
      <c r="M1348" s="169"/>
      <c r="N1348" s="169"/>
      <c r="O1348" s="169"/>
      <c r="P1348" s="169"/>
      <c r="Q1348" s="169"/>
      <c r="R1348" s="169"/>
      <c r="S1348" s="169"/>
      <c r="T1348" s="169"/>
      <c r="U1348" s="170"/>
      <c r="V1348" s="171"/>
    </row>
    <row r="1349" spans="1:22" hidden="1" outlineLevel="2" x14ac:dyDescent="0.25">
      <c r="A1349" s="186">
        <f>SUMIFS(МКД!$A$6:$A$389,МКД!$D$6:$D$389,Таблица1[[#This Row],[2]])</f>
        <v>266</v>
      </c>
      <c r="B1349" s="168"/>
      <c r="C1349" s="182" t="s">
        <v>528</v>
      </c>
      <c r="D1349" s="167" t="s">
        <v>1394</v>
      </c>
      <c r="E1349" s="167" t="s">
        <v>2752</v>
      </c>
      <c r="F1349" s="167">
        <v>2</v>
      </c>
      <c r="G1349" s="168">
        <f>SUMIFS(Таблица1[[#This Row],[8]:[19]],$I$5:$T$5,"Выкуп")</f>
        <v>160.6</v>
      </c>
      <c r="H1349" s="168">
        <f>SUMIFS(Таблица1[[#This Row],[8]:[19]],$I$5:$T$5,"Аренда")</f>
        <v>0</v>
      </c>
      <c r="I1349" s="169"/>
      <c r="J1349" s="169"/>
      <c r="K1349" s="169"/>
      <c r="L1349" s="169"/>
      <c r="M1349" s="169">
        <v>160.6</v>
      </c>
      <c r="N1349" s="169"/>
      <c r="O1349" s="169"/>
      <c r="P1349" s="169"/>
      <c r="Q1349" s="169"/>
      <c r="R1349" s="169"/>
      <c r="S1349" s="169"/>
      <c r="T1349" s="169"/>
      <c r="U1349" s="170"/>
      <c r="V1349" s="171"/>
    </row>
    <row r="1350" spans="1:22" ht="15" outlineLevel="1" collapsed="1" x14ac:dyDescent="0.25">
      <c r="A1350" s="186">
        <f>SUMIFS(МКД!$A$6:$A$389,МКД!$D$6:$D$389,Таблица1[[#This Row],[2]])</f>
        <v>267</v>
      </c>
      <c r="B1350" s="194">
        <f>SUMIFS(Таблица1[6],Таблица1[2],Таблица1[[#This Row],[2]])+SUMIFS(Таблица1[7],Таблица1[2],Таблица1[[#This Row],[2]])</f>
        <v>691.4</v>
      </c>
      <c r="C1350" s="185" t="s">
        <v>529</v>
      </c>
      <c r="D1350" s="196"/>
      <c r="E1350" s="196"/>
      <c r="F1350" s="196"/>
      <c r="G1350" s="168"/>
      <c r="H1350" s="197"/>
      <c r="I1350" s="196"/>
      <c r="J1350" s="196"/>
      <c r="K1350" s="196"/>
      <c r="L1350" s="196"/>
      <c r="M1350" s="196"/>
      <c r="N1350" s="196"/>
      <c r="O1350" s="196"/>
      <c r="P1350" s="196"/>
      <c r="Q1350" s="196"/>
      <c r="R1350" s="196"/>
      <c r="S1350" s="196"/>
      <c r="T1350" s="196"/>
      <c r="U1350" s="196"/>
      <c r="V1350" s="198"/>
    </row>
    <row r="1351" spans="1:22" hidden="1" outlineLevel="2" x14ac:dyDescent="0.25">
      <c r="A1351" s="186">
        <f>SUMIFS(МКД!$A$6:$A$389,МКД!$D$6:$D$389,Таблица1[[#This Row],[2]])</f>
        <v>267</v>
      </c>
      <c r="B1351" s="170"/>
      <c r="C1351" s="182" t="s">
        <v>529</v>
      </c>
      <c r="D1351" s="167" t="s">
        <v>964</v>
      </c>
      <c r="E1351" s="167" t="s">
        <v>2304</v>
      </c>
      <c r="F1351" s="167">
        <v>1</v>
      </c>
      <c r="G1351" s="168">
        <f>SUMIFS(Таблица1[[#This Row],[8]:[19]],$I$5:$T$5,"Выкуп")</f>
        <v>451.9</v>
      </c>
      <c r="H1351" s="168">
        <f>SUMIFS(Таблица1[[#This Row],[8]:[19]],$I$5:$T$5,"Аренда")</f>
        <v>0</v>
      </c>
      <c r="I1351" s="169">
        <v>451.9</v>
      </c>
      <c r="J1351" s="169"/>
      <c r="K1351" s="169"/>
      <c r="L1351" s="169"/>
      <c r="M1351" s="169"/>
      <c r="N1351" s="169"/>
      <c r="O1351" s="169"/>
      <c r="P1351" s="169"/>
      <c r="Q1351" s="169"/>
      <c r="R1351" s="169"/>
      <c r="S1351" s="169"/>
      <c r="T1351" s="169"/>
      <c r="U1351" s="170"/>
      <c r="V1351" s="171"/>
    </row>
    <row r="1352" spans="1:22" hidden="1" outlineLevel="2" x14ac:dyDescent="0.25">
      <c r="A1352" s="186">
        <f>SUMIFS(МКД!$A$6:$A$389,МКД!$D$6:$D$389,Таблица1[[#This Row],[2]])</f>
        <v>267</v>
      </c>
      <c r="B1352" s="170"/>
      <c r="C1352" s="182" t="s">
        <v>529</v>
      </c>
      <c r="D1352" s="167" t="s">
        <v>1053</v>
      </c>
      <c r="E1352" s="167" t="s">
        <v>2828</v>
      </c>
      <c r="F1352" s="167">
        <v>1</v>
      </c>
      <c r="G1352" s="168">
        <f>SUMIFS(Таблица1[[#This Row],[8]:[19]],$I$5:$T$5,"Выкуп")</f>
        <v>239.5</v>
      </c>
      <c r="H1352" s="168">
        <f>SUMIFS(Таблица1[[#This Row],[8]:[19]],$I$5:$T$5,"Аренда")</f>
        <v>0</v>
      </c>
      <c r="I1352" s="169"/>
      <c r="J1352" s="169"/>
      <c r="K1352" s="169"/>
      <c r="L1352" s="169"/>
      <c r="M1352" s="169">
        <v>239.5</v>
      </c>
      <c r="N1352" s="169"/>
      <c r="O1352" s="169"/>
      <c r="P1352" s="169"/>
      <c r="Q1352" s="169"/>
      <c r="R1352" s="169"/>
      <c r="S1352" s="169"/>
      <c r="T1352" s="169"/>
      <c r="U1352" s="170"/>
      <c r="V1352" s="171"/>
    </row>
    <row r="1353" spans="1:22" ht="15" outlineLevel="1" collapsed="1" x14ac:dyDescent="0.25">
      <c r="A1353" s="186">
        <f>SUMIFS(МКД!$A$6:$A$389,МКД!$D$6:$D$389,Таблица1[[#This Row],[2]])</f>
        <v>268</v>
      </c>
      <c r="B1353" s="194">
        <f>SUMIFS(Таблица1[6],Таблица1[2],Таблица1[[#This Row],[2]])+SUMIFS(Таблица1[7],Таблица1[2],Таблица1[[#This Row],[2]])</f>
        <v>682.5</v>
      </c>
      <c r="C1353" s="185" t="s">
        <v>530</v>
      </c>
      <c r="D1353" s="196"/>
      <c r="E1353" s="196"/>
      <c r="F1353" s="196"/>
      <c r="G1353" s="168"/>
      <c r="H1353" s="197"/>
      <c r="I1353" s="196"/>
      <c r="J1353" s="196"/>
      <c r="K1353" s="196"/>
      <c r="L1353" s="196"/>
      <c r="M1353" s="196"/>
      <c r="N1353" s="196"/>
      <c r="O1353" s="196"/>
      <c r="P1353" s="196"/>
      <c r="Q1353" s="196"/>
      <c r="R1353" s="196"/>
      <c r="S1353" s="196"/>
      <c r="T1353" s="196"/>
      <c r="U1353" s="196"/>
      <c r="V1353" s="198"/>
    </row>
    <row r="1354" spans="1:22" hidden="1" outlineLevel="2" x14ac:dyDescent="0.25">
      <c r="A1354" s="186">
        <f>SUMIFS(МКД!$A$6:$A$389,МКД!$D$6:$D$389,Таблица1[[#This Row],[2]])</f>
        <v>268</v>
      </c>
      <c r="B1354" s="170"/>
      <c r="C1354" s="182" t="s">
        <v>530</v>
      </c>
      <c r="D1354" s="167" t="s">
        <v>964</v>
      </c>
      <c r="E1354" s="167" t="s">
        <v>303</v>
      </c>
      <c r="F1354" s="167">
        <v>1</v>
      </c>
      <c r="G1354" s="168">
        <f>SUMIFS(Таблица1[[#This Row],[8]:[19]],$I$5:$T$5,"Выкуп")</f>
        <v>441.2</v>
      </c>
      <c r="H1354" s="168">
        <f>SUMIFS(Таблица1[[#This Row],[8]:[19]],$I$5:$T$5,"Аренда")</f>
        <v>0</v>
      </c>
      <c r="I1354" s="169">
        <v>441.2</v>
      </c>
      <c r="J1354" s="169"/>
      <c r="K1354" s="169"/>
      <c r="L1354" s="169"/>
      <c r="M1354" s="169"/>
      <c r="N1354" s="169"/>
      <c r="O1354" s="169"/>
      <c r="P1354" s="169"/>
      <c r="Q1354" s="169"/>
      <c r="R1354" s="169"/>
      <c r="S1354" s="169"/>
      <c r="T1354" s="169"/>
      <c r="U1354" s="170"/>
      <c r="V1354" s="171"/>
    </row>
    <row r="1355" spans="1:22" hidden="1" outlineLevel="2" x14ac:dyDescent="0.25">
      <c r="A1355" s="186">
        <f>SUMIFS(МКД!$A$6:$A$389,МКД!$D$6:$D$389,Таблица1[[#This Row],[2]])</f>
        <v>268</v>
      </c>
      <c r="B1355" s="170"/>
      <c r="C1355" s="182" t="s">
        <v>530</v>
      </c>
      <c r="D1355" s="167" t="s">
        <v>1053</v>
      </c>
      <c r="E1355" s="167" t="s">
        <v>2752</v>
      </c>
      <c r="F1355" s="167">
        <v>1</v>
      </c>
      <c r="G1355" s="168">
        <f>SUMIFS(Таблица1[[#This Row],[8]:[19]],$I$5:$T$5,"Выкуп")</f>
        <v>241.3</v>
      </c>
      <c r="H1355" s="168">
        <f>SUMIFS(Таблица1[[#This Row],[8]:[19]],$I$5:$T$5,"Аренда")</f>
        <v>0</v>
      </c>
      <c r="I1355" s="169"/>
      <c r="J1355" s="169"/>
      <c r="K1355" s="169"/>
      <c r="L1355" s="169"/>
      <c r="M1355" s="169">
        <v>241.3</v>
      </c>
      <c r="N1355" s="169"/>
      <c r="O1355" s="169"/>
      <c r="P1355" s="169"/>
      <c r="Q1355" s="169"/>
      <c r="R1355" s="169"/>
      <c r="S1355" s="169"/>
      <c r="T1355" s="169"/>
      <c r="U1355" s="170"/>
      <c r="V1355" s="171"/>
    </row>
    <row r="1356" spans="1:22" ht="15" outlineLevel="1" collapsed="1" x14ac:dyDescent="0.25">
      <c r="A1356" s="186">
        <f>SUMIFS(МКД!$A$6:$A$389,МКД!$D$6:$D$389,Таблица1[[#This Row],[2]])</f>
        <v>269</v>
      </c>
      <c r="B1356" s="194">
        <f>SUMIFS(Таблица1[6],Таблица1[2],Таблица1[[#This Row],[2]])+SUMIFS(Таблица1[7],Таблица1[2],Таблица1[[#This Row],[2]])</f>
        <v>638.80000000000007</v>
      </c>
      <c r="C1356" s="185" t="s">
        <v>390</v>
      </c>
      <c r="D1356" s="196"/>
      <c r="E1356" s="196"/>
      <c r="F1356" s="196"/>
      <c r="G1356" s="168"/>
      <c r="H1356" s="197"/>
      <c r="I1356" s="196"/>
      <c r="J1356" s="196"/>
      <c r="K1356" s="196"/>
      <c r="L1356" s="196"/>
      <c r="M1356" s="196"/>
      <c r="N1356" s="196"/>
      <c r="O1356" s="196"/>
      <c r="P1356" s="196"/>
      <c r="Q1356" s="196"/>
      <c r="R1356" s="196"/>
      <c r="S1356" s="196"/>
      <c r="T1356" s="196"/>
      <c r="U1356" s="196"/>
      <c r="V1356" s="198"/>
    </row>
    <row r="1357" spans="1:22" hidden="1" outlineLevel="2" x14ac:dyDescent="0.25">
      <c r="A1357" s="186">
        <f>SUMIFS(МКД!$A$6:$A$389,МКД!$D$6:$D$389,Таблица1[[#This Row],[2]])</f>
        <v>269</v>
      </c>
      <c r="B1357" s="170"/>
      <c r="C1357" s="182" t="s">
        <v>390</v>
      </c>
      <c r="D1357" s="167" t="s">
        <v>304</v>
      </c>
      <c r="E1357" s="167" t="s">
        <v>828</v>
      </c>
      <c r="F1357" s="167">
        <v>1</v>
      </c>
      <c r="G1357" s="168">
        <f>SUMIFS(Таблица1[[#This Row],[8]:[19]],$I$5:$T$5,"Выкуп")</f>
        <v>284.2</v>
      </c>
      <c r="H1357" s="168">
        <f>SUMIFS(Таблица1[[#This Row],[8]:[19]],$I$5:$T$5,"Аренда")</f>
        <v>0</v>
      </c>
      <c r="I1357" s="169">
        <v>245.3</v>
      </c>
      <c r="J1357" s="169"/>
      <c r="K1357" s="169">
        <v>38.9</v>
      </c>
      <c r="L1357" s="169"/>
      <c r="M1357" s="169"/>
      <c r="N1357" s="169"/>
      <c r="O1357" s="169"/>
      <c r="P1357" s="169"/>
      <c r="Q1357" s="169"/>
      <c r="R1357" s="169"/>
      <c r="S1357" s="169"/>
      <c r="T1357" s="169"/>
      <c r="U1357" s="170"/>
      <c r="V1357" s="171"/>
    </row>
    <row r="1358" spans="1:22" hidden="1" outlineLevel="2" x14ac:dyDescent="0.25">
      <c r="A1358" s="186">
        <f>SUMIFS(МКД!$A$6:$A$389,МКД!$D$6:$D$389,Таблица1[[#This Row],[2]])</f>
        <v>269</v>
      </c>
      <c r="B1358" s="168"/>
      <c r="C1358" s="182" t="s">
        <v>390</v>
      </c>
      <c r="D1358" s="167" t="s">
        <v>2033</v>
      </c>
      <c r="E1358" s="167" t="s">
        <v>2031</v>
      </c>
      <c r="F1358" s="167">
        <v>1</v>
      </c>
      <c r="G1358" s="168">
        <f>SUMIFS(Таблица1[[#This Row],[8]:[19]],$I$5:$T$5,"Выкуп")</f>
        <v>177.70000000000002</v>
      </c>
      <c r="H1358" s="168">
        <f>SUMIFS(Таблица1[[#This Row],[8]:[19]],$I$5:$T$5,"Аренда")</f>
        <v>0</v>
      </c>
      <c r="I1358" s="169">
        <v>153.30000000000001</v>
      </c>
      <c r="J1358" s="169"/>
      <c r="K1358" s="169">
        <v>24.4</v>
      </c>
      <c r="L1358" s="169"/>
      <c r="M1358" s="169"/>
      <c r="N1358" s="169"/>
      <c r="O1358" s="169"/>
      <c r="P1358" s="169"/>
      <c r="Q1358" s="169"/>
      <c r="R1358" s="169"/>
      <c r="S1358" s="169"/>
      <c r="T1358" s="169"/>
      <c r="U1358" s="170"/>
      <c r="V1358" s="171"/>
    </row>
    <row r="1359" spans="1:22" hidden="1" outlineLevel="2" x14ac:dyDescent="0.25">
      <c r="A1359" s="186">
        <f>SUMIFS(МКД!$A$6:$A$389,МКД!$D$6:$D$389,Таблица1[[#This Row],[2]])</f>
        <v>269</v>
      </c>
      <c r="B1359" s="168"/>
      <c r="C1359" s="182" t="s">
        <v>390</v>
      </c>
      <c r="D1359" s="167" t="s">
        <v>305</v>
      </c>
      <c r="E1359" s="167" t="s">
        <v>2032</v>
      </c>
      <c r="F1359" s="167">
        <v>1</v>
      </c>
      <c r="G1359" s="168">
        <f>SUMIFS(Таблица1[[#This Row],[8]:[19]],$I$5:$T$5,"Выкуп")</f>
        <v>66.2</v>
      </c>
      <c r="H1359" s="168">
        <f>SUMIFS(Таблица1[[#This Row],[8]:[19]],$I$5:$T$5,"Аренда")</f>
        <v>0</v>
      </c>
      <c r="I1359" s="169">
        <v>66.2</v>
      </c>
      <c r="J1359" s="169"/>
      <c r="K1359" s="169"/>
      <c r="L1359" s="169"/>
      <c r="M1359" s="169"/>
      <c r="N1359" s="169"/>
      <c r="O1359" s="169"/>
      <c r="P1359" s="169"/>
      <c r="Q1359" s="169"/>
      <c r="R1359" s="169"/>
      <c r="S1359" s="169"/>
      <c r="T1359" s="169"/>
      <c r="U1359" s="170"/>
      <c r="V1359" s="171"/>
    </row>
    <row r="1360" spans="1:22" hidden="1" outlineLevel="2" x14ac:dyDescent="0.25">
      <c r="A1360" s="186">
        <f>SUMIFS(МКД!$A$6:$A$389,МКД!$D$6:$D$389,Таблица1[[#This Row],[2]])</f>
        <v>269</v>
      </c>
      <c r="B1360" s="168"/>
      <c r="C1360" s="182" t="s">
        <v>390</v>
      </c>
      <c r="D1360" s="167" t="s">
        <v>1394</v>
      </c>
      <c r="E1360" s="167" t="s">
        <v>2752</v>
      </c>
      <c r="F1360" s="167">
        <v>1</v>
      </c>
      <c r="G1360" s="168">
        <f>SUMIFS(Таблица1[[#This Row],[8]:[19]],$I$5:$T$5,"Выкуп")</f>
        <v>110.7</v>
      </c>
      <c r="H1360" s="168">
        <f>SUMIFS(Таблица1[[#This Row],[8]:[19]],$I$5:$T$5,"Аренда")</f>
        <v>0</v>
      </c>
      <c r="I1360" s="169"/>
      <c r="J1360" s="169"/>
      <c r="K1360" s="169"/>
      <c r="L1360" s="169"/>
      <c r="M1360" s="278">
        <v>110.7</v>
      </c>
      <c r="N1360" s="169"/>
      <c r="O1360" s="169"/>
      <c r="P1360" s="169"/>
      <c r="Q1360" s="169"/>
      <c r="R1360" s="169"/>
      <c r="S1360" s="169"/>
      <c r="T1360" s="169"/>
      <c r="U1360" s="170"/>
      <c r="V1360" s="171"/>
    </row>
    <row r="1361" spans="1:22" ht="15" outlineLevel="1" collapsed="1" x14ac:dyDescent="0.25">
      <c r="A1361" s="186">
        <f>SUMIFS(МКД!$A$6:$A$389,МКД!$D$6:$D$389,Таблица1[[#This Row],[2]])</f>
        <v>270</v>
      </c>
      <c r="B1361" s="194">
        <f>SUMIFS(Таблица1[6],Таблица1[2],Таблица1[[#This Row],[2]])+SUMIFS(Таблица1[7],Таблица1[2],Таблица1[[#This Row],[2]])</f>
        <v>41.7</v>
      </c>
      <c r="C1361" s="185" t="s">
        <v>391</v>
      </c>
      <c r="D1361" s="196"/>
      <c r="E1361" s="196"/>
      <c r="F1361" s="196"/>
      <c r="G1361" s="168"/>
      <c r="H1361" s="197"/>
      <c r="I1361" s="196"/>
      <c r="J1361" s="196"/>
      <c r="K1361" s="196"/>
      <c r="L1361" s="196"/>
      <c r="M1361" s="196"/>
      <c r="N1361" s="196"/>
      <c r="O1361" s="196"/>
      <c r="P1361" s="196"/>
      <c r="Q1361" s="196"/>
      <c r="R1361" s="196"/>
      <c r="S1361" s="196"/>
      <c r="T1361" s="196"/>
      <c r="U1361" s="196"/>
      <c r="V1361" s="198"/>
    </row>
    <row r="1362" spans="1:22" hidden="1" outlineLevel="2" x14ac:dyDescent="0.25">
      <c r="A1362" s="186">
        <f>SUMIFS(МКД!$A$6:$A$389,МКД!$D$6:$D$389,Таблица1[[#This Row],[2]])</f>
        <v>270</v>
      </c>
      <c r="B1362" s="170"/>
      <c r="C1362" s="182" t="s">
        <v>391</v>
      </c>
      <c r="D1362" s="167" t="s">
        <v>306</v>
      </c>
      <c r="E1362" s="167" t="s">
        <v>2305</v>
      </c>
      <c r="F1362" s="167">
        <v>1</v>
      </c>
      <c r="G1362" s="168">
        <f>SUMIFS(Таблица1[[#This Row],[8]:[19]],$I$5:$T$5,"Выкуп")</f>
        <v>28.8</v>
      </c>
      <c r="H1362" s="168">
        <f>SUMIFS(Таблица1[[#This Row],[8]:[19]],$I$5:$T$5,"Аренда")</f>
        <v>0</v>
      </c>
      <c r="I1362" s="169">
        <v>28.8</v>
      </c>
      <c r="J1362" s="169"/>
      <c r="K1362" s="169"/>
      <c r="L1362" s="169"/>
      <c r="M1362" s="169"/>
      <c r="N1362" s="169"/>
      <c r="O1362" s="169"/>
      <c r="P1362" s="169"/>
      <c r="Q1362" s="169"/>
      <c r="R1362" s="169"/>
      <c r="S1362" s="169"/>
      <c r="T1362" s="169"/>
      <c r="U1362" s="170"/>
      <c r="V1362" s="171"/>
    </row>
    <row r="1363" spans="1:22" hidden="1" outlineLevel="2" x14ac:dyDescent="0.25">
      <c r="A1363" s="186">
        <f>SUMIFS(МКД!$A$6:$A$389,МКД!$D$6:$D$389,Таблица1[[#This Row],[2]])</f>
        <v>270</v>
      </c>
      <c r="B1363" s="168"/>
      <c r="C1363" s="182" t="s">
        <v>391</v>
      </c>
      <c r="D1363" s="167" t="s">
        <v>307</v>
      </c>
      <c r="E1363" s="167" t="s">
        <v>739</v>
      </c>
      <c r="F1363" s="167">
        <v>1</v>
      </c>
      <c r="G1363" s="168">
        <f>SUMIFS(Таблица1[[#This Row],[8]:[19]],$I$5:$T$5,"Выкуп")</f>
        <v>0</v>
      </c>
      <c r="H1363" s="168">
        <f>SUMIFS(Таблица1[[#This Row],[8]:[19]],$I$5:$T$5,"Аренда")</f>
        <v>12.9</v>
      </c>
      <c r="I1363" s="169"/>
      <c r="J1363" s="169"/>
      <c r="K1363" s="169"/>
      <c r="L1363" s="169"/>
      <c r="M1363" s="169"/>
      <c r="N1363" s="169"/>
      <c r="O1363" s="167"/>
      <c r="P1363" s="169">
        <v>12.9</v>
      </c>
      <c r="Q1363" s="169"/>
      <c r="R1363" s="169"/>
      <c r="S1363" s="169"/>
      <c r="T1363" s="169"/>
      <c r="U1363" s="170"/>
      <c r="V1363" s="171"/>
    </row>
    <row r="1364" spans="1:22" ht="15" outlineLevel="1" collapsed="1" x14ac:dyDescent="0.25">
      <c r="A1364" s="186">
        <f>SUMIFS(МКД!$A$6:$A$389,МКД!$D$6:$D$389,Таблица1[[#This Row],[2]])</f>
        <v>271</v>
      </c>
      <c r="B1364" s="194">
        <f>SUMIFS(Таблица1[6],Таблица1[2],Таблица1[[#This Row],[2]])+SUMIFS(Таблица1[7],Таблица1[2],Таблица1[[#This Row],[2]])</f>
        <v>1187</v>
      </c>
      <c r="C1364" s="185" t="s">
        <v>531</v>
      </c>
      <c r="D1364" s="196"/>
      <c r="E1364" s="196"/>
      <c r="F1364" s="196"/>
      <c r="G1364" s="168"/>
      <c r="H1364" s="197"/>
      <c r="I1364" s="196"/>
      <c r="J1364" s="196"/>
      <c r="K1364" s="196"/>
      <c r="L1364" s="196"/>
      <c r="M1364" s="196"/>
      <c r="N1364" s="196"/>
      <c r="O1364" s="196"/>
      <c r="P1364" s="196"/>
      <c r="Q1364" s="196"/>
      <c r="R1364" s="196"/>
      <c r="S1364" s="196"/>
      <c r="T1364" s="196"/>
      <c r="U1364" s="196"/>
      <c r="V1364" s="198"/>
    </row>
    <row r="1365" spans="1:22" hidden="1" outlineLevel="2" x14ac:dyDescent="0.25">
      <c r="A1365" s="186">
        <f>SUMIFS(МКД!$A$6:$A$389,МКД!$D$6:$D$389,Таблица1[[#This Row],[2]])</f>
        <v>271</v>
      </c>
      <c r="B1365" s="170"/>
      <c r="C1365" s="182" t="s">
        <v>531</v>
      </c>
      <c r="D1365" s="167" t="s">
        <v>1043</v>
      </c>
      <c r="E1365" s="167" t="s">
        <v>206</v>
      </c>
      <c r="F1365" s="167">
        <v>1</v>
      </c>
      <c r="G1365" s="168">
        <f>SUMIFS(Таблица1[[#This Row],[8]:[19]],$I$5:$T$5,"Выкуп")</f>
        <v>167.8</v>
      </c>
      <c r="H1365" s="168">
        <f>SUMIFS(Таблица1[[#This Row],[8]:[19]],$I$5:$T$5,"Аренда")</f>
        <v>0</v>
      </c>
      <c r="I1365" s="169">
        <v>167.8</v>
      </c>
      <c r="J1365" s="169"/>
      <c r="K1365" s="169"/>
      <c r="L1365" s="169"/>
      <c r="M1365" s="169"/>
      <c r="N1365" s="169"/>
      <c r="O1365" s="169"/>
      <c r="P1365" s="169"/>
      <c r="Q1365" s="169"/>
      <c r="R1365" s="169"/>
      <c r="S1365" s="169"/>
      <c r="T1365" s="169"/>
      <c r="U1365" s="170"/>
      <c r="V1365" s="171"/>
    </row>
    <row r="1366" spans="1:22" hidden="1" outlineLevel="2" x14ac:dyDescent="0.25">
      <c r="A1366" s="186">
        <f>SUMIFS(МКД!$A$6:$A$389,МКД!$D$6:$D$389,Таблица1[[#This Row],[2]])</f>
        <v>271</v>
      </c>
      <c r="B1366" s="168"/>
      <c r="C1366" s="182" t="s">
        <v>531</v>
      </c>
      <c r="D1366" s="167" t="s">
        <v>2618</v>
      </c>
      <c r="E1366" s="167" t="s">
        <v>764</v>
      </c>
      <c r="F1366" s="167">
        <v>1</v>
      </c>
      <c r="G1366" s="168">
        <f>SUMIFS(Таблица1[[#This Row],[8]:[19]],$I$5:$T$5,"Выкуп")</f>
        <v>272.5</v>
      </c>
      <c r="H1366" s="168">
        <f>SUMIFS(Таблица1[[#This Row],[8]:[19]],$I$5:$T$5,"Аренда")</f>
        <v>0</v>
      </c>
      <c r="I1366" s="169">
        <v>272.5</v>
      </c>
      <c r="J1366" s="169"/>
      <c r="K1366" s="169"/>
      <c r="L1366" s="169"/>
      <c r="M1366" s="169"/>
      <c r="N1366" s="169"/>
      <c r="O1366" s="169"/>
      <c r="P1366" s="169"/>
      <c r="Q1366" s="169"/>
      <c r="R1366" s="169"/>
      <c r="S1366" s="169"/>
      <c r="T1366" s="169"/>
      <c r="U1366" s="170"/>
      <c r="V1366" s="171"/>
    </row>
    <row r="1367" spans="1:22" hidden="1" outlineLevel="2" x14ac:dyDescent="0.25">
      <c r="A1367" s="186">
        <f>SUMIFS(МКД!$A$6:$A$389,МКД!$D$6:$D$389,Таблица1[[#This Row],[2]])</f>
        <v>271</v>
      </c>
      <c r="B1367" s="168"/>
      <c r="C1367" s="182" t="s">
        <v>531</v>
      </c>
      <c r="D1367" s="167" t="s">
        <v>1042</v>
      </c>
      <c r="E1367" s="167" t="s">
        <v>764</v>
      </c>
      <c r="F1367" s="167">
        <v>1</v>
      </c>
      <c r="G1367" s="168">
        <f>SUMIFS(Таблица1[[#This Row],[8]:[19]],$I$5:$T$5,"Выкуп")</f>
        <v>152.19999999999999</v>
      </c>
      <c r="H1367" s="168">
        <f>SUMIFS(Таблица1[[#This Row],[8]:[19]],$I$5:$T$5,"Аренда")</f>
        <v>0</v>
      </c>
      <c r="I1367" s="169">
        <v>152.19999999999999</v>
      </c>
      <c r="J1367" s="169"/>
      <c r="K1367" s="169"/>
      <c r="L1367" s="169"/>
      <c r="M1367" s="169"/>
      <c r="N1367" s="169"/>
      <c r="O1367" s="169"/>
      <c r="P1367" s="169"/>
      <c r="Q1367" s="169"/>
      <c r="R1367" s="169"/>
      <c r="S1367" s="169"/>
      <c r="T1367" s="169"/>
      <c r="U1367" s="170"/>
      <c r="V1367" s="171"/>
    </row>
    <row r="1368" spans="1:22" hidden="1" outlineLevel="2" x14ac:dyDescent="0.25">
      <c r="A1368" s="186">
        <f>SUMIFS(МКД!$A$6:$A$389,МКД!$D$6:$D$389,Таблица1[[#This Row],[2]])</f>
        <v>271</v>
      </c>
      <c r="B1368" s="168"/>
      <c r="C1368" s="182" t="s">
        <v>531</v>
      </c>
      <c r="D1368" s="167" t="s">
        <v>1446</v>
      </c>
      <c r="E1368" s="167" t="s">
        <v>828</v>
      </c>
      <c r="F1368" s="167">
        <v>1</v>
      </c>
      <c r="G1368" s="168">
        <f>SUMIFS(Таблица1[[#This Row],[8]:[19]],$I$5:$T$5,"Выкуп")</f>
        <v>298.7</v>
      </c>
      <c r="H1368" s="168">
        <f>SUMIFS(Таблица1[[#This Row],[8]:[19]],$I$5:$T$5,"Аренда")</f>
        <v>0</v>
      </c>
      <c r="I1368" s="169">
        <v>116.6</v>
      </c>
      <c r="J1368" s="169"/>
      <c r="K1368" s="169">
        <v>182.1</v>
      </c>
      <c r="L1368" s="169"/>
      <c r="M1368" s="169"/>
      <c r="N1368" s="169"/>
      <c r="O1368" s="169"/>
      <c r="P1368" s="169"/>
      <c r="Q1368" s="169"/>
      <c r="R1368" s="169"/>
      <c r="S1368" s="169"/>
      <c r="T1368" s="169"/>
      <c r="U1368" s="170"/>
      <c r="V1368" s="171"/>
    </row>
    <row r="1369" spans="1:22" hidden="1" outlineLevel="2" x14ac:dyDescent="0.25">
      <c r="A1369" s="186">
        <f>SUMIFS(МКД!$A$6:$A$389,МКД!$D$6:$D$389,Таблица1[[#This Row],[2]])</f>
        <v>271</v>
      </c>
      <c r="B1369" s="168"/>
      <c r="C1369" s="182" t="s">
        <v>531</v>
      </c>
      <c r="D1369" s="167" t="s">
        <v>910</v>
      </c>
      <c r="E1369" s="167" t="s">
        <v>1679</v>
      </c>
      <c r="F1369" s="167"/>
      <c r="G1369" s="168">
        <f>SUMIFS(Таблица1[[#This Row],[8]:[19]],$I$5:$T$5,"Выкуп")</f>
        <v>0</v>
      </c>
      <c r="H1369" s="168">
        <f>SUMIFS(Таблица1[[#This Row],[8]:[19]],$I$5:$T$5,"Аренда")</f>
        <v>0</v>
      </c>
      <c r="I1369" s="169"/>
      <c r="J1369" s="169"/>
      <c r="K1369" s="169"/>
      <c r="L1369" s="169"/>
      <c r="M1369" s="169"/>
      <c r="N1369" s="169"/>
      <c r="O1369" s="169"/>
      <c r="P1369" s="169"/>
      <c r="Q1369" s="169"/>
      <c r="R1369" s="169"/>
      <c r="S1369" s="169"/>
      <c r="T1369" s="169"/>
      <c r="U1369" s="170"/>
      <c r="V1369" s="171"/>
    </row>
    <row r="1370" spans="1:22" hidden="1" outlineLevel="2" x14ac:dyDescent="0.25">
      <c r="A1370" s="186">
        <f>SUMIFS(МКД!$A$6:$A$389,МКД!$D$6:$D$389,Таблица1[[#This Row],[2]])</f>
        <v>271</v>
      </c>
      <c r="B1370" s="168"/>
      <c r="C1370" s="182" t="s">
        <v>531</v>
      </c>
      <c r="D1370" s="167" t="s">
        <v>1394</v>
      </c>
      <c r="E1370" s="167" t="s">
        <v>2752</v>
      </c>
      <c r="F1370" s="167"/>
      <c r="G1370" s="168">
        <f>SUMIFS(Таблица1[[#This Row],[8]:[19]],$I$5:$T$5,"Выкуп")</f>
        <v>295.8</v>
      </c>
      <c r="H1370" s="168">
        <f>SUMIFS(Таблица1[[#This Row],[8]:[19]],$I$5:$T$5,"Аренда")</f>
        <v>0</v>
      </c>
      <c r="I1370" s="169"/>
      <c r="J1370" s="169"/>
      <c r="K1370" s="169"/>
      <c r="L1370" s="169"/>
      <c r="M1370" s="169">
        <v>295.8</v>
      </c>
      <c r="N1370" s="169"/>
      <c r="O1370" s="169"/>
      <c r="P1370" s="169"/>
      <c r="Q1370" s="169"/>
      <c r="R1370" s="169"/>
      <c r="S1370" s="169"/>
      <c r="T1370" s="169"/>
      <c r="U1370" s="170"/>
      <c r="V1370" s="171"/>
    </row>
    <row r="1371" spans="1:22" ht="15" outlineLevel="1" collapsed="1" x14ac:dyDescent="0.25">
      <c r="A1371" s="186">
        <f>SUMIFS(МКД!$A$6:$A$389,МКД!$D$6:$D$389,Таблица1[[#This Row],[2]])</f>
        <v>272</v>
      </c>
      <c r="B1371" s="194">
        <f>SUMIFS(Таблица1[6],Таблица1[2],Таблица1[[#This Row],[2]])+SUMIFS(Таблица1[7],Таблица1[2],Таблица1[[#This Row],[2]])</f>
        <v>680.40000000000009</v>
      </c>
      <c r="C1371" s="185" t="s">
        <v>532</v>
      </c>
      <c r="D1371" s="196"/>
      <c r="E1371" s="196"/>
      <c r="F1371" s="196"/>
      <c r="G1371" s="168"/>
      <c r="H1371" s="197"/>
      <c r="I1371" s="196"/>
      <c r="J1371" s="196"/>
      <c r="K1371" s="196"/>
      <c r="L1371" s="196"/>
      <c r="M1371" s="196"/>
      <c r="N1371" s="196"/>
      <c r="O1371" s="196"/>
      <c r="P1371" s="196"/>
      <c r="Q1371" s="196"/>
      <c r="R1371" s="196"/>
      <c r="S1371" s="196"/>
      <c r="T1371" s="196"/>
      <c r="U1371" s="196"/>
      <c r="V1371" s="198"/>
    </row>
    <row r="1372" spans="1:22" hidden="1" outlineLevel="2" x14ac:dyDescent="0.25">
      <c r="A1372" s="186">
        <f>SUMIFS(МКД!$A$6:$A$389,МКД!$D$6:$D$389,Таблица1[[#This Row],[2]])</f>
        <v>272</v>
      </c>
      <c r="B1372" s="170"/>
      <c r="C1372" s="182" t="s">
        <v>532</v>
      </c>
      <c r="D1372" s="167" t="s">
        <v>2608</v>
      </c>
      <c r="E1372" s="167" t="s">
        <v>308</v>
      </c>
      <c r="F1372" s="167">
        <v>1</v>
      </c>
      <c r="G1372" s="168">
        <f>SUMIFS(Таблица1[[#This Row],[8]:[19]],$I$5:$T$5,"Выкуп")</f>
        <v>190.1</v>
      </c>
      <c r="H1372" s="168">
        <f>SUMIFS(Таблица1[[#This Row],[8]:[19]],$I$5:$T$5,"Аренда")</f>
        <v>0</v>
      </c>
      <c r="I1372" s="169">
        <v>117.3</v>
      </c>
      <c r="J1372" s="169"/>
      <c r="K1372" s="278">
        <v>72.8</v>
      </c>
      <c r="L1372" s="169"/>
      <c r="M1372" s="169"/>
      <c r="N1372" s="169"/>
      <c r="O1372" s="169"/>
      <c r="P1372" s="169"/>
      <c r="Q1372" s="169"/>
      <c r="R1372" s="169"/>
      <c r="S1372" s="169"/>
      <c r="T1372" s="169"/>
      <c r="U1372" s="170"/>
      <c r="V1372" s="171"/>
    </row>
    <row r="1373" spans="1:22" hidden="1" outlineLevel="2" x14ac:dyDescent="0.25">
      <c r="A1373" s="186">
        <f>SUMIFS(МКД!$A$6:$A$389,МКД!$D$6:$D$389,Таблица1[[#This Row],[2]])</f>
        <v>272</v>
      </c>
      <c r="B1373" s="168"/>
      <c r="C1373" s="182" t="s">
        <v>532</v>
      </c>
      <c r="D1373" s="167" t="s">
        <v>2720</v>
      </c>
      <c r="E1373" s="167" t="s">
        <v>2719</v>
      </c>
      <c r="F1373" s="167">
        <v>1</v>
      </c>
      <c r="G1373" s="168">
        <f>SUMIFS(Таблица1[[#This Row],[8]:[19]],$I$5:$T$5,"Выкуп")</f>
        <v>123.6</v>
      </c>
      <c r="H1373" s="168">
        <f>SUMIFS(Таблица1[[#This Row],[8]:[19]],$I$5:$T$5,"Аренда")</f>
        <v>0</v>
      </c>
      <c r="I1373" s="169">
        <v>123.6</v>
      </c>
      <c r="J1373" s="169"/>
      <c r="K1373" s="169"/>
      <c r="L1373" s="169"/>
      <c r="M1373" s="169"/>
      <c r="N1373" s="169"/>
      <c r="O1373" s="169"/>
      <c r="P1373" s="169"/>
      <c r="Q1373" s="169"/>
      <c r="R1373" s="169"/>
      <c r="S1373" s="169"/>
      <c r="T1373" s="169"/>
      <c r="U1373" s="170"/>
      <c r="V1373" s="171"/>
    </row>
    <row r="1374" spans="1:22" hidden="1" outlineLevel="2" x14ac:dyDescent="0.25">
      <c r="A1374" s="186">
        <f>SUMIFS(МКД!$A$6:$A$389,МКД!$D$6:$D$389,Таблица1[[#This Row],[2]])</f>
        <v>272</v>
      </c>
      <c r="B1374" s="168"/>
      <c r="C1374" s="182" t="s">
        <v>532</v>
      </c>
      <c r="D1374" s="167" t="s">
        <v>2094</v>
      </c>
      <c r="E1374" s="167" t="s">
        <v>1688</v>
      </c>
      <c r="F1374" s="167"/>
      <c r="G1374" s="168">
        <f>SUMIFS(Таблица1[[#This Row],[8]:[19]],$I$5:$T$5,"Выкуп")</f>
        <v>11.6</v>
      </c>
      <c r="H1374" s="168">
        <f>SUMIFS(Таблица1[[#This Row],[8]:[19]],$I$5:$T$5,"Аренда")</f>
        <v>0</v>
      </c>
      <c r="I1374" s="169">
        <v>11.6</v>
      </c>
      <c r="J1374" s="169"/>
      <c r="K1374" s="169"/>
      <c r="L1374" s="169"/>
      <c r="M1374" s="169"/>
      <c r="N1374" s="169"/>
      <c r="O1374" s="169"/>
      <c r="P1374" s="169"/>
      <c r="Q1374" s="169"/>
      <c r="R1374" s="169"/>
      <c r="S1374" s="169"/>
      <c r="T1374" s="169"/>
      <c r="U1374" s="170"/>
      <c r="V1374" s="171"/>
    </row>
    <row r="1375" spans="1:22" hidden="1" outlineLevel="2" x14ac:dyDescent="0.25">
      <c r="A1375" s="186">
        <f>SUMIFS(МКД!$A$6:$A$389,МКД!$D$6:$D$389,Таблица1[[#This Row],[2]])</f>
        <v>272</v>
      </c>
      <c r="B1375" s="168"/>
      <c r="C1375" s="182" t="s">
        <v>532</v>
      </c>
      <c r="D1375" s="167" t="s">
        <v>189</v>
      </c>
      <c r="E1375" s="167" t="s">
        <v>116</v>
      </c>
      <c r="F1375" s="167"/>
      <c r="G1375" s="168">
        <f>SUMIFS(Таблица1[[#This Row],[8]:[19]],$I$5:$T$5,"Выкуп")</f>
        <v>0</v>
      </c>
      <c r="H1375" s="168">
        <f>SUMIFS(Таблица1[[#This Row],[8]:[19]],$I$5:$T$5,"Аренда")</f>
        <v>52.2</v>
      </c>
      <c r="I1375" s="169"/>
      <c r="J1375" s="278">
        <v>52.2</v>
      </c>
      <c r="K1375" s="169"/>
      <c r="L1375" s="169"/>
      <c r="M1375" s="169"/>
      <c r="N1375" s="169"/>
      <c r="O1375" s="169"/>
      <c r="P1375" s="169"/>
      <c r="Q1375" s="169"/>
      <c r="R1375" s="169"/>
      <c r="S1375" s="169"/>
      <c r="T1375" s="169"/>
      <c r="U1375" s="170"/>
      <c r="V1375" s="171"/>
    </row>
    <row r="1376" spans="1:22" hidden="1" outlineLevel="2" x14ac:dyDescent="0.25">
      <c r="A1376" s="186">
        <f>SUMIFS(МКД!$A$6:$A$389,МКД!$D$6:$D$389,Таблица1[[#This Row],[2]])</f>
        <v>272</v>
      </c>
      <c r="B1376" s="168"/>
      <c r="C1376" s="182" t="s">
        <v>532</v>
      </c>
      <c r="D1376" s="167" t="s">
        <v>1480</v>
      </c>
      <c r="E1376" s="167" t="s">
        <v>764</v>
      </c>
      <c r="F1376" s="167"/>
      <c r="G1376" s="168">
        <f>SUMIFS(Таблица1[[#This Row],[8]:[19]],$I$5:$T$5,"Выкуп")</f>
        <v>14.9</v>
      </c>
      <c r="H1376" s="168">
        <f>SUMIFS(Таблица1[[#This Row],[8]:[19]],$I$5:$T$5,"Аренда")</f>
        <v>0</v>
      </c>
      <c r="I1376" s="169">
        <v>14.9</v>
      </c>
      <c r="J1376" s="169"/>
      <c r="K1376" s="169"/>
      <c r="L1376" s="169"/>
      <c r="M1376" s="169"/>
      <c r="N1376" s="169"/>
      <c r="O1376" s="169"/>
      <c r="P1376" s="169"/>
      <c r="Q1376" s="169"/>
      <c r="R1376" s="169"/>
      <c r="S1376" s="169"/>
      <c r="T1376" s="169"/>
      <c r="U1376" s="170"/>
      <c r="V1376" s="171"/>
    </row>
    <row r="1377" spans="1:22" hidden="1" outlineLevel="2" x14ac:dyDescent="0.25">
      <c r="A1377" s="186">
        <f>SUMIFS(МКД!$A$6:$A$389,МКД!$D$6:$D$389,Таблица1[[#This Row],[2]])</f>
        <v>272</v>
      </c>
      <c r="B1377" s="168"/>
      <c r="C1377" s="182" t="s">
        <v>532</v>
      </c>
      <c r="D1377" s="167" t="s">
        <v>1053</v>
      </c>
      <c r="E1377" s="167" t="s">
        <v>1949</v>
      </c>
      <c r="F1377" s="167"/>
      <c r="G1377" s="168">
        <f>SUMIFS(Таблица1[[#This Row],[8]:[19]],$I$5:$T$5,"Выкуп")</f>
        <v>27.8</v>
      </c>
      <c r="H1377" s="168">
        <f>SUMIFS(Таблица1[[#This Row],[8]:[19]],$I$5:$T$5,"Аренда")</f>
        <v>0</v>
      </c>
      <c r="I1377" s="169">
        <v>27.8</v>
      </c>
      <c r="J1377" s="169"/>
      <c r="K1377" s="169"/>
      <c r="L1377" s="169"/>
      <c r="M1377" s="169"/>
      <c r="N1377" s="169"/>
      <c r="O1377" s="169"/>
      <c r="P1377" s="169"/>
      <c r="Q1377" s="169"/>
      <c r="R1377" s="169"/>
      <c r="S1377" s="169"/>
      <c r="T1377" s="169"/>
      <c r="U1377" s="170"/>
      <c r="V1377" s="171"/>
    </row>
    <row r="1378" spans="1:22" hidden="1" outlineLevel="2" x14ac:dyDescent="0.25">
      <c r="A1378" s="186">
        <f>SUMIFS(МКД!$A$6:$A$389,МКД!$D$6:$D$389,Таблица1[[#This Row],[2]])</f>
        <v>272</v>
      </c>
      <c r="B1378" s="168"/>
      <c r="C1378" s="182" t="s">
        <v>532</v>
      </c>
      <c r="D1378" s="167" t="s">
        <v>1053</v>
      </c>
      <c r="E1378" s="167" t="s">
        <v>2828</v>
      </c>
      <c r="F1378" s="167"/>
      <c r="G1378" s="168">
        <f>SUMIFS(Таблица1[[#This Row],[8]:[19]],$I$5:$T$5,"Выкуп")</f>
        <v>260.2</v>
      </c>
      <c r="H1378" s="168">
        <f>SUMIFS(Таблица1[[#This Row],[8]:[19]],$I$5:$T$5,"Аренда")</f>
        <v>0</v>
      </c>
      <c r="I1378" s="169"/>
      <c r="J1378" s="169"/>
      <c r="K1378" s="169"/>
      <c r="L1378" s="169"/>
      <c r="M1378" s="169">
        <v>260.2</v>
      </c>
      <c r="N1378" s="169"/>
      <c r="O1378" s="169"/>
      <c r="P1378" s="169"/>
      <c r="Q1378" s="169"/>
      <c r="R1378" s="169"/>
      <c r="S1378" s="169"/>
      <c r="T1378" s="169"/>
      <c r="U1378" s="170"/>
      <c r="V1378" s="171"/>
    </row>
    <row r="1379" spans="1:22" ht="15" outlineLevel="1" collapsed="1" x14ac:dyDescent="0.25">
      <c r="A1379" s="186">
        <f>SUMIFS(МКД!$A$6:$A$389,МКД!$D$6:$D$389,Таблица1[[#This Row],[2]])</f>
        <v>273</v>
      </c>
      <c r="B1379" s="194">
        <f>SUMIFS(Таблица1[6],Таблица1[2],Таблица1[[#This Row],[2]])+SUMIFS(Таблица1[7],Таблица1[2],Таблица1[[#This Row],[2]])</f>
        <v>1450</v>
      </c>
      <c r="C1379" s="185" t="s">
        <v>392</v>
      </c>
      <c r="D1379" s="196"/>
      <c r="E1379" s="196"/>
      <c r="F1379" s="196"/>
      <c r="G1379" s="168"/>
      <c r="H1379" s="197"/>
      <c r="I1379" s="196"/>
      <c r="J1379" s="196"/>
      <c r="K1379" s="196"/>
      <c r="L1379" s="196"/>
      <c r="M1379" s="196"/>
      <c r="N1379" s="196"/>
      <c r="O1379" s="196"/>
      <c r="P1379" s="196"/>
      <c r="Q1379" s="196"/>
      <c r="R1379" s="196"/>
      <c r="S1379" s="196"/>
      <c r="T1379" s="196"/>
      <c r="U1379" s="196"/>
      <c r="V1379" s="198"/>
    </row>
    <row r="1380" spans="1:22" hidden="1" outlineLevel="2" x14ac:dyDescent="0.25">
      <c r="A1380" s="186">
        <f>SUMIFS(МКД!$A$6:$A$389,МКД!$D$6:$D$389,Таблица1[[#This Row],[2]])</f>
        <v>273</v>
      </c>
      <c r="B1380" s="170"/>
      <c r="C1380" s="182" t="s">
        <v>392</v>
      </c>
      <c r="D1380" s="167" t="s">
        <v>1897</v>
      </c>
      <c r="E1380" s="167" t="s">
        <v>1882</v>
      </c>
      <c r="F1380" s="167">
        <v>1</v>
      </c>
      <c r="G1380" s="168">
        <f>SUMIFS(Таблица1[[#This Row],[8]:[19]],$I$5:$T$5,"Выкуп")</f>
        <v>76.099999999999994</v>
      </c>
      <c r="H1380" s="168">
        <f>SUMIFS(Таблица1[[#This Row],[8]:[19]],$I$5:$T$5,"Аренда")</f>
        <v>0</v>
      </c>
      <c r="I1380" s="169">
        <v>76.099999999999994</v>
      </c>
      <c r="J1380" s="169"/>
      <c r="K1380" s="169"/>
      <c r="L1380" s="169"/>
      <c r="M1380" s="169"/>
      <c r="N1380" s="169"/>
      <c r="O1380" s="169"/>
      <c r="P1380" s="169"/>
      <c r="Q1380" s="169"/>
      <c r="R1380" s="169"/>
      <c r="S1380" s="169"/>
      <c r="T1380" s="169"/>
      <c r="U1380" s="170"/>
      <c r="V1380" s="171"/>
    </row>
    <row r="1381" spans="1:22" hidden="1" outlineLevel="2" x14ac:dyDescent="0.25">
      <c r="A1381" s="186">
        <f>SUMIFS(МКД!$A$6:$A$389,МКД!$D$6:$D$389,Таблица1[[#This Row],[2]])</f>
        <v>273</v>
      </c>
      <c r="B1381" s="170"/>
      <c r="C1381" s="182" t="s">
        <v>392</v>
      </c>
      <c r="D1381" s="167" t="s">
        <v>2533</v>
      </c>
      <c r="E1381" s="167" t="s">
        <v>1866</v>
      </c>
      <c r="F1381" s="167">
        <v>1</v>
      </c>
      <c r="G1381" s="168">
        <f>SUMIFS(Таблица1[[#This Row],[8]:[19]],$I$5:$T$5,"Выкуп")</f>
        <v>116.7</v>
      </c>
      <c r="H1381" s="168">
        <f>SUMIFS(Таблица1[[#This Row],[8]:[19]],$I$5:$T$5,"Аренда")</f>
        <v>0</v>
      </c>
      <c r="I1381" s="169">
        <v>116.7</v>
      </c>
      <c r="J1381" s="169"/>
      <c r="K1381" s="169"/>
      <c r="L1381" s="169"/>
      <c r="M1381" s="169"/>
      <c r="N1381" s="169"/>
      <c r="O1381" s="169"/>
      <c r="P1381" s="169"/>
      <c r="Q1381" s="169"/>
      <c r="R1381" s="169"/>
      <c r="S1381" s="169"/>
      <c r="T1381" s="169"/>
      <c r="U1381" s="170"/>
      <c r="V1381" s="171"/>
    </row>
    <row r="1382" spans="1:22" hidden="1" outlineLevel="2" x14ac:dyDescent="0.25">
      <c r="A1382" s="186">
        <f>SUMIFS(МКД!$A$6:$A$389,МКД!$D$6:$D$389,Таблица1[[#This Row],[2]])</f>
        <v>273</v>
      </c>
      <c r="B1382" s="168"/>
      <c r="C1382" s="182" t="s">
        <v>392</v>
      </c>
      <c r="D1382" s="167" t="s">
        <v>1643</v>
      </c>
      <c r="E1382" s="167" t="s">
        <v>889</v>
      </c>
      <c r="F1382" s="167">
        <v>1</v>
      </c>
      <c r="G1382" s="168">
        <f>SUMIFS(Таблица1[[#This Row],[8]:[19]],$I$5:$T$5,"Выкуп")</f>
        <v>295.3</v>
      </c>
      <c r="H1382" s="168">
        <f>SUMIFS(Таблица1[[#This Row],[8]:[19]],$I$5:$T$5,"Аренда")</f>
        <v>0</v>
      </c>
      <c r="I1382" s="169">
        <v>295.3</v>
      </c>
      <c r="J1382" s="169"/>
      <c r="K1382" s="169"/>
      <c r="L1382" s="169"/>
      <c r="M1382" s="169"/>
      <c r="N1382" s="169"/>
      <c r="O1382" s="169"/>
      <c r="P1382" s="169"/>
      <c r="Q1382" s="169"/>
      <c r="R1382" s="169"/>
      <c r="S1382" s="169"/>
      <c r="T1382" s="169"/>
      <c r="U1382" s="170"/>
      <c r="V1382" s="171"/>
    </row>
    <row r="1383" spans="1:22" hidden="1" outlineLevel="2" x14ac:dyDescent="0.25">
      <c r="A1383" s="186">
        <f>SUMIFS(МКД!$A$6:$A$389,МКД!$D$6:$D$389,Таблица1[[#This Row],[2]])</f>
        <v>273</v>
      </c>
      <c r="B1383" s="168"/>
      <c r="C1383" s="182" t="s">
        <v>392</v>
      </c>
      <c r="D1383" s="167" t="s">
        <v>2146</v>
      </c>
      <c r="E1383" s="167" t="s">
        <v>2318</v>
      </c>
      <c r="F1383" s="167">
        <v>1</v>
      </c>
      <c r="G1383" s="168">
        <f>SUMIFS(Таблица1[[#This Row],[8]:[19]],$I$5:$T$5,"Выкуп")</f>
        <v>325.39999999999998</v>
      </c>
      <c r="H1383" s="168">
        <f>SUMIFS(Таблица1[[#This Row],[8]:[19]],$I$5:$T$5,"Аренда")</f>
        <v>0</v>
      </c>
      <c r="I1383" s="169">
        <v>325.39999999999998</v>
      </c>
      <c r="J1383" s="169"/>
      <c r="K1383" s="169"/>
      <c r="L1383" s="169"/>
      <c r="M1383" s="169"/>
      <c r="N1383" s="169"/>
      <c r="O1383" s="169"/>
      <c r="P1383" s="169"/>
      <c r="Q1383" s="169"/>
      <c r="R1383" s="169"/>
      <c r="S1383" s="169"/>
      <c r="T1383" s="169"/>
      <c r="U1383" s="170"/>
      <c r="V1383" s="171"/>
    </row>
    <row r="1384" spans="1:22" hidden="1" outlineLevel="2" x14ac:dyDescent="0.25">
      <c r="A1384" s="186">
        <f>SUMIFS(МКД!$A$6:$A$389,МКД!$D$6:$D$389,Таблица1[[#This Row],[2]])</f>
        <v>273</v>
      </c>
      <c r="B1384" s="168"/>
      <c r="C1384" s="182" t="s">
        <v>392</v>
      </c>
      <c r="D1384" s="167" t="s">
        <v>2320</v>
      </c>
      <c r="E1384" s="167" t="s">
        <v>1644</v>
      </c>
      <c r="F1384" s="167">
        <v>1</v>
      </c>
      <c r="G1384" s="168">
        <f>SUMIFS(Таблица1[[#This Row],[8]:[19]],$I$5:$T$5,"Выкуп")</f>
        <v>0</v>
      </c>
      <c r="H1384" s="168">
        <f>SUMIFS(Таблица1[[#This Row],[8]:[19]],$I$5:$T$5,"Аренда")</f>
        <v>9.5</v>
      </c>
      <c r="I1384" s="169"/>
      <c r="J1384" s="169"/>
      <c r="K1384" s="169"/>
      <c r="L1384" s="169"/>
      <c r="M1384" s="169"/>
      <c r="N1384" s="169"/>
      <c r="O1384" s="169"/>
      <c r="P1384" s="169">
        <v>9.5</v>
      </c>
      <c r="Q1384" s="169"/>
      <c r="R1384" s="169"/>
      <c r="S1384" s="169"/>
      <c r="T1384" s="169"/>
      <c r="U1384" s="170"/>
      <c r="V1384" s="171"/>
    </row>
    <row r="1385" spans="1:22" hidden="1" outlineLevel="2" x14ac:dyDescent="0.25">
      <c r="A1385" s="186">
        <f>SUMIFS(МКД!$A$6:$A$389,МКД!$D$6:$D$389,Таблица1[[#This Row],[2]])</f>
        <v>273</v>
      </c>
      <c r="B1385" s="168"/>
      <c r="C1385" s="182" t="s">
        <v>392</v>
      </c>
      <c r="D1385" s="167" t="s">
        <v>1826</v>
      </c>
      <c r="E1385" s="167" t="s">
        <v>2321</v>
      </c>
      <c r="F1385" s="167">
        <v>1</v>
      </c>
      <c r="G1385" s="168">
        <f>SUMIFS(Таблица1[[#This Row],[8]:[19]],$I$5:$T$5,"Выкуп")</f>
        <v>275.70000000000005</v>
      </c>
      <c r="H1385" s="168">
        <f>SUMIFS(Таблица1[[#This Row],[8]:[19]],$I$5:$T$5,"Аренда")</f>
        <v>0</v>
      </c>
      <c r="I1385" s="169">
        <v>158.80000000000001</v>
      </c>
      <c r="J1385" s="169"/>
      <c r="K1385" s="169">
        <v>116.9</v>
      </c>
      <c r="L1385" s="169"/>
      <c r="M1385" s="169"/>
      <c r="N1385" s="169"/>
      <c r="O1385" s="169"/>
      <c r="P1385" s="169"/>
      <c r="Q1385" s="169"/>
      <c r="R1385" s="169"/>
      <c r="S1385" s="169"/>
      <c r="T1385" s="169"/>
      <c r="U1385" s="170"/>
      <c r="V1385" s="171"/>
    </row>
    <row r="1386" spans="1:22" hidden="1" outlineLevel="2" x14ac:dyDescent="0.25">
      <c r="A1386" s="186">
        <f>SUMIFS(МКД!$A$6:$A$389,МКД!$D$6:$D$389,Таблица1[[#This Row],[2]])</f>
        <v>273</v>
      </c>
      <c r="B1386" s="168"/>
      <c r="C1386" s="182" t="s">
        <v>392</v>
      </c>
      <c r="D1386" s="167" t="s">
        <v>2319</v>
      </c>
      <c r="E1386" s="167" t="s">
        <v>1645</v>
      </c>
      <c r="F1386" s="167">
        <v>1</v>
      </c>
      <c r="G1386" s="168">
        <f>SUMIFS(Таблица1[[#This Row],[8]:[19]],$I$5:$T$5,"Выкуп")</f>
        <v>52.8</v>
      </c>
      <c r="H1386" s="168">
        <f>SUMIFS(Таблица1[[#This Row],[8]:[19]],$I$5:$T$5,"Аренда")</f>
        <v>16.600000000000001</v>
      </c>
      <c r="I1386" s="169">
        <v>52.8</v>
      </c>
      <c r="J1386" s="169"/>
      <c r="K1386" s="169"/>
      <c r="L1386" s="169"/>
      <c r="M1386" s="169"/>
      <c r="N1386" s="169"/>
      <c r="O1386" s="169"/>
      <c r="P1386" s="169">
        <v>16.600000000000001</v>
      </c>
      <c r="Q1386" s="169"/>
      <c r="R1386" s="169"/>
      <c r="S1386" s="169"/>
      <c r="T1386" s="169"/>
      <c r="U1386" s="170"/>
      <c r="V1386" s="171"/>
    </row>
    <row r="1387" spans="1:22" hidden="1" outlineLevel="2" x14ac:dyDescent="0.25">
      <c r="A1387" s="186">
        <f>SUMIFS(МКД!$A$6:$A$389,МКД!$D$6:$D$389,Таблица1[[#This Row],[2]])</f>
        <v>273</v>
      </c>
      <c r="B1387" s="168"/>
      <c r="C1387" s="182" t="s">
        <v>392</v>
      </c>
      <c r="D1387" s="167" t="s">
        <v>309</v>
      </c>
      <c r="E1387" s="167" t="s">
        <v>764</v>
      </c>
      <c r="F1387" s="167">
        <v>1</v>
      </c>
      <c r="G1387" s="168">
        <f>SUMIFS(Таблица1[[#This Row],[8]:[19]],$I$5:$T$5,"Выкуп")</f>
        <v>49</v>
      </c>
      <c r="H1387" s="168">
        <f>SUMIFS(Таблица1[[#This Row],[8]:[19]],$I$5:$T$5,"Аренда")</f>
        <v>0</v>
      </c>
      <c r="I1387" s="169">
        <v>12.2</v>
      </c>
      <c r="J1387" s="169"/>
      <c r="K1387" s="169">
        <v>36.799999999999997</v>
      </c>
      <c r="L1387" s="169"/>
      <c r="M1387" s="169"/>
      <c r="N1387" s="169"/>
      <c r="O1387" s="169"/>
      <c r="P1387" s="169"/>
      <c r="Q1387" s="169"/>
      <c r="R1387" s="169"/>
      <c r="S1387" s="169"/>
      <c r="T1387" s="169"/>
      <c r="U1387" s="170"/>
      <c r="V1387" s="171"/>
    </row>
    <row r="1388" spans="1:22" hidden="1" outlineLevel="2" x14ac:dyDescent="0.25">
      <c r="A1388" s="186">
        <f>SUMIFS(МКД!$A$6:$A$389,МКД!$D$6:$D$389,Таблица1[[#This Row],[2]])</f>
        <v>273</v>
      </c>
      <c r="B1388" s="168"/>
      <c r="C1388" s="182" t="s">
        <v>392</v>
      </c>
      <c r="D1388" s="167" t="s">
        <v>1642</v>
      </c>
      <c r="E1388" s="167" t="s">
        <v>1641</v>
      </c>
      <c r="F1388" s="167">
        <v>1</v>
      </c>
      <c r="G1388" s="168">
        <f>SUMIFS(Таблица1[[#This Row],[8]:[19]],$I$5:$T$5,"Выкуп")</f>
        <v>39</v>
      </c>
      <c r="H1388" s="168">
        <f>SUMIFS(Таблица1[[#This Row],[8]:[19]],$I$5:$T$5,"Аренда")</f>
        <v>0</v>
      </c>
      <c r="I1388" s="169">
        <v>39</v>
      </c>
      <c r="J1388" s="169"/>
      <c r="K1388" s="169"/>
      <c r="L1388" s="169"/>
      <c r="M1388" s="169"/>
      <c r="N1388" s="169"/>
      <c r="O1388" s="169"/>
      <c r="P1388" s="169"/>
      <c r="Q1388" s="169"/>
      <c r="R1388" s="169"/>
      <c r="S1388" s="169"/>
      <c r="T1388" s="169"/>
      <c r="U1388" s="170"/>
      <c r="V1388" s="171"/>
    </row>
    <row r="1389" spans="1:22" hidden="1" outlineLevel="2" x14ac:dyDescent="0.25">
      <c r="A1389" s="186">
        <f>SUMIFS(МКД!$A$6:$A$389,МКД!$D$6:$D$389,Таблица1[[#This Row],[2]])</f>
        <v>273</v>
      </c>
      <c r="B1389" s="168"/>
      <c r="C1389" s="182" t="s">
        <v>392</v>
      </c>
      <c r="D1389" s="167" t="s">
        <v>1394</v>
      </c>
      <c r="E1389" s="167" t="s">
        <v>2752</v>
      </c>
      <c r="F1389" s="167">
        <v>1</v>
      </c>
      <c r="G1389" s="168">
        <f>SUMIFS(Таблица1[[#This Row],[8]:[19]],$I$5:$T$5,"Выкуп")</f>
        <v>193.9</v>
      </c>
      <c r="H1389" s="168">
        <f>SUMIFS(Таблица1[[#This Row],[8]:[19]],$I$5:$T$5,"Аренда")</f>
        <v>0</v>
      </c>
      <c r="I1389" s="169"/>
      <c r="J1389" s="169"/>
      <c r="K1389" s="169"/>
      <c r="L1389" s="169"/>
      <c r="M1389" s="169">
        <v>193.9</v>
      </c>
      <c r="N1389" s="169"/>
      <c r="O1389" s="169"/>
      <c r="P1389" s="169"/>
      <c r="Q1389" s="169"/>
      <c r="R1389" s="169"/>
      <c r="S1389" s="169"/>
      <c r="T1389" s="169"/>
      <c r="U1389" s="170"/>
      <c r="V1389" s="171"/>
    </row>
    <row r="1390" spans="1:22" ht="15" outlineLevel="1" collapsed="1" x14ac:dyDescent="0.25">
      <c r="A1390" s="186">
        <f>SUMIFS(МКД!$A$6:$A$389,МКД!$D$6:$D$389,Таблица1[[#This Row],[2]])</f>
        <v>274</v>
      </c>
      <c r="B1390" s="194">
        <f>SUMIFS(Таблица1[6],Таблица1[2],Таблица1[[#This Row],[2]])+SUMIFS(Таблица1[7],Таблица1[2],Таблица1[[#This Row],[2]])</f>
        <v>680.4</v>
      </c>
      <c r="C1390" s="185" t="s">
        <v>393</v>
      </c>
      <c r="D1390" s="196"/>
      <c r="E1390" s="196"/>
      <c r="F1390" s="196"/>
      <c r="G1390" s="168"/>
      <c r="H1390" s="197"/>
      <c r="I1390" s="196"/>
      <c r="J1390" s="196"/>
      <c r="K1390" s="196"/>
      <c r="L1390" s="196"/>
      <c r="M1390" s="196"/>
      <c r="N1390" s="196"/>
      <c r="O1390" s="196"/>
      <c r="P1390" s="196"/>
      <c r="Q1390" s="196"/>
      <c r="R1390" s="196"/>
      <c r="S1390" s="196"/>
      <c r="T1390" s="196"/>
      <c r="U1390" s="196"/>
      <c r="V1390" s="198"/>
    </row>
    <row r="1391" spans="1:22" hidden="1" outlineLevel="2" x14ac:dyDescent="0.25">
      <c r="A1391" s="186">
        <f>SUMIFS(МКД!$A$6:$A$389,МКД!$D$6:$D$389,Таблица1[[#This Row],[2]])</f>
        <v>274</v>
      </c>
      <c r="B1391" s="170"/>
      <c r="C1391" s="182" t="s">
        <v>393</v>
      </c>
      <c r="D1391" s="167" t="s">
        <v>970</v>
      </c>
      <c r="E1391" s="167" t="s">
        <v>1830</v>
      </c>
      <c r="F1391" s="167">
        <v>1</v>
      </c>
      <c r="G1391" s="168">
        <f>SUMIFS(Таблица1[[#This Row],[8]:[19]],$I$5:$T$5,"Выкуп")</f>
        <v>559.1</v>
      </c>
      <c r="H1391" s="168">
        <f>SUMIFS(Таблица1[[#This Row],[8]:[19]],$I$5:$T$5,"Аренда")</f>
        <v>0</v>
      </c>
      <c r="I1391" s="169">
        <v>446.4</v>
      </c>
      <c r="J1391" s="169"/>
      <c r="K1391" s="169">
        <v>52.8</v>
      </c>
      <c r="L1391" s="169"/>
      <c r="M1391" s="169"/>
      <c r="N1391" s="169"/>
      <c r="O1391" s="169"/>
      <c r="P1391" s="169"/>
      <c r="Q1391" s="169"/>
      <c r="R1391" s="169"/>
      <c r="S1391" s="169">
        <v>59.9</v>
      </c>
      <c r="T1391" s="169"/>
      <c r="U1391" s="170"/>
      <c r="V1391" s="171"/>
    </row>
    <row r="1392" spans="1:22" hidden="1" outlineLevel="2" x14ac:dyDescent="0.25">
      <c r="A1392" s="186">
        <f>SUMIFS(МКД!$A$6:$A$389,МКД!$D$6:$D$389,Таблица1[[#This Row],[2]])</f>
        <v>274</v>
      </c>
      <c r="B1392" s="170"/>
      <c r="C1392" s="182" t="s">
        <v>393</v>
      </c>
      <c r="D1392" s="167" t="s">
        <v>1053</v>
      </c>
      <c r="E1392" s="167" t="s">
        <v>2752</v>
      </c>
      <c r="F1392" s="167">
        <v>1</v>
      </c>
      <c r="G1392" s="168">
        <f>SUMIFS(Таблица1[[#This Row],[8]:[19]],$I$5:$T$5,"Выкуп")</f>
        <v>121.3</v>
      </c>
      <c r="H1392" s="168">
        <f>SUMIFS(Таблица1[[#This Row],[8]:[19]],$I$5:$T$5,"Аренда")</f>
        <v>0</v>
      </c>
      <c r="I1392" s="169"/>
      <c r="J1392" s="169"/>
      <c r="K1392" s="169"/>
      <c r="L1392" s="169"/>
      <c r="M1392" s="278">
        <v>121.3</v>
      </c>
      <c r="N1392" s="169"/>
      <c r="O1392" s="169"/>
      <c r="P1392" s="169"/>
      <c r="Q1392" s="169"/>
      <c r="R1392" s="169"/>
      <c r="S1392" s="169"/>
      <c r="T1392" s="169"/>
      <c r="U1392" s="170"/>
      <c r="V1392" s="171"/>
    </row>
    <row r="1393" spans="1:22" ht="15" outlineLevel="1" collapsed="1" x14ac:dyDescent="0.25">
      <c r="A1393" s="186">
        <f>SUMIFS(МКД!$A$6:$A$389,МКД!$D$6:$D$389,Таблица1[[#This Row],[2]])</f>
        <v>275</v>
      </c>
      <c r="B1393" s="194">
        <f>SUMIFS(Таблица1[6],Таблица1[2],Таблица1[[#This Row],[2]])+SUMIFS(Таблица1[7],Таблица1[2],Таблица1[[#This Row],[2]])</f>
        <v>865.9</v>
      </c>
      <c r="C1393" s="185" t="s">
        <v>533</v>
      </c>
      <c r="D1393" s="196"/>
      <c r="E1393" s="196"/>
      <c r="F1393" s="196"/>
      <c r="G1393" s="168"/>
      <c r="H1393" s="197"/>
      <c r="I1393" s="196"/>
      <c r="J1393" s="196"/>
      <c r="K1393" s="196"/>
      <c r="L1393" s="196"/>
      <c r="M1393" s="196"/>
      <c r="N1393" s="196"/>
      <c r="O1393" s="196"/>
      <c r="P1393" s="196"/>
      <c r="Q1393" s="196"/>
      <c r="R1393" s="196"/>
      <c r="S1393" s="196"/>
      <c r="T1393" s="196"/>
      <c r="U1393" s="196"/>
      <c r="V1393" s="198"/>
    </row>
    <row r="1394" spans="1:22" hidden="1" outlineLevel="2" x14ac:dyDescent="0.25">
      <c r="A1394" s="186">
        <f>SUMIFS(МКД!$A$6:$A$389,МКД!$D$6:$D$389,Таблица1[[#This Row],[2]])</f>
        <v>275</v>
      </c>
      <c r="B1394" s="170"/>
      <c r="C1394" s="182" t="s">
        <v>533</v>
      </c>
      <c r="D1394" s="167" t="s">
        <v>2033</v>
      </c>
      <c r="E1394" s="167" t="s">
        <v>828</v>
      </c>
      <c r="F1394" s="167">
        <v>1</v>
      </c>
      <c r="G1394" s="168">
        <f>SUMIFS(Таблица1[[#This Row],[8]:[19]],$I$5:$T$5,"Выкуп")</f>
        <v>263.7</v>
      </c>
      <c r="H1394" s="168">
        <f>SUMIFS(Таблица1[[#This Row],[8]:[19]],$I$5:$T$5,"Аренда")</f>
        <v>0</v>
      </c>
      <c r="I1394" s="169"/>
      <c r="J1394" s="169"/>
      <c r="K1394" s="169">
        <f>134.1+129.6</f>
        <v>263.7</v>
      </c>
      <c r="L1394" s="169"/>
      <c r="M1394" s="169"/>
      <c r="N1394" s="169"/>
      <c r="O1394" s="169"/>
      <c r="P1394" s="169"/>
      <c r="Q1394" s="169"/>
      <c r="R1394" s="169"/>
      <c r="S1394" s="169"/>
      <c r="T1394" s="169"/>
      <c r="U1394" s="170"/>
      <c r="V1394" s="171"/>
    </row>
    <row r="1395" spans="1:22" hidden="1" outlineLevel="2" x14ac:dyDescent="0.25">
      <c r="A1395" s="186">
        <f>SUMIFS(МКД!$A$6:$A$389,МКД!$D$6:$D$389,Таблица1[[#This Row],[2]])</f>
        <v>275</v>
      </c>
      <c r="B1395" s="168"/>
      <c r="C1395" s="182" t="s">
        <v>533</v>
      </c>
      <c r="D1395" s="167" t="s">
        <v>310</v>
      </c>
      <c r="E1395" s="167" t="s">
        <v>764</v>
      </c>
      <c r="F1395" s="167">
        <v>1</v>
      </c>
      <c r="G1395" s="168">
        <f>SUMIFS(Таблица1[[#This Row],[8]:[19]],$I$5:$T$5,"Выкуп")</f>
        <v>137</v>
      </c>
      <c r="H1395" s="168">
        <f>SUMIFS(Таблица1[[#This Row],[8]:[19]],$I$5:$T$5,"Аренда")</f>
        <v>0</v>
      </c>
      <c r="I1395" s="169"/>
      <c r="J1395" s="169"/>
      <c r="K1395" s="169">
        <v>137</v>
      </c>
      <c r="L1395" s="169"/>
      <c r="M1395" s="169"/>
      <c r="N1395" s="169"/>
      <c r="O1395" s="169"/>
      <c r="P1395" s="169"/>
      <c r="Q1395" s="169"/>
      <c r="R1395" s="169"/>
      <c r="S1395" s="169"/>
      <c r="T1395" s="169"/>
      <c r="U1395" s="170"/>
      <c r="V1395" s="171"/>
    </row>
    <row r="1396" spans="1:22" hidden="1" outlineLevel="2" x14ac:dyDescent="0.25">
      <c r="A1396" s="186">
        <f>SUMIFS(МКД!$A$6:$A$389,МКД!$D$6:$D$389,Таблица1[[#This Row],[2]])</f>
        <v>275</v>
      </c>
      <c r="B1396" s="168"/>
      <c r="C1396" s="182" t="s">
        <v>533</v>
      </c>
      <c r="D1396" s="167" t="s">
        <v>2254</v>
      </c>
      <c r="E1396" s="167" t="s">
        <v>2322</v>
      </c>
      <c r="F1396" s="167">
        <v>1</v>
      </c>
      <c r="G1396" s="168">
        <f>SUMIFS(Таблица1[[#This Row],[8]:[19]],$I$5:$T$5,"Выкуп")</f>
        <v>73.400000000000006</v>
      </c>
      <c r="H1396" s="168">
        <f>SUMIFS(Таблица1[[#This Row],[8]:[19]],$I$5:$T$5,"Аренда")</f>
        <v>0</v>
      </c>
      <c r="I1396" s="169">
        <v>47</v>
      </c>
      <c r="J1396" s="169"/>
      <c r="K1396" s="169">
        <v>26.4</v>
      </c>
      <c r="L1396" s="169"/>
      <c r="M1396" s="169"/>
      <c r="N1396" s="169"/>
      <c r="O1396" s="169"/>
      <c r="P1396" s="169"/>
      <c r="Q1396" s="169"/>
      <c r="R1396" s="169"/>
      <c r="S1396" s="169"/>
      <c r="T1396" s="169"/>
      <c r="U1396" s="170"/>
      <c r="V1396" s="171"/>
    </row>
    <row r="1397" spans="1:22" hidden="1" outlineLevel="2" x14ac:dyDescent="0.25">
      <c r="A1397" s="186">
        <f>SUMIFS(МКД!$A$6:$A$389,МКД!$D$6:$D$389,Таблица1[[#This Row],[2]])</f>
        <v>275</v>
      </c>
      <c r="B1397" s="168"/>
      <c r="C1397" s="182" t="s">
        <v>533</v>
      </c>
      <c r="D1397" s="167" t="s">
        <v>2323</v>
      </c>
      <c r="E1397" s="167" t="s">
        <v>2034</v>
      </c>
      <c r="F1397" s="167">
        <v>1</v>
      </c>
      <c r="G1397" s="168">
        <f>SUMIFS(Таблица1[[#This Row],[8]:[19]],$I$5:$T$5,"Выкуп")</f>
        <v>250.5</v>
      </c>
      <c r="H1397" s="168">
        <f>SUMIFS(Таблица1[[#This Row],[8]:[19]],$I$5:$T$5,"Аренда")</f>
        <v>0</v>
      </c>
      <c r="I1397" s="169"/>
      <c r="J1397" s="169"/>
      <c r="K1397" s="169">
        <v>250.5</v>
      </c>
      <c r="L1397" s="169"/>
      <c r="M1397" s="169"/>
      <c r="N1397" s="169"/>
      <c r="O1397" s="169"/>
      <c r="P1397" s="169"/>
      <c r="Q1397" s="169"/>
      <c r="R1397" s="169"/>
      <c r="S1397" s="169"/>
      <c r="T1397" s="169"/>
      <c r="U1397" s="170"/>
      <c r="V1397" s="171"/>
    </row>
    <row r="1398" spans="1:22" hidden="1" outlineLevel="2" x14ac:dyDescent="0.25">
      <c r="A1398" s="186">
        <f>SUMIFS(МКД!$A$6:$A$389,МКД!$D$6:$D$389,Таблица1[[#This Row],[2]])</f>
        <v>275</v>
      </c>
      <c r="B1398" s="168"/>
      <c r="C1398" s="182" t="s">
        <v>533</v>
      </c>
      <c r="D1398" s="167" t="s">
        <v>1603</v>
      </c>
      <c r="E1398" s="167" t="s">
        <v>1363</v>
      </c>
      <c r="F1398" s="167">
        <v>1</v>
      </c>
      <c r="G1398" s="168">
        <f>SUMIFS(Таблица1[[#This Row],[8]:[19]],$I$5:$T$5,"Выкуп")</f>
        <v>76.400000000000006</v>
      </c>
      <c r="H1398" s="168">
        <f>SUMIFS(Таблица1[[#This Row],[8]:[19]],$I$5:$T$5,"Аренда")</f>
        <v>0</v>
      </c>
      <c r="I1398" s="169">
        <v>76.400000000000006</v>
      </c>
      <c r="J1398" s="169"/>
      <c r="K1398" s="169"/>
      <c r="L1398" s="169"/>
      <c r="M1398" s="169"/>
      <c r="N1398" s="169"/>
      <c r="O1398" s="169"/>
      <c r="P1398" s="169"/>
      <c r="Q1398" s="169"/>
      <c r="R1398" s="169"/>
      <c r="S1398" s="169"/>
      <c r="T1398" s="169"/>
      <c r="U1398" s="170"/>
      <c r="V1398" s="171"/>
    </row>
    <row r="1399" spans="1:22" hidden="1" outlineLevel="2" x14ac:dyDescent="0.25">
      <c r="A1399" s="186">
        <f>SUMIFS(МКД!$A$6:$A$389,МКД!$D$6:$D$389,Таблица1[[#This Row],[2]])</f>
        <v>275</v>
      </c>
      <c r="B1399" s="168"/>
      <c r="C1399" s="182" t="s">
        <v>533</v>
      </c>
      <c r="D1399" s="167" t="s">
        <v>1053</v>
      </c>
      <c r="E1399" s="167" t="s">
        <v>2752</v>
      </c>
      <c r="F1399" s="167">
        <v>1</v>
      </c>
      <c r="G1399" s="168">
        <f>SUMIFS(Таблица1[[#This Row],[8]:[19]],$I$5:$T$5,"Выкуп")</f>
        <v>64.900000000000006</v>
      </c>
      <c r="H1399" s="168">
        <f>SUMIFS(Таблица1[[#This Row],[8]:[19]],$I$5:$T$5,"Аренда")</f>
        <v>0</v>
      </c>
      <c r="I1399" s="169"/>
      <c r="J1399" s="169"/>
      <c r="K1399" s="169"/>
      <c r="L1399" s="169"/>
      <c r="M1399" s="278">
        <v>64.900000000000006</v>
      </c>
      <c r="N1399" s="169"/>
      <c r="O1399" s="169"/>
      <c r="P1399" s="169"/>
      <c r="Q1399" s="169"/>
      <c r="R1399" s="169"/>
      <c r="S1399" s="169"/>
      <c r="T1399" s="169"/>
      <c r="U1399" s="170"/>
      <c r="V1399" s="171"/>
    </row>
    <row r="1400" spans="1:22" ht="15" outlineLevel="1" collapsed="1" x14ac:dyDescent="0.25">
      <c r="A1400" s="186">
        <f>SUMIFS(МКД!$A$6:$A$389,МКД!$D$6:$D$389,Таблица1[[#This Row],[2]])</f>
        <v>276</v>
      </c>
      <c r="B1400" s="194">
        <f>SUMIFS(Таблица1[6],Таблица1[2],Таблица1[[#This Row],[2]])+SUMIFS(Таблица1[7],Таблица1[2],Таблица1[[#This Row],[2]])</f>
        <v>938</v>
      </c>
      <c r="C1400" s="185" t="s">
        <v>394</v>
      </c>
      <c r="D1400" s="196"/>
      <c r="E1400" s="196"/>
      <c r="F1400" s="196"/>
      <c r="G1400" s="168"/>
      <c r="H1400" s="197"/>
      <c r="I1400" s="196"/>
      <c r="J1400" s="196"/>
      <c r="K1400" s="196"/>
      <c r="L1400" s="196"/>
      <c r="M1400" s="196"/>
      <c r="N1400" s="196"/>
      <c r="O1400" s="196"/>
      <c r="P1400" s="196"/>
      <c r="Q1400" s="196"/>
      <c r="R1400" s="196"/>
      <c r="S1400" s="196"/>
      <c r="T1400" s="196"/>
      <c r="U1400" s="196"/>
      <c r="V1400" s="198"/>
    </row>
    <row r="1401" spans="1:22" hidden="1" outlineLevel="2" x14ac:dyDescent="0.25">
      <c r="A1401" s="186">
        <f>SUMIFS(МКД!$A$6:$A$389,МКД!$D$6:$D$389,Таблица1[[#This Row],[2]])</f>
        <v>276</v>
      </c>
      <c r="B1401" s="170"/>
      <c r="C1401" s="182" t="s">
        <v>394</v>
      </c>
      <c r="D1401" s="167" t="s">
        <v>2613</v>
      </c>
      <c r="E1401" s="167" t="s">
        <v>957</v>
      </c>
      <c r="F1401" s="167">
        <v>1</v>
      </c>
      <c r="G1401" s="168">
        <f>SUMIFS(Таблица1[[#This Row],[8]:[19]],$I$5:$T$5,"Выкуп")</f>
        <v>350.3</v>
      </c>
      <c r="H1401" s="168">
        <f>SUMIFS(Таблица1[[#This Row],[8]:[19]],$I$5:$T$5,"Аренда")</f>
        <v>0</v>
      </c>
      <c r="I1401" s="169">
        <v>195.4</v>
      </c>
      <c r="J1401" s="169"/>
      <c r="K1401" s="169">
        <v>154.9</v>
      </c>
      <c r="L1401" s="169"/>
      <c r="M1401" s="169"/>
      <c r="N1401" s="169"/>
      <c r="O1401" s="169"/>
      <c r="P1401" s="169"/>
      <c r="Q1401" s="169"/>
      <c r="R1401" s="169"/>
      <c r="S1401" s="169"/>
      <c r="T1401" s="169"/>
      <c r="U1401" s="170"/>
      <c r="V1401" s="171"/>
    </row>
    <row r="1402" spans="1:22" hidden="1" outlineLevel="2" x14ac:dyDescent="0.25">
      <c r="A1402" s="186">
        <f>SUMIFS(МКД!$A$6:$A$389,МКД!$D$6:$D$389,Таблица1[[#This Row],[2]])</f>
        <v>276</v>
      </c>
      <c r="B1402" s="170"/>
      <c r="C1402" s="182" t="s">
        <v>394</v>
      </c>
      <c r="D1402" s="167" t="s">
        <v>2666</v>
      </c>
      <c r="E1402" s="167" t="s">
        <v>2667</v>
      </c>
      <c r="F1402" s="167">
        <v>1</v>
      </c>
      <c r="G1402" s="168">
        <f>SUMIFS(Таблица1[[#This Row],[8]:[19]],$I$5:$T$5,"Выкуп")</f>
        <v>134</v>
      </c>
      <c r="H1402" s="168">
        <f>SUMIFS(Таблица1[[#This Row],[8]:[19]],$I$5:$T$5,"Аренда")</f>
        <v>0</v>
      </c>
      <c r="I1402" s="169">
        <f>53+12.9</f>
        <v>65.900000000000006</v>
      </c>
      <c r="J1402" s="169"/>
      <c r="K1402" s="169">
        <v>68.099999999999994</v>
      </c>
      <c r="L1402" s="169"/>
      <c r="M1402" s="169"/>
      <c r="N1402" s="169"/>
      <c r="O1402" s="169"/>
      <c r="P1402" s="169"/>
      <c r="Q1402" s="169"/>
      <c r="R1402" s="169"/>
      <c r="S1402" s="169"/>
      <c r="T1402" s="169"/>
      <c r="U1402" s="170"/>
      <c r="V1402" s="171"/>
    </row>
    <row r="1403" spans="1:22" hidden="1" outlineLevel="2" x14ac:dyDescent="0.25">
      <c r="A1403" s="186">
        <f>SUMIFS(МКД!$A$6:$A$389,МКД!$D$6:$D$389,Таблица1[[#This Row],[2]])</f>
        <v>276</v>
      </c>
      <c r="B1403" s="168"/>
      <c r="C1403" s="182" t="s">
        <v>394</v>
      </c>
      <c r="D1403" s="167" t="s">
        <v>963</v>
      </c>
      <c r="E1403" s="167" t="s">
        <v>2324</v>
      </c>
      <c r="F1403" s="167">
        <v>1</v>
      </c>
      <c r="G1403" s="168">
        <f>SUMIFS(Таблица1[[#This Row],[8]:[19]],$I$5:$T$5,"Выкуп")</f>
        <v>151.4</v>
      </c>
      <c r="H1403" s="168">
        <f>SUMIFS(Таблица1[[#This Row],[8]:[19]],$I$5:$T$5,"Аренда")</f>
        <v>0</v>
      </c>
      <c r="I1403" s="169">
        <v>151.4</v>
      </c>
      <c r="J1403" s="169"/>
      <c r="K1403" s="169"/>
      <c r="L1403" s="169"/>
      <c r="M1403" s="169"/>
      <c r="N1403" s="169"/>
      <c r="O1403" s="169"/>
      <c r="P1403" s="169"/>
      <c r="Q1403" s="169"/>
      <c r="R1403" s="169"/>
      <c r="S1403" s="169"/>
      <c r="T1403" s="169"/>
      <c r="U1403" s="170"/>
      <c r="V1403" s="171"/>
    </row>
    <row r="1404" spans="1:22" hidden="1" outlineLevel="2" x14ac:dyDescent="0.25">
      <c r="A1404" s="186">
        <f>SUMIFS(МКД!$A$6:$A$389,МКД!$D$6:$D$389,Таблица1[[#This Row],[2]])</f>
        <v>276</v>
      </c>
      <c r="B1404" s="168"/>
      <c r="C1404" s="182" t="s">
        <v>394</v>
      </c>
      <c r="D1404" s="167" t="s">
        <v>2325</v>
      </c>
      <c r="E1404" s="167" t="s">
        <v>1075</v>
      </c>
      <c r="F1404" s="167"/>
      <c r="G1404" s="168">
        <f>SUMIFS(Таблица1[[#This Row],[8]:[19]],$I$5:$T$5,"Выкуп")</f>
        <v>29.8</v>
      </c>
      <c r="H1404" s="168">
        <f>SUMIFS(Таблица1[[#This Row],[8]:[19]],$I$5:$T$5,"Аренда")</f>
        <v>0</v>
      </c>
      <c r="I1404" s="169">
        <v>29.8</v>
      </c>
      <c r="J1404" s="169"/>
      <c r="K1404" s="169"/>
      <c r="L1404" s="169"/>
      <c r="M1404" s="169"/>
      <c r="N1404" s="169"/>
      <c r="O1404" s="169"/>
      <c r="P1404" s="169"/>
      <c r="Q1404" s="169"/>
      <c r="R1404" s="169"/>
      <c r="S1404" s="169"/>
      <c r="T1404" s="169"/>
      <c r="U1404" s="170"/>
      <c r="V1404" s="171"/>
    </row>
    <row r="1405" spans="1:22" hidden="1" outlineLevel="2" x14ac:dyDescent="0.25">
      <c r="A1405" s="186">
        <f>SUMIFS(МКД!$A$6:$A$389,МКД!$D$6:$D$389,Таблица1[[#This Row],[2]])</f>
        <v>276</v>
      </c>
      <c r="B1405" s="168"/>
      <c r="C1405" s="182" t="s">
        <v>394</v>
      </c>
      <c r="D1405" s="167" t="s">
        <v>2621</v>
      </c>
      <c r="E1405" s="167" t="s">
        <v>2326</v>
      </c>
      <c r="F1405" s="167">
        <v>1</v>
      </c>
      <c r="G1405" s="168">
        <f>SUMIFS(Таблица1[[#This Row],[8]:[19]],$I$5:$T$5,"Выкуп")</f>
        <v>138.1</v>
      </c>
      <c r="H1405" s="168">
        <f>SUMIFS(Таблица1[[#This Row],[8]:[19]],$I$5:$T$5,"Аренда")</f>
        <v>0</v>
      </c>
      <c r="I1405" s="169">
        <v>138.1</v>
      </c>
      <c r="J1405" s="169"/>
      <c r="K1405" s="169"/>
      <c r="L1405" s="169"/>
      <c r="M1405" s="169"/>
      <c r="N1405" s="169"/>
      <c r="O1405" s="169"/>
      <c r="P1405" s="169"/>
      <c r="Q1405" s="169"/>
      <c r="R1405" s="169"/>
      <c r="S1405" s="169"/>
      <c r="T1405" s="169"/>
      <c r="U1405" s="170"/>
      <c r="V1405" s="171"/>
    </row>
    <row r="1406" spans="1:22" hidden="1" outlineLevel="2" x14ac:dyDescent="0.25">
      <c r="A1406" s="186">
        <f>SUMIFS(МКД!$A$6:$A$389,МКД!$D$6:$D$389,Таблица1[[#This Row],[2]])</f>
        <v>276</v>
      </c>
      <c r="B1406" s="168"/>
      <c r="C1406" s="182" t="s">
        <v>394</v>
      </c>
      <c r="D1406" s="167" t="s">
        <v>1053</v>
      </c>
      <c r="E1406" s="167" t="s">
        <v>2752</v>
      </c>
      <c r="F1406" s="167">
        <v>1</v>
      </c>
      <c r="G1406" s="168">
        <f>SUMIFS(Таблица1[[#This Row],[8]:[19]],$I$5:$T$5,"Выкуп")</f>
        <v>134.4</v>
      </c>
      <c r="H1406" s="168">
        <f>SUMIFS(Таблица1[[#This Row],[8]:[19]],$I$5:$T$5,"Аренда")</f>
        <v>0</v>
      </c>
      <c r="I1406" s="169"/>
      <c r="J1406" s="169"/>
      <c r="K1406" s="169"/>
      <c r="L1406" s="169"/>
      <c r="M1406" s="278">
        <v>134.4</v>
      </c>
      <c r="N1406" s="169"/>
      <c r="O1406" s="169"/>
      <c r="P1406" s="169"/>
      <c r="Q1406" s="169"/>
      <c r="R1406" s="169"/>
      <c r="S1406" s="169"/>
      <c r="T1406" s="169"/>
      <c r="U1406" s="170"/>
      <c r="V1406" s="171"/>
    </row>
    <row r="1407" spans="1:22" ht="15" outlineLevel="1" collapsed="1" x14ac:dyDescent="0.25">
      <c r="A1407" s="186">
        <f>SUMIFS(МКД!$A$6:$A$389,МКД!$D$6:$D$389,Таблица1[[#This Row],[2]])</f>
        <v>277</v>
      </c>
      <c r="B1407" s="194">
        <f>SUMIFS(Таблица1[6],Таблица1[2],Таблица1[[#This Row],[2]])+SUMIFS(Таблица1[7],Таблица1[2],Таблица1[[#This Row],[2]])</f>
        <v>1716.4</v>
      </c>
      <c r="C1407" s="185" t="s">
        <v>534</v>
      </c>
      <c r="D1407" s="196"/>
      <c r="E1407" s="196"/>
      <c r="F1407" s="196"/>
      <c r="G1407" s="168"/>
      <c r="H1407" s="197"/>
      <c r="I1407" s="196"/>
      <c r="J1407" s="196"/>
      <c r="K1407" s="196"/>
      <c r="L1407" s="196"/>
      <c r="M1407" s="196"/>
      <c r="N1407" s="196"/>
      <c r="O1407" s="196"/>
      <c r="P1407" s="196"/>
      <c r="Q1407" s="196"/>
      <c r="R1407" s="196"/>
      <c r="S1407" s="196"/>
      <c r="T1407" s="196"/>
      <c r="U1407" s="196"/>
      <c r="V1407" s="198"/>
    </row>
    <row r="1408" spans="1:22" hidden="1" outlineLevel="2" x14ac:dyDescent="0.25">
      <c r="A1408" s="186">
        <f>SUMIFS(МКД!$A$6:$A$389,МКД!$D$6:$D$389,Таблица1[[#This Row],[2]])</f>
        <v>277</v>
      </c>
      <c r="B1408" s="170"/>
      <c r="C1408" s="182" t="s">
        <v>534</v>
      </c>
      <c r="D1408" s="167" t="s">
        <v>1901</v>
      </c>
      <c r="E1408" s="167" t="s">
        <v>67</v>
      </c>
      <c r="F1408" s="167">
        <v>1</v>
      </c>
      <c r="G1408" s="168">
        <f>SUMIFS(Таблица1[[#This Row],[8]:[19]],$I$5:$T$5,"Выкуп")</f>
        <v>125.8</v>
      </c>
      <c r="H1408" s="168">
        <f>SUMIFS(Таблица1[[#This Row],[8]:[19]],$I$5:$T$5,"Аренда")</f>
        <v>0</v>
      </c>
      <c r="I1408" s="169">
        <v>125.8</v>
      </c>
      <c r="J1408" s="169"/>
      <c r="K1408" s="169"/>
      <c r="L1408" s="169"/>
      <c r="M1408" s="169"/>
      <c r="N1408" s="169"/>
      <c r="O1408" s="169"/>
      <c r="P1408" s="169"/>
      <c r="Q1408" s="169"/>
      <c r="R1408" s="169"/>
      <c r="S1408" s="169"/>
      <c r="T1408" s="169"/>
      <c r="U1408" s="170"/>
      <c r="V1408" s="171"/>
    </row>
    <row r="1409" spans="1:22" hidden="1" outlineLevel="2" x14ac:dyDescent="0.25">
      <c r="A1409" s="186">
        <f>SUMIFS(МКД!$A$6:$A$389,МКД!$D$6:$D$389,Таблица1[[#This Row],[2]])</f>
        <v>277</v>
      </c>
      <c r="B1409" s="170"/>
      <c r="C1409" s="182" t="s">
        <v>534</v>
      </c>
      <c r="D1409" s="167" t="s">
        <v>3</v>
      </c>
      <c r="E1409" s="167" t="s">
        <v>99</v>
      </c>
      <c r="F1409" s="167">
        <v>1</v>
      </c>
      <c r="G1409" s="168">
        <f>SUMIFS(Таблица1[[#This Row],[8]:[19]],$I$5:$T$5,"Выкуп")</f>
        <v>175</v>
      </c>
      <c r="H1409" s="168">
        <f>SUMIFS(Таблица1[[#This Row],[8]:[19]],$I$5:$T$5,"Аренда")</f>
        <v>0</v>
      </c>
      <c r="I1409" s="169">
        <v>175</v>
      </c>
      <c r="J1409" s="169"/>
      <c r="K1409" s="169"/>
      <c r="L1409" s="169"/>
      <c r="M1409" s="169"/>
      <c r="N1409" s="169"/>
      <c r="O1409" s="169"/>
      <c r="P1409" s="169"/>
      <c r="Q1409" s="169"/>
      <c r="R1409" s="169"/>
      <c r="S1409" s="169"/>
      <c r="T1409" s="169"/>
      <c r="U1409" s="170"/>
      <c r="V1409" s="171"/>
    </row>
    <row r="1410" spans="1:22" hidden="1" outlineLevel="2" x14ac:dyDescent="0.25">
      <c r="A1410" s="186">
        <f>SUMIFS(МКД!$A$6:$A$389,МКД!$D$6:$D$389,Таблица1[[#This Row],[2]])</f>
        <v>277</v>
      </c>
      <c r="B1410" s="168"/>
      <c r="C1410" s="182" t="s">
        <v>534</v>
      </c>
      <c r="D1410" s="167" t="s">
        <v>311</v>
      </c>
      <c r="E1410" s="167" t="s">
        <v>76</v>
      </c>
      <c r="F1410" s="167">
        <v>1</v>
      </c>
      <c r="G1410" s="168">
        <f>SUMIFS(Таблица1[[#This Row],[8]:[19]],$I$5:$T$5,"Выкуп")</f>
        <v>304.3</v>
      </c>
      <c r="H1410" s="168">
        <f>SUMIFS(Таблица1[[#This Row],[8]:[19]],$I$5:$T$5,"Аренда")</f>
        <v>0</v>
      </c>
      <c r="I1410" s="169">
        <v>242.9</v>
      </c>
      <c r="J1410" s="169"/>
      <c r="K1410" s="169">
        <v>61.4</v>
      </c>
      <c r="L1410" s="169"/>
      <c r="M1410" s="169"/>
      <c r="N1410" s="169"/>
      <c r="O1410" s="169"/>
      <c r="P1410" s="169"/>
      <c r="Q1410" s="169"/>
      <c r="R1410" s="169"/>
      <c r="S1410" s="169"/>
      <c r="T1410" s="169"/>
      <c r="U1410" s="170"/>
      <c r="V1410" s="171"/>
    </row>
    <row r="1411" spans="1:22" hidden="1" outlineLevel="2" x14ac:dyDescent="0.25">
      <c r="A1411" s="186">
        <f>SUMIFS(МКД!$A$6:$A$389,МКД!$D$6:$D$389,Таблица1[[#This Row],[2]])</f>
        <v>277</v>
      </c>
      <c r="B1411" s="168"/>
      <c r="C1411" s="182" t="s">
        <v>534</v>
      </c>
      <c r="D1411" s="167" t="s">
        <v>2736</v>
      </c>
      <c r="E1411" s="167" t="s">
        <v>764</v>
      </c>
      <c r="F1411" s="167">
        <v>1</v>
      </c>
      <c r="G1411" s="168">
        <f>SUMIFS(Таблица1[[#This Row],[8]:[19]],$I$5:$T$5,"Выкуп")</f>
        <v>365.1</v>
      </c>
      <c r="H1411" s="168">
        <f>SUMIFS(Таблица1[[#This Row],[8]:[19]],$I$5:$T$5,"Аренда")</f>
        <v>0</v>
      </c>
      <c r="I1411" s="169">
        <v>208</v>
      </c>
      <c r="J1411" s="169"/>
      <c r="K1411" s="169">
        <v>157.1</v>
      </c>
      <c r="L1411" s="169"/>
      <c r="M1411" s="169"/>
      <c r="N1411" s="169"/>
      <c r="O1411" s="169"/>
      <c r="P1411" s="169"/>
      <c r="Q1411" s="169"/>
      <c r="R1411" s="169"/>
      <c r="S1411" s="169"/>
      <c r="T1411" s="169"/>
      <c r="U1411" s="170"/>
      <c r="V1411" s="171"/>
    </row>
    <row r="1412" spans="1:22" hidden="1" outlineLevel="2" x14ac:dyDescent="0.25">
      <c r="A1412" s="186">
        <f>SUMIFS(МКД!$A$6:$A$389,МКД!$D$6:$D$389,Таблица1[[#This Row],[2]])</f>
        <v>277</v>
      </c>
      <c r="B1412" s="168"/>
      <c r="C1412" s="182" t="s">
        <v>534</v>
      </c>
      <c r="D1412" s="167" t="s">
        <v>312</v>
      </c>
      <c r="E1412" s="167" t="s">
        <v>2327</v>
      </c>
      <c r="F1412" s="167">
        <v>1</v>
      </c>
      <c r="G1412" s="168">
        <f>SUMIFS(Таблица1[[#This Row],[8]:[19]],$I$5:$T$5,"Выкуп")</f>
        <v>242.3</v>
      </c>
      <c r="H1412" s="168">
        <f>SUMIFS(Таблица1[[#This Row],[8]:[19]],$I$5:$T$5,"Аренда")</f>
        <v>0</v>
      </c>
      <c r="I1412" s="169">
        <v>242.3</v>
      </c>
      <c r="J1412" s="169"/>
      <c r="K1412" s="169"/>
      <c r="L1412" s="169"/>
      <c r="M1412" s="169"/>
      <c r="N1412" s="169"/>
      <c r="O1412" s="169"/>
      <c r="P1412" s="169"/>
      <c r="Q1412" s="169"/>
      <c r="R1412" s="169"/>
      <c r="S1412" s="169"/>
      <c r="T1412" s="169"/>
      <c r="U1412" s="170"/>
      <c r="V1412" s="171"/>
    </row>
    <row r="1413" spans="1:22" hidden="1" outlineLevel="2" x14ac:dyDescent="0.25">
      <c r="A1413" s="186">
        <f>SUMIFS(МКД!$A$6:$A$389,МКД!$D$6:$D$389,Таблица1[[#This Row],[2]])</f>
        <v>277</v>
      </c>
      <c r="B1413" s="168"/>
      <c r="C1413" s="182" t="s">
        <v>534</v>
      </c>
      <c r="D1413" s="167" t="s">
        <v>312</v>
      </c>
      <c r="E1413" s="167" t="s">
        <v>2328</v>
      </c>
      <c r="F1413" s="167">
        <v>1</v>
      </c>
      <c r="G1413" s="168">
        <f>SUMIFS(Таблица1[[#This Row],[8]:[19]],$I$5:$T$5,"Выкуп")</f>
        <v>74.7</v>
      </c>
      <c r="H1413" s="168">
        <f>SUMIFS(Таблица1[[#This Row],[8]:[19]],$I$5:$T$5,"Аренда")</f>
        <v>0</v>
      </c>
      <c r="I1413" s="169">
        <v>74.7</v>
      </c>
      <c r="J1413" s="169"/>
      <c r="K1413" s="169"/>
      <c r="L1413" s="169"/>
      <c r="M1413" s="169"/>
      <c r="N1413" s="169"/>
      <c r="O1413" s="169"/>
      <c r="P1413" s="169"/>
      <c r="Q1413" s="169"/>
      <c r="R1413" s="169"/>
      <c r="S1413" s="169"/>
      <c r="T1413" s="169"/>
      <c r="U1413" s="170"/>
      <c r="V1413" s="171"/>
    </row>
    <row r="1414" spans="1:22" hidden="1" outlineLevel="2" x14ac:dyDescent="0.25">
      <c r="A1414" s="186">
        <f>SUMIFS(МКД!$A$6:$A$389,МКД!$D$6:$D$389,Таблица1[[#This Row],[2]])</f>
        <v>277</v>
      </c>
      <c r="B1414" s="168"/>
      <c r="C1414" s="182" t="s">
        <v>534</v>
      </c>
      <c r="D1414" s="167" t="s">
        <v>1394</v>
      </c>
      <c r="E1414" s="167" t="s">
        <v>2752</v>
      </c>
      <c r="F1414" s="167">
        <v>1</v>
      </c>
      <c r="G1414" s="168">
        <f>SUMIFS(Таблица1[[#This Row],[8]:[19]],$I$5:$T$5,"Выкуп")</f>
        <v>429.2</v>
      </c>
      <c r="H1414" s="168">
        <f>SUMIFS(Таблица1[[#This Row],[8]:[19]],$I$5:$T$5,"Аренда")</f>
        <v>0</v>
      </c>
      <c r="I1414" s="169"/>
      <c r="J1414" s="169"/>
      <c r="K1414" s="169"/>
      <c r="L1414" s="169"/>
      <c r="M1414" s="169">
        <v>429.2</v>
      </c>
      <c r="N1414" s="169"/>
      <c r="O1414" s="169"/>
      <c r="P1414" s="169"/>
      <c r="Q1414" s="169"/>
      <c r="R1414" s="169"/>
      <c r="S1414" s="169"/>
      <c r="T1414" s="169"/>
      <c r="U1414" s="170"/>
      <c r="V1414" s="171"/>
    </row>
    <row r="1415" spans="1:22" ht="15" outlineLevel="1" collapsed="1" x14ac:dyDescent="0.25">
      <c r="A1415" s="186">
        <f>SUMIFS(МКД!$A$6:$A$389,МКД!$D$6:$D$389,Таблица1[[#This Row],[2]])</f>
        <v>278</v>
      </c>
      <c r="B1415" s="194">
        <f>SUMIFS(Таблица1[6],Таблица1[2],Таблица1[[#This Row],[2]])+SUMIFS(Таблица1[7],Таблица1[2],Таблица1[[#This Row],[2]])</f>
        <v>303</v>
      </c>
      <c r="C1415" s="185" t="s">
        <v>535</v>
      </c>
      <c r="D1415" s="196"/>
      <c r="E1415" s="196"/>
      <c r="F1415" s="196"/>
      <c r="G1415" s="168"/>
      <c r="H1415" s="197"/>
      <c r="I1415" s="196"/>
      <c r="J1415" s="196"/>
      <c r="K1415" s="196"/>
      <c r="L1415" s="196"/>
      <c r="M1415" s="196"/>
      <c r="N1415" s="196"/>
      <c r="O1415" s="196"/>
      <c r="P1415" s="196"/>
      <c r="Q1415" s="196"/>
      <c r="R1415" s="196"/>
      <c r="S1415" s="196"/>
      <c r="T1415" s="196"/>
      <c r="U1415" s="196"/>
      <c r="V1415" s="198"/>
    </row>
    <row r="1416" spans="1:22" ht="15" hidden="1" outlineLevel="2" x14ac:dyDescent="0.25">
      <c r="A1416" s="186">
        <f>SUMIFS(МКД!$A$6:$A$389,МКД!$D$6:$D$389,Таблица1[[#This Row],[2]])</f>
        <v>278</v>
      </c>
      <c r="B1416" s="196"/>
      <c r="C1416" s="182" t="s">
        <v>535</v>
      </c>
      <c r="D1416" s="167" t="s">
        <v>1593</v>
      </c>
      <c r="E1416" s="273" t="s">
        <v>1731</v>
      </c>
      <c r="F1416" s="196"/>
      <c r="G1416" s="168">
        <f>SUMIFS(Таблица1[[#This Row],[8]:[19]],$I$5:$T$5,"Выкуп")</f>
        <v>97.6</v>
      </c>
      <c r="H1416" s="168">
        <f>SUMIFS(Таблица1[[#This Row],[8]:[19]],$I$5:$T$5,"Аренда")</f>
        <v>0</v>
      </c>
      <c r="I1416" s="196"/>
      <c r="J1416" s="196"/>
      <c r="K1416" s="196">
        <v>97.6</v>
      </c>
      <c r="L1416" s="196"/>
      <c r="M1416" s="196"/>
      <c r="N1416" s="196"/>
      <c r="O1416" s="196"/>
      <c r="P1416" s="196"/>
      <c r="Q1416" s="196"/>
      <c r="R1416" s="196"/>
      <c r="S1416" s="196"/>
      <c r="T1416" s="196"/>
      <c r="U1416" s="196"/>
      <c r="V1416" s="198"/>
    </row>
    <row r="1417" spans="1:22" ht="15" hidden="1" outlineLevel="2" x14ac:dyDescent="0.25">
      <c r="A1417" s="186">
        <f>SUMIFS(МКД!$A$6:$A$389,МКД!$D$6:$D$389,Таблица1[[#This Row],[2]])</f>
        <v>278</v>
      </c>
      <c r="B1417" s="196"/>
      <c r="C1417" s="182" t="s">
        <v>535</v>
      </c>
      <c r="D1417" s="167" t="s">
        <v>1053</v>
      </c>
      <c r="E1417" s="167" t="s">
        <v>2793</v>
      </c>
      <c r="F1417" s="196"/>
      <c r="G1417" s="168">
        <f>SUMIFS(Таблица1[[#This Row],[8]:[19]],$I$5:$T$5,"Выкуп")</f>
        <v>205.4</v>
      </c>
      <c r="H1417" s="168">
        <f>SUMIFS(Таблица1[[#This Row],[8]:[19]],$I$5:$T$5,"Аренда")</f>
        <v>0</v>
      </c>
      <c r="I1417" s="196"/>
      <c r="J1417" s="196"/>
      <c r="K1417" s="196"/>
      <c r="L1417" s="196"/>
      <c r="M1417" s="196">
        <v>205.4</v>
      </c>
      <c r="N1417" s="196"/>
      <c r="O1417" s="196"/>
      <c r="P1417" s="196"/>
      <c r="Q1417" s="196"/>
      <c r="R1417" s="196"/>
      <c r="S1417" s="196"/>
      <c r="T1417" s="196"/>
      <c r="U1417" s="196"/>
      <c r="V1417" s="198"/>
    </row>
    <row r="1418" spans="1:22" ht="15" outlineLevel="1" collapsed="1" x14ac:dyDescent="0.25">
      <c r="A1418" s="186">
        <f>SUMIFS(МКД!$A$6:$A$389,МКД!$D$6:$D$389,Таблица1[[#This Row],[2]])</f>
        <v>240</v>
      </c>
      <c r="B1418" s="194">
        <f>SUMIFS(Таблица1[6],Таблица1[2],Таблица1[[#This Row],[2]])+SUMIFS(Таблица1[7],Таблица1[2],Таблица1[[#This Row],[2]])</f>
        <v>436</v>
      </c>
      <c r="C1418" s="185" t="s">
        <v>395</v>
      </c>
      <c r="D1418" s="196"/>
      <c r="E1418" s="196"/>
      <c r="F1418" s="196"/>
      <c r="G1418" s="168"/>
      <c r="H1418" s="197"/>
      <c r="I1418" s="196"/>
      <c r="J1418" s="196"/>
      <c r="K1418" s="196"/>
      <c r="L1418" s="196"/>
      <c r="M1418" s="196"/>
      <c r="N1418" s="196"/>
      <c r="O1418" s="196"/>
      <c r="P1418" s="196"/>
      <c r="Q1418" s="196"/>
      <c r="R1418" s="196"/>
      <c r="S1418" s="196"/>
      <c r="T1418" s="196"/>
      <c r="U1418" s="196"/>
      <c r="V1418" s="198"/>
    </row>
    <row r="1419" spans="1:22" hidden="1" outlineLevel="2" x14ac:dyDescent="0.25">
      <c r="A1419" s="186">
        <f>SUMIFS(МКД!$A$6:$A$389,МКД!$D$6:$D$389,Таблица1[[#This Row],[2]])</f>
        <v>240</v>
      </c>
      <c r="B1419" s="170"/>
      <c r="C1419" s="182" t="s">
        <v>395</v>
      </c>
      <c r="D1419" s="167" t="s">
        <v>313</v>
      </c>
      <c r="E1419" s="167" t="s">
        <v>2282</v>
      </c>
      <c r="F1419" s="167">
        <v>1</v>
      </c>
      <c r="G1419" s="168">
        <f>SUMIFS(Таблица1[[#This Row],[8]:[19]],$I$5:$T$5,"Выкуп")</f>
        <v>47.6</v>
      </c>
      <c r="H1419" s="168">
        <f>SUMIFS(Таблица1[[#This Row],[8]:[19]],$I$5:$T$5,"Аренда")</f>
        <v>0</v>
      </c>
      <c r="I1419" s="169">
        <v>47.6</v>
      </c>
      <c r="J1419" s="169"/>
      <c r="K1419" s="169"/>
      <c r="L1419" s="169"/>
      <c r="M1419" s="169"/>
      <c r="N1419" s="169"/>
      <c r="O1419" s="169"/>
      <c r="P1419" s="169"/>
      <c r="Q1419" s="169"/>
      <c r="R1419" s="169"/>
      <c r="S1419" s="169"/>
      <c r="T1419" s="169"/>
      <c r="U1419" s="170"/>
      <c r="V1419" s="171"/>
    </row>
    <row r="1420" spans="1:22" hidden="1" outlineLevel="2" x14ac:dyDescent="0.25">
      <c r="A1420" s="186">
        <f>SUMIFS(МКД!$A$6:$A$389,МКД!$D$6:$D$389,Таблица1[[#This Row],[2]])</f>
        <v>240</v>
      </c>
      <c r="B1420" s="168"/>
      <c r="C1420" s="182" t="s">
        <v>395</v>
      </c>
      <c r="D1420" s="167" t="s">
        <v>314</v>
      </c>
      <c r="E1420" s="167" t="s">
        <v>909</v>
      </c>
      <c r="F1420" s="167">
        <v>1</v>
      </c>
      <c r="G1420" s="168">
        <f>SUMIFS(Таблица1[[#This Row],[8]:[19]],$I$5:$T$5,"Выкуп")</f>
        <v>39.799999999999997</v>
      </c>
      <c r="H1420" s="168">
        <f>SUMIFS(Таблица1[[#This Row],[8]:[19]],$I$5:$T$5,"Аренда")</f>
        <v>0</v>
      </c>
      <c r="I1420" s="169">
        <v>39.799999999999997</v>
      </c>
      <c r="J1420" s="169"/>
      <c r="K1420" s="169"/>
      <c r="L1420" s="169"/>
      <c r="M1420" s="169"/>
      <c r="N1420" s="169"/>
      <c r="O1420" s="169"/>
      <c r="P1420" s="169"/>
      <c r="Q1420" s="169"/>
      <c r="R1420" s="169"/>
      <c r="S1420" s="169"/>
      <c r="T1420" s="169"/>
      <c r="U1420" s="170"/>
      <c r="V1420" s="171"/>
    </row>
    <row r="1421" spans="1:22" hidden="1" outlineLevel="2" x14ac:dyDescent="0.25">
      <c r="A1421" s="186">
        <f>SUMIFS(МКД!$A$6:$A$389,МКД!$D$6:$D$389,Таблица1[[#This Row],[2]])</f>
        <v>240</v>
      </c>
      <c r="B1421" s="168"/>
      <c r="C1421" s="182" t="s">
        <v>395</v>
      </c>
      <c r="D1421" s="167" t="s">
        <v>1053</v>
      </c>
      <c r="E1421" s="167" t="s">
        <v>2827</v>
      </c>
      <c r="F1421" s="167">
        <v>1</v>
      </c>
      <c r="G1421" s="168">
        <f>SUMIFS(Таблица1[[#This Row],[8]:[19]],$I$5:$T$5,"Выкуп")</f>
        <v>348.6</v>
      </c>
      <c r="H1421" s="168">
        <f>SUMIFS(Таблица1[[#This Row],[8]:[19]],$I$5:$T$5,"Аренда")</f>
        <v>0</v>
      </c>
      <c r="I1421" s="169"/>
      <c r="J1421" s="169"/>
      <c r="K1421" s="169"/>
      <c r="L1421" s="169"/>
      <c r="M1421" s="169">
        <v>348.6</v>
      </c>
      <c r="N1421" s="169"/>
      <c r="O1421" s="169"/>
      <c r="P1421" s="169"/>
      <c r="Q1421" s="169"/>
      <c r="R1421" s="169"/>
      <c r="S1421" s="169"/>
      <c r="T1421" s="169"/>
      <c r="U1421" s="170"/>
      <c r="V1421" s="171"/>
    </row>
    <row r="1422" spans="1:22" ht="15" outlineLevel="1" collapsed="1" x14ac:dyDescent="0.25">
      <c r="A1422" s="186">
        <f>SUMIFS(МКД!$A$6:$A$389,МКД!$D$6:$D$389,Таблица1[[#This Row],[2]])</f>
        <v>241</v>
      </c>
      <c r="B1422" s="194">
        <f>SUMIFS(Таблица1[6],Таблица1[2],Таблица1[[#This Row],[2]])+SUMIFS(Таблица1[7],Таблица1[2],Таблица1[[#This Row],[2]])</f>
        <v>98.4</v>
      </c>
      <c r="C1422" s="185" t="s">
        <v>396</v>
      </c>
      <c r="D1422" s="196"/>
      <c r="E1422" s="196"/>
      <c r="F1422" s="196"/>
      <c r="G1422" s="168"/>
      <c r="H1422" s="197"/>
      <c r="I1422" s="196"/>
      <c r="J1422" s="196"/>
      <c r="K1422" s="196"/>
      <c r="L1422" s="196"/>
      <c r="M1422" s="196"/>
      <c r="N1422" s="196"/>
      <c r="O1422" s="196"/>
      <c r="P1422" s="196"/>
      <c r="Q1422" s="196"/>
      <c r="R1422" s="196"/>
      <c r="S1422" s="196"/>
      <c r="T1422" s="196"/>
      <c r="U1422" s="196"/>
      <c r="V1422" s="198"/>
    </row>
    <row r="1423" spans="1:22" ht="15" hidden="1" outlineLevel="2" x14ac:dyDescent="0.25">
      <c r="A1423" s="186">
        <f>SUMIFS(МКД!$A$6:$A$389,МКД!$D$6:$D$389,Таблица1[[#This Row],[2]])</f>
        <v>241</v>
      </c>
      <c r="B1423" s="196"/>
      <c r="C1423" s="182" t="s">
        <v>396</v>
      </c>
      <c r="D1423" s="167" t="s">
        <v>1593</v>
      </c>
      <c r="E1423" s="273" t="s">
        <v>1731</v>
      </c>
      <c r="F1423" s="196"/>
      <c r="G1423" s="168">
        <f>SUMIFS(Таблица1[[#This Row],[8]:[19]],$I$5:$T$5,"Выкуп")</f>
        <v>98.4</v>
      </c>
      <c r="H1423" s="168">
        <f>SUMIFS(Таблица1[[#This Row],[8]:[19]],$I$5:$T$5,"Аренда")</f>
        <v>0</v>
      </c>
      <c r="I1423" s="196"/>
      <c r="J1423" s="196"/>
      <c r="K1423" s="196">
        <v>98.4</v>
      </c>
      <c r="L1423" s="196"/>
      <c r="M1423" s="196"/>
      <c r="N1423" s="196"/>
      <c r="O1423" s="196"/>
      <c r="P1423" s="196"/>
      <c r="Q1423" s="196"/>
      <c r="R1423" s="196"/>
      <c r="S1423" s="196"/>
      <c r="T1423" s="196"/>
      <c r="U1423" s="196"/>
      <c r="V1423" s="198"/>
    </row>
    <row r="1424" spans="1:22" ht="15" outlineLevel="1" collapsed="1" x14ac:dyDescent="0.25">
      <c r="A1424" s="186">
        <f>SUMIFS(МКД!$A$6:$A$389,МКД!$D$6:$D$389,Таблица1[[#This Row],[2]])</f>
        <v>242</v>
      </c>
      <c r="B1424" s="194">
        <f>SUMIFS(Таблица1[6],Таблица1[2],Таблица1[[#This Row],[2]])+SUMIFS(Таблица1[7],Таблица1[2],Таблица1[[#This Row],[2]])</f>
        <v>1689.6000000000001</v>
      </c>
      <c r="C1424" s="185" t="s">
        <v>536</v>
      </c>
      <c r="D1424" s="196"/>
      <c r="E1424" s="196"/>
      <c r="F1424" s="196"/>
      <c r="G1424" s="168"/>
      <c r="H1424" s="197"/>
      <c r="I1424" s="196"/>
      <c r="J1424" s="196"/>
      <c r="K1424" s="196"/>
      <c r="L1424" s="196"/>
      <c r="M1424" s="196"/>
      <c r="N1424" s="196"/>
      <c r="O1424" s="196"/>
      <c r="P1424" s="196"/>
      <c r="Q1424" s="196"/>
      <c r="R1424" s="196"/>
      <c r="S1424" s="196"/>
      <c r="T1424" s="196"/>
      <c r="U1424" s="196"/>
      <c r="V1424" s="198"/>
    </row>
    <row r="1425" spans="1:22" hidden="1" outlineLevel="2" x14ac:dyDescent="0.25">
      <c r="A1425" s="186">
        <f>SUMIFS(МКД!$A$6:$A$389,МКД!$D$6:$D$389,Таблица1[[#This Row],[2]])</f>
        <v>242</v>
      </c>
      <c r="B1425" s="170"/>
      <c r="C1425" s="182" t="s">
        <v>536</v>
      </c>
      <c r="D1425" s="167" t="s">
        <v>2613</v>
      </c>
      <c r="E1425" s="167" t="s">
        <v>1400</v>
      </c>
      <c r="F1425" s="167">
        <v>1</v>
      </c>
      <c r="G1425" s="168">
        <f>SUMIFS(Таблица1[[#This Row],[8]:[19]],$I$5:$T$5,"Выкуп")</f>
        <v>1397.1000000000001</v>
      </c>
      <c r="H1425" s="168">
        <f>SUMIFS(Таблица1[[#This Row],[8]:[19]],$I$5:$T$5,"Аренда")</f>
        <v>0</v>
      </c>
      <c r="I1425" s="169">
        <v>821</v>
      </c>
      <c r="J1425" s="169"/>
      <c r="K1425" s="169">
        <f>415.1+12.6</f>
        <v>427.70000000000005</v>
      </c>
      <c r="L1425" s="169"/>
      <c r="M1425" s="169"/>
      <c r="N1425" s="169"/>
      <c r="O1425" s="169"/>
      <c r="P1425" s="169"/>
      <c r="Q1425" s="169"/>
      <c r="R1425" s="169"/>
      <c r="S1425" s="169">
        <v>148.4</v>
      </c>
      <c r="T1425" s="169"/>
      <c r="U1425" s="170"/>
      <c r="V1425" s="171"/>
    </row>
    <row r="1426" spans="1:22" hidden="1" outlineLevel="2" x14ac:dyDescent="0.25">
      <c r="A1426" s="186">
        <f>SUMIFS(МКД!$A$6:$A$389,МКД!$D$6:$D$389,Таблица1[[#This Row],[2]])</f>
        <v>242</v>
      </c>
      <c r="B1426" s="170"/>
      <c r="C1426" s="182" t="s">
        <v>536</v>
      </c>
      <c r="D1426" s="167" t="s">
        <v>1053</v>
      </c>
      <c r="E1426" s="167" t="s">
        <v>2827</v>
      </c>
      <c r="F1426" s="167">
        <v>1</v>
      </c>
      <c r="G1426" s="168">
        <f>SUMIFS(Таблица1[[#This Row],[8]:[19]],$I$5:$T$5,"Выкуп")</f>
        <v>238.3</v>
      </c>
      <c r="H1426" s="168">
        <f>SUMIFS(Таблица1[[#This Row],[8]:[19]],$I$5:$T$5,"Аренда")</f>
        <v>0</v>
      </c>
      <c r="I1426" s="169"/>
      <c r="J1426" s="169"/>
      <c r="K1426" s="169"/>
      <c r="L1426" s="169"/>
      <c r="M1426" s="169">
        <v>238.3</v>
      </c>
      <c r="N1426" s="169"/>
      <c r="O1426" s="169"/>
      <c r="P1426" s="169"/>
      <c r="Q1426" s="169"/>
      <c r="R1426" s="169"/>
      <c r="S1426" s="169"/>
      <c r="T1426" s="169"/>
      <c r="U1426" s="170"/>
      <c r="V1426" s="171"/>
    </row>
    <row r="1427" spans="1:22" hidden="1" outlineLevel="2" x14ac:dyDescent="0.25">
      <c r="A1427" s="186">
        <f>SUMIFS(МКД!$A$6:$A$389,МКД!$D$6:$D$389,Таблица1[[#This Row],[2]])</f>
        <v>242</v>
      </c>
      <c r="B1427" s="170"/>
      <c r="C1427" s="182" t="s">
        <v>536</v>
      </c>
      <c r="D1427" s="167" t="s">
        <v>1394</v>
      </c>
      <c r="E1427" s="167" t="s">
        <v>2827</v>
      </c>
      <c r="F1427" s="167">
        <v>1</v>
      </c>
      <c r="G1427" s="168">
        <f>SUMIFS(Таблица1[[#This Row],[8]:[19]],$I$5:$T$5,"Выкуп")</f>
        <v>54.199999999999989</v>
      </c>
      <c r="H1427" s="168">
        <f>SUMIFS(Таблица1[[#This Row],[8]:[19]],$I$5:$T$5,"Аренда")</f>
        <v>0</v>
      </c>
      <c r="I1427" s="169"/>
      <c r="J1427" s="169"/>
      <c r="K1427" s="169"/>
      <c r="L1427" s="169"/>
      <c r="M1427" s="169">
        <f>292.5-M1426</f>
        <v>54.199999999999989</v>
      </c>
      <c r="N1427" s="169"/>
      <c r="O1427" s="169"/>
      <c r="P1427" s="169"/>
      <c r="Q1427" s="169"/>
      <c r="R1427" s="169"/>
      <c r="S1427" s="169"/>
      <c r="T1427" s="169"/>
      <c r="U1427" s="170"/>
      <c r="V1427" s="171"/>
    </row>
    <row r="1428" spans="1:22" ht="15" outlineLevel="1" collapsed="1" x14ac:dyDescent="0.25">
      <c r="A1428" s="186">
        <f>SUMIFS(МКД!$A$6:$A$389,МКД!$D$6:$D$389,Таблица1[[#This Row],[2]])</f>
        <v>243</v>
      </c>
      <c r="B1428" s="194">
        <f>SUMIFS(Таблица1[6],Таблица1[2],Таблица1[[#This Row],[2]])+SUMIFS(Таблица1[7],Таблица1[2],Таблица1[[#This Row],[2]])</f>
        <v>1950.6</v>
      </c>
      <c r="C1428" s="185" t="s">
        <v>397</v>
      </c>
      <c r="D1428" s="196"/>
      <c r="E1428" s="196"/>
      <c r="F1428" s="196"/>
      <c r="G1428" s="168"/>
      <c r="H1428" s="197"/>
      <c r="I1428" s="196"/>
      <c r="J1428" s="196"/>
      <c r="K1428" s="196"/>
      <c r="L1428" s="196"/>
      <c r="M1428" s="196"/>
      <c r="N1428" s="196"/>
      <c r="O1428" s="196"/>
      <c r="P1428" s="196"/>
      <c r="Q1428" s="196"/>
      <c r="R1428" s="196"/>
      <c r="S1428" s="196"/>
      <c r="T1428" s="196"/>
      <c r="U1428" s="196"/>
      <c r="V1428" s="198"/>
    </row>
    <row r="1429" spans="1:22" hidden="1" outlineLevel="2" x14ac:dyDescent="0.25">
      <c r="A1429" s="186">
        <f>SUMIFS(МКД!$A$6:$A$389,МКД!$D$6:$D$389,Таблица1[[#This Row],[2]])</f>
        <v>243</v>
      </c>
      <c r="B1429" s="170"/>
      <c r="C1429" s="182" t="s">
        <v>397</v>
      </c>
      <c r="D1429" s="319" t="s">
        <v>2604</v>
      </c>
      <c r="E1429" s="273" t="s">
        <v>2605</v>
      </c>
      <c r="F1429" s="167">
        <v>5</v>
      </c>
      <c r="G1429" s="168">
        <f>SUMIFS(Таблица1[[#This Row],[8]:[19]],$I$5:$T$5,"Выкуп")</f>
        <v>0</v>
      </c>
      <c r="H1429" s="168">
        <f>SUMIFS(Таблица1[[#This Row],[8]:[19]],$I$5:$T$5,"Аренда")</f>
        <v>0</v>
      </c>
      <c r="I1429" s="169"/>
      <c r="J1429" s="169"/>
      <c r="K1429" s="278">
        <f>102.2*0</f>
        <v>0</v>
      </c>
      <c r="L1429" s="169"/>
      <c r="M1429" s="169"/>
      <c r="N1429" s="169"/>
      <c r="O1429" s="169"/>
      <c r="P1429" s="169"/>
      <c r="Q1429" s="169"/>
      <c r="R1429" s="169"/>
      <c r="S1429" s="169"/>
      <c r="T1429" s="169"/>
      <c r="U1429" s="170"/>
      <c r="V1429" s="171"/>
    </row>
    <row r="1430" spans="1:22" hidden="1" outlineLevel="2" x14ac:dyDescent="0.25">
      <c r="A1430" s="186">
        <f>SUMIFS(МКД!$A$6:$A$389,МКД!$D$6:$D$389,Таблица1[[#This Row],[2]])</f>
        <v>243</v>
      </c>
      <c r="B1430" s="170"/>
      <c r="C1430" s="182" t="s">
        <v>397</v>
      </c>
      <c r="D1430" s="167" t="s">
        <v>1604</v>
      </c>
      <c r="E1430" s="167" t="s">
        <v>1605</v>
      </c>
      <c r="F1430" s="167">
        <v>5</v>
      </c>
      <c r="G1430" s="168">
        <f>SUMIFS(Таблица1[[#This Row],[8]:[19]],$I$5:$T$5,"Выкуп")</f>
        <v>111.7</v>
      </c>
      <c r="H1430" s="168">
        <f>SUMIFS(Таблица1[[#This Row],[8]:[19]],$I$5:$T$5,"Аренда")</f>
        <v>0</v>
      </c>
      <c r="I1430" s="169"/>
      <c r="J1430" s="169"/>
      <c r="K1430" s="169">
        <v>111.7</v>
      </c>
      <c r="L1430" s="169"/>
      <c r="M1430" s="169"/>
      <c r="N1430" s="169"/>
      <c r="O1430" s="169"/>
      <c r="P1430" s="169"/>
      <c r="Q1430" s="169"/>
      <c r="R1430" s="169"/>
      <c r="S1430" s="169"/>
      <c r="T1430" s="169"/>
      <c r="U1430" s="170"/>
      <c r="V1430" s="171"/>
    </row>
    <row r="1431" spans="1:22" hidden="1" outlineLevel="2" x14ac:dyDescent="0.25">
      <c r="A1431" s="186">
        <f>SUMIFS(МКД!$A$6:$A$389,МКД!$D$6:$D$389,Таблица1[[#This Row],[2]])</f>
        <v>243</v>
      </c>
      <c r="B1431" s="168"/>
      <c r="C1431" s="182" t="s">
        <v>397</v>
      </c>
      <c r="D1431" s="167" t="s">
        <v>2761</v>
      </c>
      <c r="E1431" s="167" t="s">
        <v>2759</v>
      </c>
      <c r="F1431" s="167">
        <v>5</v>
      </c>
      <c r="G1431" s="168">
        <f>SUMIFS(Таблица1[[#This Row],[8]:[19]],$I$5:$T$5,"Выкуп")</f>
        <v>66.900000000000006</v>
      </c>
      <c r="H1431" s="168">
        <f>SUMIFS(Таблица1[[#This Row],[8]:[19]],$I$5:$T$5,"Аренда")</f>
        <v>0</v>
      </c>
      <c r="I1431" s="169">
        <v>66.900000000000006</v>
      </c>
      <c r="J1431" s="169"/>
      <c r="K1431" s="169"/>
      <c r="L1431" s="169"/>
      <c r="M1431" s="169"/>
      <c r="N1431" s="169"/>
      <c r="O1431" s="169"/>
      <c r="P1431" s="169"/>
      <c r="Q1431" s="169"/>
      <c r="R1431" s="169"/>
      <c r="S1431" s="169"/>
      <c r="T1431" s="169"/>
      <c r="U1431" s="170"/>
      <c r="V1431" s="171"/>
    </row>
    <row r="1432" spans="1:22" hidden="1" outlineLevel="2" x14ac:dyDescent="0.25">
      <c r="A1432" s="186">
        <f>SUMIFS(МКД!$A$6:$A$389,МКД!$D$6:$D$389,Таблица1[[#This Row],[2]])</f>
        <v>243</v>
      </c>
      <c r="B1432" s="168"/>
      <c r="C1432" s="182" t="s">
        <v>397</v>
      </c>
      <c r="D1432" s="167" t="s">
        <v>2760</v>
      </c>
      <c r="E1432" s="167" t="s">
        <v>2762</v>
      </c>
      <c r="F1432" s="167">
        <v>5</v>
      </c>
      <c r="G1432" s="168">
        <f>SUMIFS(Таблица1[[#This Row],[8]:[19]],$I$5:$T$5,"Выкуп")</f>
        <v>74.7</v>
      </c>
      <c r="H1432" s="168">
        <f>SUMIFS(Таблица1[[#This Row],[8]:[19]],$I$5:$T$5,"Аренда")</f>
        <v>0</v>
      </c>
      <c r="I1432" s="169">
        <v>74.7</v>
      </c>
      <c r="J1432" s="169"/>
      <c r="K1432" s="169"/>
      <c r="L1432" s="169"/>
      <c r="M1432" s="169"/>
      <c r="N1432" s="169"/>
      <c r="O1432" s="169"/>
      <c r="P1432" s="169"/>
      <c r="Q1432" s="169"/>
      <c r="R1432" s="169"/>
      <c r="S1432" s="169"/>
      <c r="T1432" s="169"/>
      <c r="U1432" s="170"/>
      <c r="V1432" s="171"/>
    </row>
    <row r="1433" spans="1:22" hidden="1" outlineLevel="2" x14ac:dyDescent="0.25">
      <c r="A1433" s="186">
        <f>SUMIFS(МКД!$A$6:$A$389,МКД!$D$6:$D$389,Таблица1[[#This Row],[2]])</f>
        <v>243</v>
      </c>
      <c r="B1433" s="168"/>
      <c r="C1433" s="182" t="s">
        <v>397</v>
      </c>
      <c r="D1433" s="167" t="s">
        <v>2758</v>
      </c>
      <c r="E1433" s="167" t="s">
        <v>2757</v>
      </c>
      <c r="F1433" s="167">
        <v>1</v>
      </c>
      <c r="G1433" s="168">
        <f>SUMIFS(Таблица1[[#This Row],[8]:[19]],$I$5:$T$5,"Выкуп")</f>
        <v>176.2</v>
      </c>
      <c r="H1433" s="168">
        <f>SUMIFS(Таблица1[[#This Row],[8]:[19]],$I$5:$T$5,"Аренда")</f>
        <v>0</v>
      </c>
      <c r="I1433" s="169">
        <v>176.2</v>
      </c>
      <c r="J1433" s="169"/>
      <c r="K1433" s="169"/>
      <c r="L1433" s="169"/>
      <c r="M1433" s="169"/>
      <c r="N1433" s="169"/>
      <c r="O1433" s="169"/>
      <c r="P1433" s="169"/>
      <c r="Q1433" s="169"/>
      <c r="R1433" s="169"/>
      <c r="S1433" s="169"/>
      <c r="T1433" s="169"/>
      <c r="U1433" s="170"/>
      <c r="V1433" s="171"/>
    </row>
    <row r="1434" spans="1:22" hidden="1" outlineLevel="2" x14ac:dyDescent="0.25">
      <c r="A1434" s="186">
        <f>SUMIFS(МКД!$A$6:$A$389,МКД!$D$6:$D$389,Таблица1[[#This Row],[2]])</f>
        <v>243</v>
      </c>
      <c r="B1434" s="168"/>
      <c r="C1434" s="182" t="s">
        <v>397</v>
      </c>
      <c r="D1434" s="167" t="s">
        <v>2795</v>
      </c>
      <c r="E1434" s="167" t="s">
        <v>1878</v>
      </c>
      <c r="F1434" s="167">
        <v>3</v>
      </c>
      <c r="G1434" s="168">
        <f>SUMIFS(Таблица1[[#This Row],[8]:[19]],$I$5:$T$5,"Выкуп")</f>
        <v>186.9</v>
      </c>
      <c r="H1434" s="168">
        <f>SUMIFS(Таблица1[[#This Row],[8]:[19]],$I$5:$T$5,"Аренда")</f>
        <v>0</v>
      </c>
      <c r="I1434" s="169">
        <v>62.9</v>
      </c>
      <c r="J1434" s="169"/>
      <c r="K1434" s="169">
        <v>124</v>
      </c>
      <c r="L1434" s="169"/>
      <c r="M1434" s="169"/>
      <c r="N1434" s="169"/>
      <c r="O1434" s="169"/>
      <c r="P1434" s="169"/>
      <c r="Q1434" s="169"/>
      <c r="R1434" s="169"/>
      <c r="S1434" s="169"/>
      <c r="T1434" s="169"/>
      <c r="U1434" s="170"/>
      <c r="V1434" s="171"/>
    </row>
    <row r="1435" spans="1:22" hidden="1" outlineLevel="2" x14ac:dyDescent="0.25">
      <c r="A1435" s="186">
        <f>SUMIFS(МКД!$A$6:$A$389,МКД!$D$6:$D$389,Таблица1[[#This Row],[2]])</f>
        <v>243</v>
      </c>
      <c r="B1435" s="168"/>
      <c r="C1435" s="182" t="s">
        <v>397</v>
      </c>
      <c r="D1435" s="167" t="s">
        <v>315</v>
      </c>
      <c r="E1435" s="167" t="s">
        <v>1991</v>
      </c>
      <c r="F1435" s="167">
        <v>1</v>
      </c>
      <c r="G1435" s="168">
        <f>SUMIFS(Таблица1[[#This Row],[8]:[19]],$I$5:$T$5,"Выкуп")</f>
        <v>74</v>
      </c>
      <c r="H1435" s="168">
        <f>SUMIFS(Таблица1[[#This Row],[8]:[19]],$I$5:$T$5,"Аренда")</f>
        <v>0</v>
      </c>
      <c r="I1435" s="169">
        <v>74</v>
      </c>
      <c r="J1435" s="169"/>
      <c r="K1435" s="169"/>
      <c r="L1435" s="169"/>
      <c r="M1435" s="169"/>
      <c r="N1435" s="169"/>
      <c r="O1435" s="169"/>
      <c r="P1435" s="169"/>
      <c r="Q1435" s="169"/>
      <c r="R1435" s="169"/>
      <c r="S1435" s="169"/>
      <c r="T1435" s="169"/>
      <c r="U1435" s="170"/>
      <c r="V1435" s="171"/>
    </row>
    <row r="1436" spans="1:22" hidden="1" outlineLevel="2" x14ac:dyDescent="0.25">
      <c r="A1436" s="186">
        <f>SUMIFS(МКД!$A$6:$A$389,МКД!$D$6:$D$389,Таблица1[[#This Row],[2]])</f>
        <v>243</v>
      </c>
      <c r="B1436" s="168"/>
      <c r="C1436" s="182" t="s">
        <v>397</v>
      </c>
      <c r="D1436" s="167" t="s">
        <v>315</v>
      </c>
      <c r="E1436" s="167" t="s">
        <v>2763</v>
      </c>
      <c r="F1436" s="167">
        <v>5</v>
      </c>
      <c r="G1436" s="168">
        <f>SUMIFS(Таблица1[[#This Row],[8]:[19]],$I$5:$T$5,"Выкуп")</f>
        <v>49.3</v>
      </c>
      <c r="H1436" s="168">
        <f>SUMIFS(Таблица1[[#This Row],[8]:[19]],$I$5:$T$5,"Аренда")</f>
        <v>0</v>
      </c>
      <c r="I1436" s="169">
        <v>49.3</v>
      </c>
      <c r="J1436" s="169"/>
      <c r="K1436" s="169"/>
      <c r="L1436" s="169"/>
      <c r="M1436" s="169"/>
      <c r="N1436" s="169"/>
      <c r="O1436" s="169"/>
      <c r="P1436" s="169"/>
      <c r="Q1436" s="169"/>
      <c r="R1436" s="169"/>
      <c r="S1436" s="169"/>
      <c r="T1436" s="169"/>
      <c r="U1436" s="170"/>
      <c r="V1436" s="171"/>
    </row>
    <row r="1437" spans="1:22" hidden="1" outlineLevel="2" x14ac:dyDescent="0.25">
      <c r="A1437" s="186">
        <f>SUMIFS(МКД!$A$6:$A$389,МКД!$D$6:$D$389,Таблица1[[#This Row],[2]])</f>
        <v>243</v>
      </c>
      <c r="B1437" s="168"/>
      <c r="C1437" s="182" t="s">
        <v>397</v>
      </c>
      <c r="D1437" s="167" t="s">
        <v>2768</v>
      </c>
      <c r="E1437" s="167" t="s">
        <v>1758</v>
      </c>
      <c r="F1437" s="167">
        <v>5</v>
      </c>
      <c r="G1437" s="168">
        <f>SUMIFS(Таблица1[[#This Row],[8]:[19]],$I$5:$T$5,"Выкуп")</f>
        <v>126.1</v>
      </c>
      <c r="H1437" s="168">
        <f>SUMIFS(Таблица1[[#This Row],[8]:[19]],$I$5:$T$5,"Аренда")</f>
        <v>0</v>
      </c>
      <c r="I1437" s="169"/>
      <c r="J1437" s="169"/>
      <c r="K1437" s="169">
        <v>126.1</v>
      </c>
      <c r="L1437" s="169"/>
      <c r="M1437" s="169"/>
      <c r="N1437" s="169"/>
      <c r="O1437" s="169"/>
      <c r="P1437" s="169"/>
      <c r="Q1437" s="169"/>
      <c r="R1437" s="169"/>
      <c r="S1437" s="169"/>
      <c r="T1437" s="169"/>
      <c r="U1437" s="170"/>
      <c r="V1437" s="171"/>
    </row>
    <row r="1438" spans="1:22" hidden="1" outlineLevel="2" x14ac:dyDescent="0.25">
      <c r="A1438" s="186">
        <f>SUMIFS(МКД!$A$6:$A$389,МКД!$D$6:$D$389,Таблица1[[#This Row],[2]])</f>
        <v>243</v>
      </c>
      <c r="B1438" s="168"/>
      <c r="C1438" s="182" t="s">
        <v>397</v>
      </c>
      <c r="D1438" s="167"/>
      <c r="E1438" s="167" t="s">
        <v>1759</v>
      </c>
      <c r="F1438" s="167">
        <v>5</v>
      </c>
      <c r="G1438" s="168">
        <f>SUMIFS(Таблица1[[#This Row],[8]:[19]],$I$5:$T$5,"Выкуп")</f>
        <v>0</v>
      </c>
      <c r="H1438" s="168">
        <f>SUMIFS(Таблица1[[#This Row],[8]:[19]],$I$5:$T$5,"Аренда")</f>
        <v>0</v>
      </c>
      <c r="I1438" s="169"/>
      <c r="J1438" s="169"/>
      <c r="K1438" s="169"/>
      <c r="L1438" s="169"/>
      <c r="M1438" s="169"/>
      <c r="N1438" s="169"/>
      <c r="O1438" s="167"/>
      <c r="P1438" s="169"/>
      <c r="Q1438" s="169"/>
      <c r="R1438" s="169"/>
      <c r="S1438" s="169"/>
      <c r="T1438" s="169"/>
      <c r="U1438" s="170"/>
      <c r="V1438" s="171"/>
    </row>
    <row r="1439" spans="1:22" hidden="1" outlineLevel="2" x14ac:dyDescent="0.25">
      <c r="A1439" s="186">
        <f>SUMIFS(МКД!$A$6:$A$389,МКД!$D$6:$D$389,Таблица1[[#This Row],[2]])</f>
        <v>243</v>
      </c>
      <c r="B1439" s="168"/>
      <c r="C1439" s="182" t="s">
        <v>397</v>
      </c>
      <c r="D1439" s="167" t="s">
        <v>316</v>
      </c>
      <c r="E1439" s="167" t="s">
        <v>89</v>
      </c>
      <c r="F1439" s="167">
        <v>1</v>
      </c>
      <c r="G1439" s="168">
        <f>SUMIFS(Таблица1[[#This Row],[8]:[19]],$I$5:$T$5,"Выкуп")</f>
        <v>0</v>
      </c>
      <c r="H1439" s="168">
        <f>SUMIFS(Таблица1[[#This Row],[8]:[19]],$I$5:$T$5,"Аренда")</f>
        <v>28.5</v>
      </c>
      <c r="I1439" s="169"/>
      <c r="J1439" s="169"/>
      <c r="K1439" s="169"/>
      <c r="L1439" s="169"/>
      <c r="M1439" s="169"/>
      <c r="N1439" s="169"/>
      <c r="O1439" s="169"/>
      <c r="P1439" s="169"/>
      <c r="Q1439" s="167"/>
      <c r="R1439" s="169">
        <v>28.5</v>
      </c>
      <c r="S1439" s="169"/>
      <c r="T1439" s="169"/>
      <c r="U1439" s="170"/>
      <c r="V1439" s="171"/>
    </row>
    <row r="1440" spans="1:22" hidden="1" outlineLevel="2" x14ac:dyDescent="0.25">
      <c r="A1440" s="186">
        <f>SUMIFS(МКД!$A$6:$A$389,МКД!$D$6:$D$389,Таблица1[[#This Row],[2]])</f>
        <v>243</v>
      </c>
      <c r="B1440" s="168"/>
      <c r="C1440" s="182" t="s">
        <v>397</v>
      </c>
      <c r="D1440" s="167" t="s">
        <v>2794</v>
      </c>
      <c r="E1440" s="167" t="s">
        <v>1760</v>
      </c>
      <c r="F1440" s="167"/>
      <c r="G1440" s="168">
        <f>SUMIFS(Таблица1[[#This Row],[8]:[19]],$I$5:$T$5,"Выкуп")</f>
        <v>222.4</v>
      </c>
      <c r="H1440" s="168">
        <f>SUMIFS(Таблица1[[#This Row],[8]:[19]],$I$5:$T$5,"Аренда")</f>
        <v>0</v>
      </c>
      <c r="I1440" s="169">
        <v>222.4</v>
      </c>
      <c r="J1440" s="169"/>
      <c r="K1440" s="169"/>
      <c r="L1440" s="169"/>
      <c r="M1440" s="169"/>
      <c r="N1440" s="169"/>
      <c r="O1440" s="169"/>
      <c r="P1440" s="169"/>
      <c r="Q1440" s="169"/>
      <c r="R1440" s="169"/>
      <c r="S1440" s="169"/>
      <c r="T1440" s="169"/>
      <c r="U1440" s="170"/>
      <c r="V1440" s="171"/>
    </row>
    <row r="1441" spans="1:22" hidden="1" outlineLevel="2" x14ac:dyDescent="0.25">
      <c r="A1441" s="186">
        <f>SUMIFS(МКД!$A$6:$A$389,МКД!$D$6:$D$389,Таблица1[[#This Row],[2]])</f>
        <v>243</v>
      </c>
      <c r="B1441" s="168"/>
      <c r="C1441" s="182" t="s">
        <v>397</v>
      </c>
      <c r="D1441" s="167" t="s">
        <v>1394</v>
      </c>
      <c r="E1441" s="167" t="s">
        <v>2752</v>
      </c>
      <c r="F1441" s="167"/>
      <c r="G1441" s="168">
        <f>SUMIFS(Таблица1[[#This Row],[8]:[19]],$I$5:$T$5,"Выкуп")</f>
        <v>453.8</v>
      </c>
      <c r="H1441" s="168">
        <f>SUMIFS(Таблица1[[#This Row],[8]:[19]],$I$5:$T$5,"Аренда")</f>
        <v>0</v>
      </c>
      <c r="I1441" s="169"/>
      <c r="J1441" s="169"/>
      <c r="K1441" s="169"/>
      <c r="L1441" s="169"/>
      <c r="M1441" s="278">
        <v>453.8</v>
      </c>
      <c r="N1441" s="169"/>
      <c r="O1441" s="169"/>
      <c r="P1441" s="169"/>
      <c r="Q1441" s="169"/>
      <c r="R1441" s="169"/>
      <c r="S1441" s="169"/>
      <c r="T1441" s="169"/>
      <c r="U1441" s="170"/>
      <c r="V1441" s="171"/>
    </row>
    <row r="1442" spans="1:22" hidden="1" outlineLevel="2" x14ac:dyDescent="0.25">
      <c r="A1442" s="186">
        <f>SUMIFS(МКД!$A$6:$A$389,МКД!$D$6:$D$389,Таблица1[[#This Row],[2]])</f>
        <v>243</v>
      </c>
      <c r="B1442" s="168"/>
      <c r="C1442" s="182" t="s">
        <v>397</v>
      </c>
      <c r="D1442" s="167" t="s">
        <v>1053</v>
      </c>
      <c r="E1442" s="167" t="s">
        <v>2833</v>
      </c>
      <c r="F1442" s="167"/>
      <c r="G1442" s="168">
        <f>SUMIFS(Таблица1[[#This Row],[8]:[19]],$I$5:$T$5,"Выкуп")</f>
        <v>167</v>
      </c>
      <c r="H1442" s="168">
        <f>SUMIFS(Таблица1[[#This Row],[8]:[19]],$I$5:$T$5,"Аренда")</f>
        <v>0</v>
      </c>
      <c r="I1442" s="169"/>
      <c r="J1442" s="169"/>
      <c r="K1442" s="169"/>
      <c r="L1442" s="169"/>
      <c r="M1442" s="278">
        <v>167</v>
      </c>
      <c r="N1442" s="169"/>
      <c r="O1442" s="169"/>
      <c r="P1442" s="169"/>
      <c r="Q1442" s="169"/>
      <c r="R1442" s="169"/>
      <c r="S1442" s="169"/>
      <c r="T1442" s="169"/>
      <c r="U1442" s="170"/>
      <c r="V1442" s="171"/>
    </row>
    <row r="1443" spans="1:22" s="20" customFormat="1" hidden="1" outlineLevel="2" x14ac:dyDescent="0.25">
      <c r="A1443" s="186">
        <f>SUMIFS(МКД!$A$6:$A$389,МКД!$D$6:$D$389,Таблица1[[#This Row],[2]])</f>
        <v>243</v>
      </c>
      <c r="B1443" s="168"/>
      <c r="C1443" s="182" t="s">
        <v>397</v>
      </c>
      <c r="D1443" s="167" t="s">
        <v>2764</v>
      </c>
      <c r="E1443" s="167" t="s">
        <v>2765</v>
      </c>
      <c r="F1443" s="167"/>
      <c r="G1443" s="168">
        <f>SUMIFS(Таблица1[[#This Row],[8]:[19]],$I$5:$T$5,"Выкуп")</f>
        <v>118.2</v>
      </c>
      <c r="H1443" s="168">
        <f>SUMIFS(Таблица1[[#This Row],[8]:[19]],$I$5:$T$5,"Аренда")</f>
        <v>0</v>
      </c>
      <c r="I1443" s="169">
        <v>118.2</v>
      </c>
      <c r="J1443" s="169"/>
      <c r="K1443" s="169"/>
      <c r="L1443" s="169"/>
      <c r="M1443" s="169"/>
      <c r="N1443" s="169"/>
      <c r="O1443" s="169"/>
      <c r="P1443" s="169"/>
      <c r="Q1443" s="169"/>
      <c r="R1443" s="169"/>
      <c r="S1443" s="169"/>
      <c r="T1443" s="169"/>
      <c r="U1443" s="170"/>
      <c r="V1443" s="171"/>
    </row>
    <row r="1444" spans="1:22" s="20" customFormat="1" hidden="1" outlineLevel="2" x14ac:dyDescent="0.25">
      <c r="A1444" s="186">
        <f>SUMIFS(МКД!$A$6:$A$389,МКД!$D$6:$D$389,Таблица1[[#This Row],[2]])</f>
        <v>243</v>
      </c>
      <c r="B1444" s="168"/>
      <c r="C1444" s="182" t="s">
        <v>397</v>
      </c>
      <c r="D1444" s="167" t="s">
        <v>2764</v>
      </c>
      <c r="E1444" s="167" t="s">
        <v>2766</v>
      </c>
      <c r="F1444" s="167"/>
      <c r="G1444" s="168">
        <f>SUMIFS(Таблица1[[#This Row],[8]:[19]],$I$5:$T$5,"Выкуп")</f>
        <v>48.1</v>
      </c>
      <c r="H1444" s="168">
        <f>SUMIFS(Таблица1[[#This Row],[8]:[19]],$I$5:$T$5,"Аренда")</f>
        <v>0</v>
      </c>
      <c r="I1444" s="169">
        <v>48.1</v>
      </c>
      <c r="J1444" s="169"/>
      <c r="K1444" s="169"/>
      <c r="L1444" s="169"/>
      <c r="M1444" s="169"/>
      <c r="N1444" s="169"/>
      <c r="O1444" s="169"/>
      <c r="P1444" s="169"/>
      <c r="Q1444" s="169"/>
      <c r="R1444" s="169"/>
      <c r="S1444" s="169"/>
      <c r="T1444" s="169"/>
      <c r="U1444" s="170"/>
      <c r="V1444" s="171"/>
    </row>
    <row r="1445" spans="1:22" s="20" customFormat="1" hidden="1" outlineLevel="2" x14ac:dyDescent="0.25">
      <c r="A1445" s="186">
        <f>SUMIFS(МКД!$A$6:$A$389,МКД!$D$6:$D$389,Таблица1[[#This Row],[2]])</f>
        <v>243</v>
      </c>
      <c r="B1445" s="168"/>
      <c r="C1445" s="182" t="s">
        <v>397</v>
      </c>
      <c r="D1445" s="167" t="s">
        <v>2764</v>
      </c>
      <c r="E1445" s="167" t="s">
        <v>2767</v>
      </c>
      <c r="F1445" s="167"/>
      <c r="G1445" s="168">
        <f>SUMIFS(Таблица1[[#This Row],[8]:[19]],$I$5:$T$5,"Выкуп")</f>
        <v>46.8</v>
      </c>
      <c r="H1445" s="168">
        <f>SUMIFS(Таблица1[[#This Row],[8]:[19]],$I$5:$T$5,"Аренда")</f>
        <v>0</v>
      </c>
      <c r="I1445" s="169">
        <v>46.8</v>
      </c>
      <c r="J1445" s="169"/>
      <c r="K1445" s="169"/>
      <c r="L1445" s="169"/>
      <c r="M1445" s="169"/>
      <c r="N1445" s="169"/>
      <c r="O1445" s="169"/>
      <c r="P1445" s="169"/>
      <c r="Q1445" s="169"/>
      <c r="R1445" s="169"/>
      <c r="S1445" s="169"/>
      <c r="T1445" s="169"/>
      <c r="U1445" s="170"/>
      <c r="V1445" s="171"/>
    </row>
    <row r="1446" spans="1:22" s="20" customFormat="1" ht="15" outlineLevel="1" collapsed="1" x14ac:dyDescent="0.25">
      <c r="A1446" s="186">
        <f>SUMIFS(МКД!$A$6:$A$389,МКД!$D$6:$D$389,Таблица1[[#This Row],[2]])</f>
        <v>244</v>
      </c>
      <c r="B1446" s="194">
        <f>SUMIFS(Таблица1[6],Таблица1[2],Таблица1[[#This Row],[2]])+SUMIFS(Таблица1[7],Таблица1[2],Таблица1[[#This Row],[2]])</f>
        <v>282.5</v>
      </c>
      <c r="C1446" s="185" t="s">
        <v>398</v>
      </c>
      <c r="D1446" s="196"/>
      <c r="E1446" s="196"/>
      <c r="F1446" s="196"/>
      <c r="G1446" s="168"/>
      <c r="H1446" s="197"/>
      <c r="I1446" s="196"/>
      <c r="J1446" s="196"/>
      <c r="K1446" s="196"/>
      <c r="L1446" s="196"/>
      <c r="M1446" s="196"/>
      <c r="N1446" s="196"/>
      <c r="O1446" s="196"/>
      <c r="P1446" s="196"/>
      <c r="Q1446" s="196"/>
      <c r="R1446" s="196"/>
      <c r="S1446" s="196"/>
      <c r="T1446" s="196"/>
      <c r="U1446" s="196"/>
      <c r="V1446" s="198"/>
    </row>
    <row r="1447" spans="1:22" s="20" customFormat="1" ht="15" hidden="1" outlineLevel="2" x14ac:dyDescent="0.25">
      <c r="A1447" s="186">
        <f>SUMIFS(МКД!$A$6:$A$389,МКД!$D$6:$D$389,Таблица1[[#This Row],[2]])</f>
        <v>244</v>
      </c>
      <c r="B1447" s="196"/>
      <c r="C1447" s="182" t="s">
        <v>398</v>
      </c>
      <c r="D1447" s="196"/>
      <c r="E1447" s="196"/>
      <c r="F1447" s="196"/>
      <c r="G1447" s="168">
        <f>SUMIFS(Таблица1[[#This Row],[8]:[19]],$I$5:$T$5,"Выкуп")</f>
        <v>0</v>
      </c>
      <c r="H1447" s="168">
        <f>SUMIFS(Таблица1[[#This Row],[8]:[19]],$I$5:$T$5,"Аренда")</f>
        <v>0</v>
      </c>
      <c r="I1447" s="196"/>
      <c r="J1447" s="196"/>
      <c r="K1447" s="196"/>
      <c r="L1447" s="196"/>
      <c r="M1447" s="196"/>
      <c r="N1447" s="196"/>
      <c r="O1447" s="196"/>
      <c r="P1447" s="196"/>
      <c r="Q1447" s="196"/>
      <c r="R1447" s="196"/>
      <c r="S1447" s="196"/>
      <c r="T1447" s="196"/>
      <c r="U1447" s="196"/>
      <c r="V1447" s="198"/>
    </row>
    <row r="1448" spans="1:22" s="20" customFormat="1" ht="15" hidden="1" outlineLevel="2" x14ac:dyDescent="0.25">
      <c r="A1448" s="186">
        <f>SUMIFS(МКД!$A$6:$A$389,МКД!$D$6:$D$389,Таблица1[[#This Row],[2]])</f>
        <v>244</v>
      </c>
      <c r="B1448" s="196"/>
      <c r="C1448" s="182" t="s">
        <v>398</v>
      </c>
      <c r="D1448" s="196" t="s">
        <v>1627</v>
      </c>
      <c r="E1448" s="196" t="s">
        <v>828</v>
      </c>
      <c r="F1448" s="196"/>
      <c r="G1448" s="168">
        <f>SUMIFS(Таблица1[[#This Row],[8]:[19]],$I$5:$T$5,"Выкуп")</f>
        <v>282.5</v>
      </c>
      <c r="H1448" s="168">
        <f>SUMIFS(Таблица1[[#This Row],[8]:[19]],$I$5:$T$5,"Аренда")</f>
        <v>0</v>
      </c>
      <c r="I1448" s="196"/>
      <c r="J1448" s="196"/>
      <c r="K1448" s="196">
        <f>282.5-Таблица1[[#This Row],[12]]-Таблица1[[#This Row],[14]]</f>
        <v>80.799999999999983</v>
      </c>
      <c r="L1448" s="196"/>
      <c r="M1448" s="196">
        <v>187.3</v>
      </c>
      <c r="N1448" s="196"/>
      <c r="O1448" s="196">
        <v>14.4</v>
      </c>
      <c r="P1448" s="196"/>
      <c r="Q1448" s="196"/>
      <c r="R1448" s="196"/>
      <c r="S1448" s="196"/>
      <c r="T1448" s="196"/>
      <c r="U1448" s="196"/>
      <c r="V1448" s="198"/>
    </row>
    <row r="1449" spans="1:22" s="20" customFormat="1" ht="15" outlineLevel="1" collapsed="1" x14ac:dyDescent="0.25">
      <c r="A1449" s="186">
        <f>SUMIFS(МКД!$A$6:$A$389,МКД!$D$6:$D$389,Таблица1[[#This Row],[2]])</f>
        <v>245</v>
      </c>
      <c r="B1449" s="194">
        <f>SUMIFS(Таблица1[6],Таблица1[2],Таблица1[[#This Row],[2]])+SUMIFS(Таблица1[7],Таблица1[2],Таблица1[[#This Row],[2]])</f>
        <v>89</v>
      </c>
      <c r="C1449" s="185" t="s">
        <v>399</v>
      </c>
      <c r="D1449" s="196"/>
      <c r="E1449" s="196"/>
      <c r="F1449" s="196"/>
      <c r="G1449" s="168"/>
      <c r="H1449" s="197"/>
      <c r="I1449" s="196"/>
      <c r="J1449" s="196"/>
      <c r="K1449" s="196"/>
      <c r="L1449" s="196"/>
      <c r="M1449" s="196"/>
      <c r="N1449" s="196"/>
      <c r="O1449" s="196"/>
      <c r="P1449" s="196"/>
      <c r="Q1449" s="196"/>
      <c r="R1449" s="196"/>
      <c r="S1449" s="196"/>
      <c r="T1449" s="196"/>
      <c r="U1449" s="196"/>
      <c r="V1449" s="198"/>
    </row>
    <row r="1450" spans="1:22" s="19" customFormat="1" hidden="1" outlineLevel="2" x14ac:dyDescent="0.25">
      <c r="A1450" s="186">
        <f>SUMIFS(МКД!$A$6:$A$389,МКД!$D$6:$D$389,Таблица1[[#This Row],[2]])</f>
        <v>245</v>
      </c>
      <c r="B1450" s="170"/>
      <c r="C1450" s="182" t="s">
        <v>399</v>
      </c>
      <c r="D1450" s="167" t="s">
        <v>1053</v>
      </c>
      <c r="E1450" s="167" t="s">
        <v>1606</v>
      </c>
      <c r="F1450" s="167"/>
      <c r="G1450" s="168">
        <f>SUMIFS(Таблица1[[#This Row],[8]:[19]],$I$5:$T$5,"Выкуп")</f>
        <v>89</v>
      </c>
      <c r="H1450" s="168">
        <f>SUMIFS(Таблица1[[#This Row],[8]:[19]],$I$5:$T$5,"Аренда")</f>
        <v>0</v>
      </c>
      <c r="I1450" s="169"/>
      <c r="J1450" s="169"/>
      <c r="K1450" s="169">
        <v>89</v>
      </c>
      <c r="L1450" s="169"/>
      <c r="M1450" s="169"/>
      <c r="N1450" s="169"/>
      <c r="O1450" s="169"/>
      <c r="P1450" s="169"/>
      <c r="Q1450" s="169"/>
      <c r="R1450" s="169"/>
      <c r="S1450" s="169"/>
      <c r="T1450" s="169"/>
      <c r="U1450" s="170"/>
      <c r="V1450" s="171"/>
    </row>
    <row r="1451" spans="1:22" s="19" customFormat="1" ht="15" outlineLevel="1" collapsed="1" x14ac:dyDescent="0.25">
      <c r="A1451" s="186">
        <f>SUMIFS(МКД!$A$6:$A$389,МКД!$D$6:$D$389,Таблица1[[#This Row],[2]])</f>
        <v>246</v>
      </c>
      <c r="B1451" s="194">
        <f>SUMIFS(Таблица1[6],Таблица1[2],Таблица1[[#This Row],[2]])+SUMIFS(Таблица1[7],Таблица1[2],Таблица1[[#This Row],[2]])</f>
        <v>162.69999999999999</v>
      </c>
      <c r="C1451" s="185" t="s">
        <v>400</v>
      </c>
      <c r="D1451" s="196"/>
      <c r="E1451" s="196"/>
      <c r="F1451" s="196"/>
      <c r="G1451" s="168"/>
      <c r="H1451" s="197"/>
      <c r="I1451" s="196"/>
      <c r="J1451" s="196"/>
      <c r="K1451" s="196"/>
      <c r="L1451" s="196"/>
      <c r="M1451" s="196"/>
      <c r="N1451" s="196"/>
      <c r="O1451" s="196"/>
      <c r="P1451" s="196"/>
      <c r="Q1451" s="196"/>
      <c r="R1451" s="196"/>
      <c r="S1451" s="196"/>
      <c r="T1451" s="196"/>
      <c r="U1451" s="196"/>
      <c r="V1451" s="198"/>
    </row>
    <row r="1452" spans="1:22" hidden="1" outlineLevel="2" x14ac:dyDescent="0.25">
      <c r="A1452" s="186">
        <f>SUMIFS(МКД!$A$6:$A$389,МКД!$D$6:$D$389,Таблица1[[#This Row],[2]])</f>
        <v>246</v>
      </c>
      <c r="B1452" s="170"/>
      <c r="C1452" s="182" t="s">
        <v>400</v>
      </c>
      <c r="D1452" s="167" t="s">
        <v>189</v>
      </c>
      <c r="E1452" s="167" t="s">
        <v>1578</v>
      </c>
      <c r="F1452" s="167">
        <v>1</v>
      </c>
      <c r="G1452" s="168">
        <f>SUMIFS(Таблица1[[#This Row],[8]:[19]],$I$5:$T$5,"Выкуп")</f>
        <v>73.3</v>
      </c>
      <c r="H1452" s="168">
        <f>SUMIFS(Таблица1[[#This Row],[8]:[19]],$I$5:$T$5,"Аренда")</f>
        <v>0</v>
      </c>
      <c r="I1452" s="169"/>
      <c r="J1452" s="169"/>
      <c r="K1452" s="169">
        <v>73.3</v>
      </c>
      <c r="L1452" s="169"/>
      <c r="M1452" s="169"/>
      <c r="N1452" s="169"/>
      <c r="O1452" s="169"/>
      <c r="P1452" s="169"/>
      <c r="Q1452" s="169"/>
      <c r="R1452" s="169"/>
      <c r="S1452" s="169"/>
      <c r="T1452" s="169"/>
      <c r="U1452" s="170"/>
      <c r="V1452" s="171"/>
    </row>
    <row r="1453" spans="1:22" hidden="1" outlineLevel="2" x14ac:dyDescent="0.25">
      <c r="A1453" s="186">
        <f>SUMIFS(МКД!$A$6:$A$389,МКД!$D$6:$D$389,Таблица1[[#This Row],[2]])</f>
        <v>246</v>
      </c>
      <c r="B1453" s="170"/>
      <c r="C1453" s="182" t="s">
        <v>400</v>
      </c>
      <c r="D1453" s="167" t="s">
        <v>2050</v>
      </c>
      <c r="E1453" s="167" t="s">
        <v>1799</v>
      </c>
      <c r="F1453" s="167">
        <v>1</v>
      </c>
      <c r="G1453" s="168">
        <f>SUMIFS(Таблица1[[#This Row],[8]:[19]],$I$5:$T$5,"Выкуп")</f>
        <v>89.4</v>
      </c>
      <c r="H1453" s="168">
        <f>SUMIFS(Таблица1[[#This Row],[8]:[19]],$I$5:$T$5,"Аренда")</f>
        <v>0</v>
      </c>
      <c r="I1453" s="169"/>
      <c r="J1453" s="169"/>
      <c r="K1453" s="169">
        <v>89.4</v>
      </c>
      <c r="L1453" s="169"/>
      <c r="M1453" s="169"/>
      <c r="N1453" s="169"/>
      <c r="O1453" s="169"/>
      <c r="P1453" s="169"/>
      <c r="Q1453" s="169"/>
      <c r="R1453" s="169"/>
      <c r="S1453" s="169"/>
      <c r="T1453" s="169"/>
      <c r="U1453" s="170"/>
      <c r="V1453" s="171"/>
    </row>
    <row r="1454" spans="1:22" ht="15" outlineLevel="1" collapsed="1" x14ac:dyDescent="0.25">
      <c r="A1454" s="186">
        <f>SUMIFS(МКД!$A$6:$A$389,МКД!$D$6:$D$389,Таблица1[[#This Row],[2]])</f>
        <v>247</v>
      </c>
      <c r="B1454" s="194">
        <f>SUMIFS(Таблица1[6],Таблица1[2],Таблица1[[#This Row],[2]])+SUMIFS(Таблица1[7],Таблица1[2],Таблица1[[#This Row],[2]])</f>
        <v>184.8</v>
      </c>
      <c r="C1454" s="185" t="s">
        <v>401</v>
      </c>
      <c r="D1454" s="196"/>
      <c r="E1454" s="196"/>
      <c r="F1454" s="196"/>
      <c r="G1454" s="168"/>
      <c r="H1454" s="197"/>
      <c r="I1454" s="196"/>
      <c r="J1454" s="196"/>
      <c r="K1454" s="196"/>
      <c r="L1454" s="196"/>
      <c r="M1454" s="196"/>
      <c r="N1454" s="196"/>
      <c r="O1454" s="196"/>
      <c r="P1454" s="196"/>
      <c r="Q1454" s="196"/>
      <c r="R1454" s="196"/>
      <c r="S1454" s="196"/>
      <c r="T1454" s="196"/>
      <c r="U1454" s="196"/>
      <c r="V1454" s="198"/>
    </row>
    <row r="1455" spans="1:22" ht="15" hidden="1" outlineLevel="2" x14ac:dyDescent="0.25">
      <c r="A1455" s="186">
        <f>SUMIFS(МКД!$A$6:$A$389,МКД!$D$6:$D$389,Таблица1[[#This Row],[2]])</f>
        <v>247</v>
      </c>
      <c r="B1455" s="196"/>
      <c r="C1455" s="182" t="s">
        <v>401</v>
      </c>
      <c r="D1455" s="373" t="s">
        <v>1053</v>
      </c>
      <c r="E1455" s="167" t="s">
        <v>2752</v>
      </c>
      <c r="F1455" s="196"/>
      <c r="G1455" s="168">
        <f>SUMIFS(Таблица1[[#This Row],[8]:[19]],$I$5:$T$5,"Выкуп")</f>
        <v>184.8</v>
      </c>
      <c r="H1455" s="168">
        <f>SUMIFS(Таблица1[[#This Row],[8]:[19]],$I$5:$T$5,"Аренда")</f>
        <v>0</v>
      </c>
      <c r="I1455" s="196"/>
      <c r="J1455" s="196"/>
      <c r="K1455" s="196"/>
      <c r="L1455" s="196"/>
      <c r="M1455" s="334">
        <v>184.8</v>
      </c>
      <c r="N1455" s="196"/>
      <c r="O1455" s="196"/>
      <c r="P1455" s="196"/>
      <c r="Q1455" s="196"/>
      <c r="R1455" s="196"/>
      <c r="S1455" s="196"/>
      <c r="T1455" s="196"/>
      <c r="U1455" s="196"/>
      <c r="V1455" s="198"/>
    </row>
    <row r="1456" spans="1:22" ht="15" outlineLevel="1" collapsed="1" x14ac:dyDescent="0.25">
      <c r="A1456" s="186">
        <f>SUMIFS(МКД!$A$6:$A$389,МКД!$D$6:$D$389,Таблица1[[#This Row],[2]])</f>
        <v>248</v>
      </c>
      <c r="B1456" s="194">
        <f>SUMIFS(Таблица1[6],Таблица1[2],Таблица1[[#This Row],[2]])+SUMIFS(Таблица1[7],Таблица1[2],Таблица1[[#This Row],[2]])</f>
        <v>1458.8999999999996</v>
      </c>
      <c r="C1456" s="185" t="s">
        <v>537</v>
      </c>
      <c r="D1456" s="196"/>
      <c r="E1456" s="196"/>
      <c r="F1456" s="196"/>
      <c r="G1456" s="168"/>
      <c r="H1456" s="197"/>
      <c r="I1456" s="196"/>
      <c r="J1456" s="196"/>
      <c r="K1456" s="196"/>
      <c r="L1456" s="196"/>
      <c r="M1456" s="196"/>
      <c r="N1456" s="196"/>
      <c r="O1456" s="196"/>
      <c r="P1456" s="196"/>
      <c r="Q1456" s="196"/>
      <c r="R1456" s="196"/>
      <c r="S1456" s="196"/>
      <c r="T1456" s="196"/>
      <c r="U1456" s="196"/>
      <c r="V1456" s="198"/>
    </row>
    <row r="1457" spans="1:22" hidden="1" outlineLevel="2" x14ac:dyDescent="0.25">
      <c r="A1457" s="186">
        <f>SUMIFS(МКД!$A$6:$A$389,МКД!$D$6:$D$389,Таблица1[[#This Row],[2]])</f>
        <v>248</v>
      </c>
      <c r="B1457" s="170"/>
      <c r="C1457" s="182" t="s">
        <v>537</v>
      </c>
      <c r="D1457" s="167" t="s">
        <v>62</v>
      </c>
      <c r="E1457" s="167" t="s">
        <v>783</v>
      </c>
      <c r="F1457" s="167">
        <v>1</v>
      </c>
      <c r="G1457" s="168">
        <f>SUMIFS(Таблица1[[#This Row],[8]:[19]],$I$5:$T$5,"Выкуп")</f>
        <v>142.30000000000001</v>
      </c>
      <c r="H1457" s="168">
        <f>SUMIFS(Таблица1[[#This Row],[8]:[19]],$I$5:$T$5,"Аренда")</f>
        <v>0</v>
      </c>
      <c r="I1457" s="169">
        <v>142.30000000000001</v>
      </c>
      <c r="J1457" s="169"/>
      <c r="K1457" s="169"/>
      <c r="L1457" s="169"/>
      <c r="M1457" s="169"/>
      <c r="N1457" s="169"/>
      <c r="O1457" s="169"/>
      <c r="P1457" s="169"/>
      <c r="Q1457" s="169"/>
      <c r="R1457" s="169"/>
      <c r="S1457" s="169"/>
      <c r="T1457" s="169"/>
      <c r="U1457" s="170"/>
      <c r="V1457" s="171"/>
    </row>
    <row r="1458" spans="1:22" hidden="1" outlineLevel="2" x14ac:dyDescent="0.25">
      <c r="A1458" s="186">
        <f>SUMIFS(МКД!$A$6:$A$389,МКД!$D$6:$D$389,Таблица1[[#This Row],[2]])</f>
        <v>248</v>
      </c>
      <c r="B1458" s="168"/>
      <c r="C1458" s="182" t="s">
        <v>537</v>
      </c>
      <c r="D1458" s="319" t="s">
        <v>1865</v>
      </c>
      <c r="E1458" s="319" t="s">
        <v>1772</v>
      </c>
      <c r="F1458" s="319">
        <v>1</v>
      </c>
      <c r="G1458" s="320">
        <f>SUMIFS(Таблица1[[#This Row],[8]:[19]],$I$5:$T$5,"Выкуп")</f>
        <v>263</v>
      </c>
      <c r="H1458" s="320">
        <f>SUMIFS(Таблица1[[#This Row],[8]:[19]],$I$5:$T$5,"Аренда")</f>
        <v>0</v>
      </c>
      <c r="I1458" s="278">
        <f>263-122.3</f>
        <v>140.69999999999999</v>
      </c>
      <c r="J1458" s="278"/>
      <c r="K1458" s="278">
        <f>122.3</f>
        <v>122.3</v>
      </c>
      <c r="L1458" s="169"/>
      <c r="M1458" s="169"/>
      <c r="N1458" s="169"/>
      <c r="O1458" s="169"/>
      <c r="P1458" s="169"/>
      <c r="Q1458" s="169"/>
      <c r="R1458" s="169"/>
      <c r="S1458" s="169"/>
      <c r="T1458" s="169"/>
      <c r="U1458" s="170"/>
      <c r="V1458" s="171"/>
    </row>
    <row r="1459" spans="1:22" hidden="1" outlineLevel="2" x14ac:dyDescent="0.25">
      <c r="A1459" s="186">
        <f>SUMIFS(МКД!$A$6:$A$389,МКД!$D$6:$D$389,Таблица1[[#This Row],[2]])</f>
        <v>248</v>
      </c>
      <c r="B1459" s="168"/>
      <c r="C1459" s="182" t="s">
        <v>537</v>
      </c>
      <c r="D1459" s="167" t="s">
        <v>1796</v>
      </c>
      <c r="E1459" s="167" t="s">
        <v>762</v>
      </c>
      <c r="F1459" s="167">
        <v>1</v>
      </c>
      <c r="G1459" s="168">
        <f>SUMIFS(Таблица1[[#This Row],[8]:[19]],$I$5:$T$5,"Выкуп")</f>
        <v>252.2</v>
      </c>
      <c r="H1459" s="168">
        <f>SUMIFS(Таблица1[[#This Row],[8]:[19]],$I$5:$T$5,"Аренда")</f>
        <v>0</v>
      </c>
      <c r="I1459" s="169">
        <v>252.2</v>
      </c>
      <c r="J1459" s="169"/>
      <c r="K1459" s="169"/>
      <c r="L1459" s="169"/>
      <c r="M1459" s="169"/>
      <c r="N1459" s="169"/>
      <c r="O1459" s="169"/>
      <c r="P1459" s="169"/>
      <c r="Q1459" s="169"/>
      <c r="R1459" s="169"/>
      <c r="S1459" s="169"/>
      <c r="T1459" s="169"/>
      <c r="U1459" s="170"/>
      <c r="V1459" s="171"/>
    </row>
    <row r="1460" spans="1:22" hidden="1" outlineLevel="2" x14ac:dyDescent="0.25">
      <c r="A1460" s="186">
        <f>SUMIFS(МКД!$A$6:$A$389,МКД!$D$6:$D$389,Таблица1[[#This Row],[2]])</f>
        <v>248</v>
      </c>
      <c r="B1460" s="168"/>
      <c r="C1460" s="182" t="s">
        <v>537</v>
      </c>
      <c r="D1460" s="167" t="s">
        <v>1797</v>
      </c>
      <c r="E1460" s="167" t="s">
        <v>946</v>
      </c>
      <c r="F1460" s="167">
        <v>1</v>
      </c>
      <c r="G1460" s="168">
        <f>SUMIFS(Таблица1[[#This Row],[8]:[19]],$I$5:$T$5,"Выкуп")</f>
        <v>304</v>
      </c>
      <c r="H1460" s="168">
        <f>SUMIFS(Таблица1[[#This Row],[8]:[19]],$I$5:$T$5,"Аренда")</f>
        <v>0</v>
      </c>
      <c r="I1460" s="169"/>
      <c r="J1460" s="169"/>
      <c r="K1460" s="169">
        <v>304</v>
      </c>
      <c r="L1460" s="169"/>
      <c r="M1460" s="169"/>
      <c r="N1460" s="169"/>
      <c r="O1460" s="169"/>
      <c r="P1460" s="169"/>
      <c r="Q1460" s="169"/>
      <c r="R1460" s="169"/>
      <c r="S1460" s="169"/>
      <c r="T1460" s="169"/>
      <c r="U1460" s="170"/>
      <c r="V1460" s="171"/>
    </row>
    <row r="1461" spans="1:22" hidden="1" outlineLevel="2" x14ac:dyDescent="0.25">
      <c r="A1461" s="186">
        <f>SUMIFS(МКД!$A$6:$A$389,МКД!$D$6:$D$389,Таблица1[[#This Row],[2]])</f>
        <v>248</v>
      </c>
      <c r="B1461" s="168"/>
      <c r="C1461" s="182" t="s">
        <v>537</v>
      </c>
      <c r="D1461" s="167" t="s">
        <v>139</v>
      </c>
      <c r="E1461" s="167" t="s">
        <v>960</v>
      </c>
      <c r="F1461" s="167">
        <v>1</v>
      </c>
      <c r="G1461" s="168">
        <f>SUMIFS(Таблица1[[#This Row],[8]:[19]],$I$5:$T$5,"Выкуп")</f>
        <v>154.6</v>
      </c>
      <c r="H1461" s="168">
        <f>SUMIFS(Таблица1[[#This Row],[8]:[19]],$I$5:$T$5,"Аренда")</f>
        <v>0</v>
      </c>
      <c r="I1461" s="169">
        <v>154.6</v>
      </c>
      <c r="J1461" s="169"/>
      <c r="K1461" s="169"/>
      <c r="L1461" s="169"/>
      <c r="M1461" s="169"/>
      <c r="N1461" s="169"/>
      <c r="O1461" s="169"/>
      <c r="P1461" s="169"/>
      <c r="Q1461" s="169"/>
      <c r="R1461" s="169"/>
      <c r="S1461" s="169"/>
      <c r="T1461" s="169"/>
      <c r="U1461" s="170"/>
      <c r="V1461" s="171"/>
    </row>
    <row r="1462" spans="1:22" hidden="1" outlineLevel="2" x14ac:dyDescent="0.25">
      <c r="A1462" s="186">
        <f>SUMIFS(МКД!$A$6:$A$389,МКД!$D$6:$D$389,Таблица1[[#This Row],[2]])</f>
        <v>248</v>
      </c>
      <c r="B1462" s="168"/>
      <c r="C1462" s="182" t="s">
        <v>537</v>
      </c>
      <c r="D1462" s="167" t="s">
        <v>100</v>
      </c>
      <c r="E1462" s="167" t="s">
        <v>828</v>
      </c>
      <c r="F1462" s="167">
        <v>1</v>
      </c>
      <c r="G1462" s="168">
        <f>SUMIFS(Таблица1[[#This Row],[8]:[19]],$I$5:$T$5,"Выкуп")</f>
        <v>132.1</v>
      </c>
      <c r="H1462" s="168">
        <f>SUMIFS(Таблица1[[#This Row],[8]:[19]],$I$5:$T$5,"Аренда")</f>
        <v>0</v>
      </c>
      <c r="I1462" s="169">
        <v>132.1</v>
      </c>
      <c r="J1462" s="169"/>
      <c r="K1462" s="169"/>
      <c r="L1462" s="169"/>
      <c r="M1462" s="169"/>
      <c r="N1462" s="169"/>
      <c r="O1462" s="169"/>
      <c r="P1462" s="169"/>
      <c r="Q1462" s="169"/>
      <c r="R1462" s="169"/>
      <c r="S1462" s="169"/>
      <c r="T1462" s="169"/>
      <c r="U1462" s="170"/>
      <c r="V1462" s="171"/>
    </row>
    <row r="1463" spans="1:22" hidden="1" outlineLevel="2" x14ac:dyDescent="0.25">
      <c r="A1463" s="186">
        <f>SUMIFS(МКД!$A$6:$A$389,МКД!$D$6:$D$389,Таблица1[[#This Row],[2]])</f>
        <v>248</v>
      </c>
      <c r="B1463" s="168"/>
      <c r="C1463" s="182" t="s">
        <v>537</v>
      </c>
      <c r="D1463" s="167" t="s">
        <v>1394</v>
      </c>
      <c r="E1463" s="167" t="s">
        <v>2754</v>
      </c>
      <c r="F1463" s="167">
        <v>1</v>
      </c>
      <c r="G1463" s="168">
        <f>SUMIFS(Таблица1[[#This Row],[8]:[19]],$I$5:$T$5,"Выкуп")</f>
        <v>71.599999999999994</v>
      </c>
      <c r="H1463" s="168">
        <f>SUMIFS(Таблица1[[#This Row],[8]:[19]],$I$5:$T$5,"Аренда")</f>
        <v>0</v>
      </c>
      <c r="I1463" s="169"/>
      <c r="J1463" s="169"/>
      <c r="K1463" s="169"/>
      <c r="L1463" s="169"/>
      <c r="M1463" s="278">
        <v>71.599999999999994</v>
      </c>
      <c r="N1463" s="169"/>
      <c r="O1463" s="169"/>
      <c r="P1463" s="169"/>
      <c r="Q1463" s="169"/>
      <c r="R1463" s="169"/>
      <c r="S1463" s="169"/>
      <c r="T1463" s="169"/>
      <c r="U1463" s="170"/>
      <c r="V1463" s="171"/>
    </row>
    <row r="1464" spans="1:22" hidden="1" outlineLevel="2" x14ac:dyDescent="0.2">
      <c r="A1464" s="186">
        <f>SUMIFS(МКД!$A$6:$A$389,МКД!$D$6:$D$389,Таблица1[[#This Row],[2]])</f>
        <v>248</v>
      </c>
      <c r="B1464" s="168"/>
      <c r="C1464" s="182" t="s">
        <v>537</v>
      </c>
      <c r="D1464" s="373" t="s">
        <v>1053</v>
      </c>
      <c r="E1464" s="167" t="s">
        <v>2834</v>
      </c>
      <c r="F1464" s="167">
        <v>1</v>
      </c>
      <c r="G1464" s="168">
        <f>SUMIFS(Таблица1[[#This Row],[8]:[19]],$I$5:$T$5,"Выкуп")</f>
        <v>139.1</v>
      </c>
      <c r="H1464" s="168">
        <f>SUMIFS(Таблица1[[#This Row],[8]:[19]],$I$5:$T$5,"Аренда")</f>
        <v>0</v>
      </c>
      <c r="I1464" s="169"/>
      <c r="J1464" s="169"/>
      <c r="K1464" s="169"/>
      <c r="L1464" s="169"/>
      <c r="M1464" s="278">
        <v>139.1</v>
      </c>
      <c r="N1464" s="169"/>
      <c r="O1464" s="169"/>
      <c r="P1464" s="169"/>
      <c r="Q1464" s="169"/>
      <c r="R1464" s="169"/>
      <c r="S1464" s="169"/>
      <c r="T1464" s="169"/>
      <c r="U1464" s="170"/>
      <c r="V1464" s="171"/>
    </row>
    <row r="1465" spans="1:22" ht="15" outlineLevel="1" collapsed="1" x14ac:dyDescent="0.25">
      <c r="A1465" s="186">
        <f>SUMIFS(МКД!$A$6:$A$389,МКД!$D$6:$D$389,Таблица1[[#This Row],[2]])</f>
        <v>249</v>
      </c>
      <c r="B1465" s="194">
        <f>SUMIFS(Таблица1[6],Таблица1[2],Таблица1[[#This Row],[2]])+SUMIFS(Таблица1[7],Таблица1[2],Таблица1[[#This Row],[2]])</f>
        <v>242.20000000000002</v>
      </c>
      <c r="C1465" s="185" t="s">
        <v>538</v>
      </c>
      <c r="D1465" s="196"/>
      <c r="E1465" s="196"/>
      <c r="F1465" s="196"/>
      <c r="G1465" s="168"/>
      <c r="H1465" s="197"/>
      <c r="I1465" s="196"/>
      <c r="J1465" s="196"/>
      <c r="K1465" s="196"/>
      <c r="L1465" s="196"/>
      <c r="M1465" s="196"/>
      <c r="N1465" s="196"/>
      <c r="O1465" s="196"/>
      <c r="P1465" s="196"/>
      <c r="Q1465" s="196"/>
      <c r="R1465" s="196"/>
      <c r="S1465" s="196"/>
      <c r="T1465" s="196"/>
      <c r="U1465" s="196"/>
      <c r="V1465" s="198"/>
    </row>
    <row r="1466" spans="1:22" ht="15" hidden="1" outlineLevel="2" x14ac:dyDescent="0.25">
      <c r="A1466" s="186">
        <f>SUMIFS(МКД!$A$6:$A$389,МКД!$D$6:$D$389,Таблица1[[#This Row],[2]])</f>
        <v>249</v>
      </c>
      <c r="B1466" s="196"/>
      <c r="C1466" s="182" t="s">
        <v>538</v>
      </c>
      <c r="D1466" s="167" t="s">
        <v>1593</v>
      </c>
      <c r="E1466" s="273" t="s">
        <v>1761</v>
      </c>
      <c r="F1466" s="196"/>
      <c r="G1466" s="168">
        <f>SUMIFS(Таблица1[[#This Row],[8]:[19]],$I$5:$T$5,"Выкуп")</f>
        <v>95.4</v>
      </c>
      <c r="H1466" s="168">
        <f>SUMIFS(Таблица1[[#This Row],[8]:[19]],$I$5:$T$5,"Аренда")</f>
        <v>0</v>
      </c>
      <c r="I1466" s="196"/>
      <c r="J1466" s="196"/>
      <c r="K1466" s="196">
        <v>95.4</v>
      </c>
      <c r="L1466" s="196"/>
      <c r="M1466" s="196"/>
      <c r="N1466" s="196"/>
      <c r="O1466" s="196"/>
      <c r="P1466" s="196"/>
      <c r="Q1466" s="196"/>
      <c r="R1466" s="196"/>
      <c r="S1466" s="196"/>
      <c r="T1466" s="196"/>
      <c r="U1466" s="196"/>
      <c r="V1466" s="198"/>
    </row>
    <row r="1467" spans="1:22" ht="15" hidden="1" outlineLevel="2" x14ac:dyDescent="0.25">
      <c r="A1467" s="186">
        <f>SUMIFS(МКД!$A$6:$A$389,МКД!$D$6:$D$389,Таблица1[[#This Row],[2]])</f>
        <v>249</v>
      </c>
      <c r="B1467" s="196"/>
      <c r="C1467" s="182" t="s">
        <v>538</v>
      </c>
      <c r="D1467" s="167" t="s">
        <v>1053</v>
      </c>
      <c r="E1467" s="167" t="s">
        <v>2829</v>
      </c>
      <c r="F1467" s="196"/>
      <c r="G1467" s="168">
        <f>SUMIFS(Таблица1[[#This Row],[8]:[19]],$I$5:$T$5,"Выкуп")</f>
        <v>146.80000000000001</v>
      </c>
      <c r="H1467" s="168">
        <f>SUMIFS(Таблица1[[#This Row],[8]:[19]],$I$5:$T$5,"Аренда")</f>
        <v>0</v>
      </c>
      <c r="I1467" s="196"/>
      <c r="J1467" s="196"/>
      <c r="K1467" s="196"/>
      <c r="L1467" s="196"/>
      <c r="M1467" s="196">
        <v>146.80000000000001</v>
      </c>
      <c r="N1467" s="196"/>
      <c r="O1467" s="196"/>
      <c r="P1467" s="196"/>
      <c r="Q1467" s="196"/>
      <c r="R1467" s="196"/>
      <c r="S1467" s="196"/>
      <c r="T1467" s="196"/>
      <c r="U1467" s="196"/>
      <c r="V1467" s="198"/>
    </row>
    <row r="1468" spans="1:22" ht="15" outlineLevel="1" collapsed="1" x14ac:dyDescent="0.25">
      <c r="A1468" s="186">
        <f>SUMIFS(МКД!$A$6:$A$389,МКД!$D$6:$D$389,Таблица1[[#This Row],[2]])</f>
        <v>250</v>
      </c>
      <c r="B1468" s="194">
        <f>SUMIFS(Таблица1[6],Таблица1[2],Таблица1[[#This Row],[2]])+SUMIFS(Таблица1[7],Таблица1[2],Таблица1[[#This Row],[2]])</f>
        <v>393.5</v>
      </c>
      <c r="C1468" s="185" t="s">
        <v>479</v>
      </c>
      <c r="D1468" s="196"/>
      <c r="E1468" s="196"/>
      <c r="F1468" s="196"/>
      <c r="G1468" s="168"/>
      <c r="H1468" s="197"/>
      <c r="I1468" s="196"/>
      <c r="J1468" s="196"/>
      <c r="K1468" s="196"/>
      <c r="L1468" s="196"/>
      <c r="M1468" s="196"/>
      <c r="N1468" s="196"/>
      <c r="O1468" s="196"/>
      <c r="P1468" s="196"/>
      <c r="Q1468" s="196"/>
      <c r="R1468" s="196"/>
      <c r="S1468" s="196"/>
      <c r="T1468" s="196"/>
      <c r="U1468" s="196"/>
      <c r="V1468" s="198"/>
    </row>
    <row r="1469" spans="1:22" hidden="1" outlineLevel="2" x14ac:dyDescent="0.25">
      <c r="A1469" s="186">
        <f>SUMIFS(МКД!$A$6:$A$389,МКД!$D$6:$D$389,Таблица1[[#This Row],[2]])</f>
        <v>250</v>
      </c>
      <c r="B1469" s="170"/>
      <c r="C1469" s="182" t="s">
        <v>479</v>
      </c>
      <c r="D1469" s="167" t="s">
        <v>199</v>
      </c>
      <c r="E1469" s="167" t="s">
        <v>200</v>
      </c>
      <c r="F1469" s="167">
        <v>1</v>
      </c>
      <c r="G1469" s="168">
        <f>SUMIFS(Таблица1[[#This Row],[8]:[19]],$I$5:$T$5,"Выкуп")</f>
        <v>105.3</v>
      </c>
      <c r="H1469" s="168">
        <f>SUMIFS(Таблица1[[#This Row],[8]:[19]],$I$5:$T$5,"Аренда")</f>
        <v>0</v>
      </c>
      <c r="I1469" s="169">
        <v>105.3</v>
      </c>
      <c r="J1469" s="169"/>
      <c r="K1469" s="169"/>
      <c r="L1469" s="169"/>
      <c r="M1469" s="169"/>
      <c r="N1469" s="169"/>
      <c r="O1469" s="169"/>
      <c r="P1469" s="169"/>
      <c r="Q1469" s="169"/>
      <c r="R1469" s="169"/>
      <c r="S1469" s="169"/>
      <c r="T1469" s="169"/>
      <c r="U1469" s="170"/>
      <c r="V1469" s="171"/>
    </row>
    <row r="1470" spans="1:22" hidden="1" outlineLevel="2" x14ac:dyDescent="0.25">
      <c r="A1470" s="186">
        <f>SUMIFS(МКД!$A$6:$A$389,МКД!$D$6:$D$389,Таблица1[[#This Row],[2]])</f>
        <v>250</v>
      </c>
      <c r="B1470" s="168"/>
      <c r="C1470" s="182" t="s">
        <v>479</v>
      </c>
      <c r="D1470" s="167" t="s">
        <v>1798</v>
      </c>
      <c r="E1470" s="167" t="s">
        <v>1423</v>
      </c>
      <c r="F1470" s="167">
        <v>1</v>
      </c>
      <c r="G1470" s="168">
        <f>SUMIFS(Таблица1[[#This Row],[8]:[19]],$I$5:$T$5,"Выкуп")</f>
        <v>218.7</v>
      </c>
      <c r="H1470" s="168">
        <f>SUMIFS(Таблица1[[#This Row],[8]:[19]],$I$5:$T$5,"Аренда")</f>
        <v>0</v>
      </c>
      <c r="I1470" s="169"/>
      <c r="J1470" s="169"/>
      <c r="K1470" s="169">
        <v>218.7</v>
      </c>
      <c r="L1470" s="169"/>
      <c r="M1470" s="169"/>
      <c r="N1470" s="169"/>
      <c r="O1470" s="169"/>
      <c r="P1470" s="169"/>
      <c r="Q1470" s="169"/>
      <c r="R1470" s="169"/>
      <c r="S1470" s="169"/>
      <c r="T1470" s="169"/>
      <c r="U1470" s="170"/>
      <c r="V1470" s="171"/>
    </row>
    <row r="1471" spans="1:22" hidden="1" outlineLevel="2" x14ac:dyDescent="0.25">
      <c r="A1471" s="186">
        <f>SUMIFS(МКД!$A$6:$A$389,МКД!$D$6:$D$389,Таблица1[[#This Row],[2]])</f>
        <v>250</v>
      </c>
      <c r="B1471" s="168"/>
      <c r="C1471" s="182" t="s">
        <v>479</v>
      </c>
      <c r="D1471" s="167" t="s">
        <v>1689</v>
      </c>
      <c r="E1471" s="167" t="s">
        <v>1690</v>
      </c>
      <c r="F1471" s="167">
        <v>1</v>
      </c>
      <c r="G1471" s="168">
        <f>SUMIFS(Таблица1[[#This Row],[8]:[19]],$I$5:$T$5,"Выкуп")</f>
        <v>69.5</v>
      </c>
      <c r="H1471" s="168">
        <f>SUMIFS(Таблица1[[#This Row],[8]:[19]],$I$5:$T$5,"Аренда")</f>
        <v>0</v>
      </c>
      <c r="I1471" s="169">
        <v>69.5</v>
      </c>
      <c r="J1471" s="169"/>
      <c r="K1471" s="169"/>
      <c r="L1471" s="169"/>
      <c r="M1471" s="169"/>
      <c r="N1471" s="169"/>
      <c r="O1471" s="169"/>
      <c r="P1471" s="169"/>
      <c r="Q1471" s="169"/>
      <c r="R1471" s="169"/>
      <c r="S1471" s="169"/>
      <c r="T1471" s="169"/>
      <c r="U1471" s="170"/>
      <c r="V1471" s="171"/>
    </row>
    <row r="1472" spans="1:22" ht="15" outlineLevel="1" collapsed="1" x14ac:dyDescent="0.25">
      <c r="A1472" s="186">
        <f>SUMIFS(МКД!$A$6:$A$389,МКД!$D$6:$D$389,Таблица1[[#This Row],[2]])</f>
        <v>251</v>
      </c>
      <c r="B1472" s="194">
        <f>SUMIFS(Таблица1[6],Таблица1[2],Таблица1[[#This Row],[2]])+SUMIFS(Таблица1[7],Таблица1[2],Таблица1[[#This Row],[2]])</f>
        <v>748.3</v>
      </c>
      <c r="C1472" s="185" t="s">
        <v>480</v>
      </c>
      <c r="D1472" s="196"/>
      <c r="E1472" s="196"/>
      <c r="F1472" s="196"/>
      <c r="G1472" s="168"/>
      <c r="H1472" s="197"/>
      <c r="I1472" s="196"/>
      <c r="J1472" s="196"/>
      <c r="K1472" s="196"/>
      <c r="L1472" s="196"/>
      <c r="M1472" s="196"/>
      <c r="N1472" s="196"/>
      <c r="O1472" s="196"/>
      <c r="P1472" s="196"/>
      <c r="Q1472" s="196"/>
      <c r="R1472" s="196"/>
      <c r="S1472" s="196"/>
      <c r="T1472" s="196"/>
      <c r="U1472" s="196"/>
      <c r="V1472" s="198"/>
    </row>
    <row r="1473" spans="1:22" hidden="1" outlineLevel="2" x14ac:dyDescent="0.25">
      <c r="A1473" s="186">
        <f>SUMIFS(МКД!$A$6:$A$389,МКД!$D$6:$D$389,Таблица1[[#This Row],[2]])</f>
        <v>251</v>
      </c>
      <c r="B1473" s="170"/>
      <c r="C1473" s="182" t="s">
        <v>480</v>
      </c>
      <c r="D1473" s="167" t="s">
        <v>2013</v>
      </c>
      <c r="E1473" s="167" t="s">
        <v>2012</v>
      </c>
      <c r="F1473" s="167">
        <v>1</v>
      </c>
      <c r="G1473" s="168">
        <f>SUMIFS(Таблица1[[#This Row],[8]:[19]],$I$5:$T$5,"Выкуп")</f>
        <v>176.2</v>
      </c>
      <c r="H1473" s="168">
        <f>SUMIFS(Таблица1[[#This Row],[8]:[19]],$I$5:$T$5,"Аренда")</f>
        <v>0</v>
      </c>
      <c r="I1473" s="169">
        <v>42.1</v>
      </c>
      <c r="J1473" s="169"/>
      <c r="K1473" s="169">
        <f>176.2-42.1</f>
        <v>134.1</v>
      </c>
      <c r="L1473" s="169"/>
      <c r="M1473" s="169"/>
      <c r="N1473" s="169"/>
      <c r="O1473" s="169"/>
      <c r="P1473" s="169"/>
      <c r="Q1473" s="169"/>
      <c r="R1473" s="169"/>
      <c r="S1473" s="169"/>
      <c r="T1473" s="169"/>
      <c r="U1473" s="170"/>
      <c r="V1473" s="171"/>
    </row>
    <row r="1474" spans="1:22" hidden="1" outlineLevel="2" x14ac:dyDescent="0.25">
      <c r="A1474" s="186">
        <f>SUMIFS(МКД!$A$6:$A$389,МКД!$D$6:$D$389,Таблица1[[#This Row],[2]])</f>
        <v>251</v>
      </c>
      <c r="B1474" s="168"/>
      <c r="C1474" s="182" t="s">
        <v>480</v>
      </c>
      <c r="D1474" s="167" t="s">
        <v>2023</v>
      </c>
      <c r="E1474" s="167" t="s">
        <v>2022</v>
      </c>
      <c r="F1474" s="167">
        <v>1</v>
      </c>
      <c r="G1474" s="168">
        <f>SUMIFS(Таблица1[[#This Row],[8]:[19]],$I$5:$T$5,"Выкуп")</f>
        <v>325.5</v>
      </c>
      <c r="H1474" s="168">
        <f>SUMIFS(Таблица1[[#This Row],[8]:[19]],$I$5:$T$5,"Аренда")</f>
        <v>0</v>
      </c>
      <c r="I1474" s="169"/>
      <c r="J1474" s="169"/>
      <c r="K1474" s="278">
        <f>255.1+10.1</f>
        <v>265.2</v>
      </c>
      <c r="L1474" s="169"/>
      <c r="M1474" s="169">
        <f>70.4-10.1</f>
        <v>60.300000000000004</v>
      </c>
      <c r="N1474" s="169"/>
      <c r="O1474" s="169"/>
      <c r="P1474" s="169"/>
      <c r="Q1474" s="169"/>
      <c r="R1474" s="169"/>
      <c r="S1474" s="169"/>
      <c r="T1474" s="169"/>
      <c r="U1474" s="170"/>
      <c r="V1474" s="172" t="s">
        <v>90</v>
      </c>
    </row>
    <row r="1475" spans="1:22" hidden="1" outlineLevel="2" x14ac:dyDescent="0.25">
      <c r="A1475" s="186">
        <f>SUMIFS(МКД!$A$6:$A$389,МКД!$D$6:$D$389,Таблица1[[#This Row],[2]])</f>
        <v>251</v>
      </c>
      <c r="B1475" s="168"/>
      <c r="C1475" s="182" t="s">
        <v>480</v>
      </c>
      <c r="D1475" s="167" t="s">
        <v>2743</v>
      </c>
      <c r="E1475" s="167" t="s">
        <v>1803</v>
      </c>
      <c r="F1475" s="167">
        <v>1</v>
      </c>
      <c r="G1475" s="168">
        <f>SUMIFS(Таблица1[[#This Row],[8]:[19]],$I$5:$T$5,"Выкуп")</f>
        <v>77.2</v>
      </c>
      <c r="H1475" s="168">
        <f>SUMIFS(Таблица1[[#This Row],[8]:[19]],$I$5:$T$5,"Аренда")</f>
        <v>0</v>
      </c>
      <c r="I1475" s="169"/>
      <c r="J1475" s="169"/>
      <c r="K1475" s="169">
        <v>77.2</v>
      </c>
      <c r="L1475" s="169"/>
      <c r="M1475" s="169"/>
      <c r="N1475" s="169"/>
      <c r="O1475" s="169"/>
      <c r="P1475" s="169"/>
      <c r="Q1475" s="169"/>
      <c r="R1475" s="169"/>
      <c r="S1475" s="169"/>
      <c r="T1475" s="169"/>
      <c r="U1475" s="170"/>
      <c r="V1475" s="171"/>
    </row>
    <row r="1476" spans="1:22" hidden="1" outlineLevel="2" x14ac:dyDescent="0.25">
      <c r="A1476" s="186">
        <f>SUMIFS(МКД!$A$6:$A$389,МКД!$D$6:$D$389,Таблица1[[#This Row],[2]])</f>
        <v>251</v>
      </c>
      <c r="B1476" s="168"/>
      <c r="C1476" s="182" t="s">
        <v>480</v>
      </c>
      <c r="D1476" s="167" t="s">
        <v>318</v>
      </c>
      <c r="E1476" s="167" t="s">
        <v>1802</v>
      </c>
      <c r="F1476" s="167">
        <v>1</v>
      </c>
      <c r="G1476" s="168">
        <f>SUMIFS(Таблица1[[#This Row],[8]:[19]],$I$5:$T$5,"Выкуп")</f>
        <v>44.8</v>
      </c>
      <c r="H1476" s="168">
        <f>SUMIFS(Таблица1[[#This Row],[8]:[19]],$I$5:$T$5,"Аренда")</f>
        <v>0</v>
      </c>
      <c r="I1476" s="169"/>
      <c r="J1476" s="169"/>
      <c r="K1476" s="169">
        <v>44.8</v>
      </c>
      <c r="L1476" s="169"/>
      <c r="M1476" s="169"/>
      <c r="N1476" s="169"/>
      <c r="O1476" s="169"/>
      <c r="P1476" s="169"/>
      <c r="Q1476" s="169"/>
      <c r="R1476" s="169"/>
      <c r="S1476" s="169"/>
      <c r="T1476" s="169"/>
      <c r="U1476" s="170"/>
      <c r="V1476" s="171"/>
    </row>
    <row r="1477" spans="1:22" hidden="1" outlineLevel="2" x14ac:dyDescent="0.25">
      <c r="A1477" s="186">
        <f>SUMIFS(МКД!$A$6:$A$389,МКД!$D$6:$D$389,Таблица1[[#This Row],[2]])</f>
        <v>251</v>
      </c>
      <c r="B1477" s="168"/>
      <c r="C1477" s="182" t="s">
        <v>480</v>
      </c>
      <c r="D1477" s="167" t="s">
        <v>1545</v>
      </c>
      <c r="E1477" s="167" t="s">
        <v>1546</v>
      </c>
      <c r="F1477" s="167">
        <v>1</v>
      </c>
      <c r="G1477" s="168">
        <f>SUMIFS(Таблица1[[#This Row],[8]:[19]],$I$5:$T$5,"Выкуп")</f>
        <v>53</v>
      </c>
      <c r="H1477" s="168">
        <f>SUMIFS(Таблица1[[#This Row],[8]:[19]],$I$5:$T$5,"Аренда")</f>
        <v>0</v>
      </c>
      <c r="I1477" s="169"/>
      <c r="J1477" s="169"/>
      <c r="K1477" s="169">
        <v>53</v>
      </c>
      <c r="L1477" s="169"/>
      <c r="M1477" s="169"/>
      <c r="N1477" s="169"/>
      <c r="O1477" s="169"/>
      <c r="P1477" s="169"/>
      <c r="Q1477" s="169"/>
      <c r="R1477" s="169"/>
      <c r="S1477" s="169"/>
      <c r="T1477" s="169"/>
      <c r="U1477" s="170"/>
      <c r="V1477" s="171"/>
    </row>
    <row r="1478" spans="1:22" hidden="1" outlineLevel="2" x14ac:dyDescent="0.25">
      <c r="A1478" s="186">
        <f>SUMIFS(МКД!$A$6:$A$389,МКД!$D$6:$D$389,Таблица1[[#This Row],[2]])</f>
        <v>251</v>
      </c>
      <c r="B1478" s="168"/>
      <c r="C1478" s="182" t="s">
        <v>480</v>
      </c>
      <c r="D1478" s="167" t="s">
        <v>1394</v>
      </c>
      <c r="E1478" s="167" t="s">
        <v>2752</v>
      </c>
      <c r="F1478" s="167">
        <v>1</v>
      </c>
      <c r="G1478" s="168">
        <f>SUMIFS(Таблица1[[#This Row],[8]:[19]],$I$5:$T$5,"Выкуп")</f>
        <v>71.599999999999994</v>
      </c>
      <c r="H1478" s="168">
        <f>SUMIFS(Таблица1[[#This Row],[8]:[19]],$I$5:$T$5,"Аренда")</f>
        <v>0</v>
      </c>
      <c r="I1478" s="169"/>
      <c r="J1478" s="169"/>
      <c r="K1478" s="169"/>
      <c r="L1478" s="169"/>
      <c r="M1478" s="169">
        <f>131.9-M1474</f>
        <v>71.599999999999994</v>
      </c>
      <c r="N1478" s="169"/>
      <c r="O1478" s="169"/>
      <c r="P1478" s="169"/>
      <c r="Q1478" s="169"/>
      <c r="R1478" s="169"/>
      <c r="S1478" s="169"/>
      <c r="T1478" s="169"/>
      <c r="U1478" s="170"/>
      <c r="V1478" s="171"/>
    </row>
    <row r="1479" spans="1:22" ht="15" outlineLevel="1" collapsed="1" x14ac:dyDescent="0.25">
      <c r="A1479" s="186">
        <f>SUMIFS(МКД!$A$6:$A$389,МКД!$D$6:$D$389,Таблица1[[#This Row],[2]])</f>
        <v>252</v>
      </c>
      <c r="B1479" s="194">
        <f>SUMIFS(Таблица1[6],Таблица1[2],Таблица1[[#This Row],[2]])+SUMIFS(Таблица1[7],Таблица1[2],Таблица1[[#This Row],[2]])</f>
        <v>566.70000000000005</v>
      </c>
      <c r="C1479" s="185" t="s">
        <v>481</v>
      </c>
      <c r="D1479" s="196"/>
      <c r="E1479" s="196"/>
      <c r="F1479" s="196"/>
      <c r="G1479" s="168"/>
      <c r="H1479" s="197"/>
      <c r="I1479" s="196"/>
      <c r="J1479" s="196"/>
      <c r="K1479" s="196"/>
      <c r="L1479" s="196"/>
      <c r="M1479" s="196"/>
      <c r="N1479" s="196"/>
      <c r="O1479" s="196"/>
      <c r="P1479" s="196"/>
      <c r="Q1479" s="196"/>
      <c r="R1479" s="196"/>
      <c r="S1479" s="196"/>
      <c r="T1479" s="196"/>
      <c r="U1479" s="196"/>
      <c r="V1479" s="198"/>
    </row>
    <row r="1480" spans="1:22" hidden="1" outlineLevel="2" x14ac:dyDescent="0.25">
      <c r="A1480" s="186">
        <f>SUMIFS(МКД!$A$6:$A$389,МКД!$D$6:$D$389,Таблица1[[#This Row],[2]])</f>
        <v>252</v>
      </c>
      <c r="B1480" s="170"/>
      <c r="C1480" s="182" t="s">
        <v>481</v>
      </c>
      <c r="D1480" s="167" t="s">
        <v>2285</v>
      </c>
      <c r="E1480" s="167" t="s">
        <v>2284</v>
      </c>
      <c r="F1480" s="167">
        <v>1</v>
      </c>
      <c r="G1480" s="168">
        <f>SUMIFS(Таблица1[[#This Row],[8]:[19]],$I$5:$T$5,"Выкуп")</f>
        <v>335.6</v>
      </c>
      <c r="H1480" s="168">
        <f>SUMIFS(Таблица1[[#This Row],[8]:[19]],$I$5:$T$5,"Аренда")</f>
        <v>0</v>
      </c>
      <c r="I1480" s="169">
        <v>335.6</v>
      </c>
      <c r="J1480" s="169"/>
      <c r="K1480" s="169"/>
      <c r="L1480" s="169"/>
      <c r="M1480" s="169"/>
      <c r="N1480" s="169"/>
      <c r="O1480" s="169"/>
      <c r="P1480" s="169"/>
      <c r="Q1480" s="169"/>
      <c r="R1480" s="169"/>
      <c r="S1480" s="169"/>
      <c r="T1480" s="169"/>
      <c r="U1480" s="170"/>
      <c r="V1480" s="171"/>
    </row>
    <row r="1481" spans="1:22" hidden="1" outlineLevel="2" x14ac:dyDescent="0.25">
      <c r="A1481" s="186">
        <f>SUMIFS(МКД!$A$6:$A$389,МКД!$D$6:$D$389,Таблица1[[#This Row],[2]])</f>
        <v>252</v>
      </c>
      <c r="B1481" s="168"/>
      <c r="C1481" s="182" t="s">
        <v>481</v>
      </c>
      <c r="D1481" s="167" t="s">
        <v>2283</v>
      </c>
      <c r="E1481" s="167" t="s">
        <v>1814</v>
      </c>
      <c r="F1481" s="167">
        <v>1</v>
      </c>
      <c r="G1481" s="168">
        <f>SUMIFS(Таблица1[[#This Row],[8]:[19]],$I$5:$T$5,"Выкуп")</f>
        <v>98.2</v>
      </c>
      <c r="H1481" s="168">
        <f>SUMIFS(Таблица1[[#This Row],[8]:[19]],$I$5:$T$5,"Аренда")</f>
        <v>0</v>
      </c>
      <c r="I1481" s="169">
        <f>49.5+48.7</f>
        <v>98.2</v>
      </c>
      <c r="J1481" s="169"/>
      <c r="K1481" s="169"/>
      <c r="L1481" s="169"/>
      <c r="M1481" s="169"/>
      <c r="N1481" s="169"/>
      <c r="O1481" s="169"/>
      <c r="P1481" s="169"/>
      <c r="Q1481" s="169"/>
      <c r="R1481" s="169"/>
      <c r="S1481" s="169"/>
      <c r="T1481" s="169"/>
      <c r="U1481" s="170"/>
      <c r="V1481" s="171"/>
    </row>
    <row r="1482" spans="1:22" hidden="1" outlineLevel="2" x14ac:dyDescent="0.25">
      <c r="A1482" s="186">
        <f>SUMIFS(МКД!$A$6:$A$389,МКД!$D$6:$D$389,Таблица1[[#This Row],[2]])</f>
        <v>252</v>
      </c>
      <c r="B1482" s="168"/>
      <c r="C1482" s="182" t="s">
        <v>481</v>
      </c>
      <c r="D1482" s="167" t="s">
        <v>1844</v>
      </c>
      <c r="E1482" s="167" t="s">
        <v>319</v>
      </c>
      <c r="F1482" s="167">
        <v>1</v>
      </c>
      <c r="G1482" s="168">
        <f>SUMIFS(Таблица1[[#This Row],[8]:[19]],$I$5:$T$5,"Выкуп")</f>
        <v>14.5</v>
      </c>
      <c r="H1482" s="168">
        <f>SUMIFS(Таблица1[[#This Row],[8]:[19]],$I$5:$T$5,"Аренда")</f>
        <v>0</v>
      </c>
      <c r="I1482" s="169">
        <v>14.5</v>
      </c>
      <c r="J1482" s="169"/>
      <c r="K1482" s="169"/>
      <c r="L1482" s="169"/>
      <c r="M1482" s="169"/>
      <c r="N1482" s="169"/>
      <c r="O1482" s="169"/>
      <c r="P1482" s="169"/>
      <c r="Q1482" s="169"/>
      <c r="R1482" s="169"/>
      <c r="S1482" s="169"/>
      <c r="T1482" s="169"/>
      <c r="U1482" s="170"/>
      <c r="V1482" s="171"/>
    </row>
    <row r="1483" spans="1:22" hidden="1" outlineLevel="2" x14ac:dyDescent="0.25">
      <c r="A1483" s="186">
        <f>SUMIFS(МКД!$A$6:$A$389,МКД!$D$6:$D$389,Таблица1[[#This Row],[2]])</f>
        <v>252</v>
      </c>
      <c r="B1483" s="168"/>
      <c r="C1483" s="182" t="s">
        <v>481</v>
      </c>
      <c r="D1483" s="167" t="s">
        <v>320</v>
      </c>
      <c r="E1483" s="167" t="s">
        <v>321</v>
      </c>
      <c r="F1483" s="167">
        <v>1</v>
      </c>
      <c r="G1483" s="168">
        <f>SUMIFS(Таблица1[[#This Row],[8]:[19]],$I$5:$T$5,"Выкуп")</f>
        <v>13.8</v>
      </c>
      <c r="H1483" s="168">
        <f>SUMIFS(Таблица1[[#This Row],[8]:[19]],$I$5:$T$5,"Аренда")</f>
        <v>0</v>
      </c>
      <c r="I1483" s="169">
        <v>13.8</v>
      </c>
      <c r="J1483" s="169"/>
      <c r="K1483" s="169"/>
      <c r="L1483" s="169"/>
      <c r="M1483" s="169"/>
      <c r="N1483" s="169"/>
      <c r="O1483" s="169"/>
      <c r="P1483" s="169"/>
      <c r="Q1483" s="169"/>
      <c r="R1483" s="169"/>
      <c r="S1483" s="169"/>
      <c r="T1483" s="169"/>
      <c r="U1483" s="170"/>
      <c r="V1483" s="171"/>
    </row>
    <row r="1484" spans="1:22" hidden="1" outlineLevel="2" x14ac:dyDescent="0.25">
      <c r="A1484" s="186">
        <f>SUMIFS(МКД!$A$6:$A$389,МКД!$D$6:$D$389,Таблица1[[#This Row],[2]])</f>
        <v>252</v>
      </c>
      <c r="B1484" s="168"/>
      <c r="C1484" s="182" t="s">
        <v>481</v>
      </c>
      <c r="D1484" s="167" t="s">
        <v>1053</v>
      </c>
      <c r="E1484" s="167" t="s">
        <v>1815</v>
      </c>
      <c r="F1484" s="167">
        <v>1</v>
      </c>
      <c r="G1484" s="168">
        <f>SUMIFS(Таблица1[[#This Row],[8]:[19]],$I$5:$T$5,"Выкуп")</f>
        <v>104.6</v>
      </c>
      <c r="H1484" s="168">
        <f>SUMIFS(Таблица1[[#This Row],[8]:[19]],$I$5:$T$5,"Аренда")</f>
        <v>0</v>
      </c>
      <c r="I1484" s="169"/>
      <c r="J1484" s="169"/>
      <c r="K1484" s="169">
        <v>104.6</v>
      </c>
      <c r="L1484" s="169"/>
      <c r="M1484" s="169"/>
      <c r="N1484" s="169"/>
      <c r="O1484" s="169"/>
      <c r="P1484" s="169"/>
      <c r="Q1484" s="169"/>
      <c r="R1484" s="169"/>
      <c r="S1484" s="169"/>
      <c r="T1484" s="169"/>
      <c r="U1484" s="170"/>
      <c r="V1484" s="171"/>
    </row>
    <row r="1485" spans="1:22" ht="15" outlineLevel="1" collapsed="1" x14ac:dyDescent="0.25">
      <c r="A1485" s="186">
        <f>SUMIFS(МКД!$A$6:$A$389,МКД!$D$6:$D$389,Таблица1[[#This Row],[2]])</f>
        <v>253</v>
      </c>
      <c r="B1485" s="194">
        <f>SUMIFS(Таблица1[6],Таблица1[2],Таблица1[[#This Row],[2]])+SUMIFS(Таблица1[7],Таблица1[2],Таблица1[[#This Row],[2]])</f>
        <v>1055.4000000000001</v>
      </c>
      <c r="C1485" s="185" t="s">
        <v>482</v>
      </c>
      <c r="D1485" s="196"/>
      <c r="E1485" s="196"/>
      <c r="F1485" s="196"/>
      <c r="G1485" s="168"/>
      <c r="H1485" s="197"/>
      <c r="I1485" s="196"/>
      <c r="J1485" s="196"/>
      <c r="K1485" s="196"/>
      <c r="L1485" s="196"/>
      <c r="M1485" s="196"/>
      <c r="N1485" s="196"/>
      <c r="O1485" s="196"/>
      <c r="P1485" s="196"/>
      <c r="Q1485" s="196"/>
      <c r="R1485" s="196"/>
      <c r="S1485" s="196"/>
      <c r="T1485" s="196"/>
      <c r="U1485" s="196"/>
      <c r="V1485" s="198"/>
    </row>
    <row r="1486" spans="1:22" hidden="1" outlineLevel="2" x14ac:dyDescent="0.25">
      <c r="A1486" s="186">
        <f>SUMIFS(МКД!$A$6:$A$389,МКД!$D$6:$D$389,Таблица1[[#This Row],[2]])</f>
        <v>253</v>
      </c>
      <c r="B1486" s="170"/>
      <c r="C1486" s="182" t="s">
        <v>482</v>
      </c>
      <c r="D1486" s="167" t="s">
        <v>322</v>
      </c>
      <c r="E1486" s="167" t="s">
        <v>9</v>
      </c>
      <c r="F1486" s="167">
        <v>1</v>
      </c>
      <c r="G1486" s="168">
        <f>SUMIFS(Таблица1[[#This Row],[8]:[19]],$I$5:$T$5,"Выкуп")</f>
        <v>326</v>
      </c>
      <c r="H1486" s="168">
        <f>SUMIFS(Таблица1[[#This Row],[8]:[19]],$I$5:$T$5,"Аренда")</f>
        <v>0</v>
      </c>
      <c r="I1486" s="169">
        <v>326</v>
      </c>
      <c r="J1486" s="169"/>
      <c r="K1486" s="169"/>
      <c r="L1486" s="169"/>
      <c r="M1486" s="169"/>
      <c r="N1486" s="169"/>
      <c r="O1486" s="169"/>
      <c r="P1486" s="169"/>
      <c r="Q1486" s="169"/>
      <c r="R1486" s="169"/>
      <c r="S1486" s="169"/>
      <c r="T1486" s="169"/>
      <c r="U1486" s="170"/>
      <c r="V1486" s="171"/>
    </row>
    <row r="1487" spans="1:22" hidden="1" outlineLevel="2" x14ac:dyDescent="0.25">
      <c r="A1487" s="186">
        <f>SUMIFS(МКД!$A$6:$A$389,МКД!$D$6:$D$389,Таблица1[[#This Row],[2]])</f>
        <v>253</v>
      </c>
      <c r="B1487" s="168"/>
      <c r="C1487" s="182" t="s">
        <v>482</v>
      </c>
      <c r="D1487" s="167" t="s">
        <v>1424</v>
      </c>
      <c r="E1487" s="167" t="s">
        <v>1425</v>
      </c>
      <c r="F1487" s="167">
        <v>1</v>
      </c>
      <c r="G1487" s="168">
        <f>SUMIFS(Таблица1[[#This Row],[8]:[19]],$I$5:$T$5,"Выкуп")</f>
        <v>235.2</v>
      </c>
      <c r="H1487" s="168">
        <f>SUMIFS(Таблица1[[#This Row],[8]:[19]],$I$5:$T$5,"Аренда")</f>
        <v>0</v>
      </c>
      <c r="I1487" s="169">
        <v>235.2</v>
      </c>
      <c r="J1487" s="169"/>
      <c r="K1487" s="169"/>
      <c r="L1487" s="169"/>
      <c r="M1487" s="169"/>
      <c r="N1487" s="169"/>
      <c r="O1487" s="169"/>
      <c r="P1487" s="169"/>
      <c r="Q1487" s="169"/>
      <c r="R1487" s="169"/>
      <c r="S1487" s="169"/>
      <c r="T1487" s="169"/>
      <c r="U1487" s="170"/>
      <c r="V1487" s="171"/>
    </row>
    <row r="1488" spans="1:22" hidden="1" outlineLevel="2" x14ac:dyDescent="0.25">
      <c r="A1488" s="186">
        <f>SUMIFS(МКД!$A$6:$A$389,МКД!$D$6:$D$389,Таблица1[[#This Row],[2]])</f>
        <v>253</v>
      </c>
      <c r="B1488" s="168"/>
      <c r="C1488" s="182" t="s">
        <v>482</v>
      </c>
      <c r="D1488" s="167" t="s">
        <v>784</v>
      </c>
      <c r="E1488" s="167" t="s">
        <v>323</v>
      </c>
      <c r="F1488" s="167">
        <v>1</v>
      </c>
      <c r="G1488" s="168">
        <f>SUMIFS(Таблица1[[#This Row],[8]:[19]],$I$5:$T$5,"Выкуп")</f>
        <v>288.39999999999998</v>
      </c>
      <c r="H1488" s="168">
        <f>SUMIFS(Таблица1[[#This Row],[8]:[19]],$I$5:$T$5,"Аренда")</f>
        <v>0</v>
      </c>
      <c r="I1488" s="169">
        <v>288.39999999999998</v>
      </c>
      <c r="J1488" s="169"/>
      <c r="K1488" s="169"/>
      <c r="L1488" s="169"/>
      <c r="M1488" s="169"/>
      <c r="N1488" s="169"/>
      <c r="O1488" s="169"/>
      <c r="P1488" s="169"/>
      <c r="Q1488" s="169"/>
      <c r="R1488" s="169"/>
      <c r="S1488" s="169"/>
      <c r="T1488" s="169"/>
      <c r="U1488" s="170"/>
      <c r="V1488" s="171"/>
    </row>
    <row r="1489" spans="1:22" hidden="1" outlineLevel="2" x14ac:dyDescent="0.25">
      <c r="A1489" s="186">
        <f>SUMIFS(МКД!$A$6:$A$389,МКД!$D$6:$D$389,Таблица1[[#This Row],[2]])</f>
        <v>253</v>
      </c>
      <c r="B1489" s="168"/>
      <c r="C1489" s="182" t="s">
        <v>482</v>
      </c>
      <c r="D1489" s="167" t="s">
        <v>1053</v>
      </c>
      <c r="E1489" s="167" t="s">
        <v>2752</v>
      </c>
      <c r="F1489" s="167">
        <v>1</v>
      </c>
      <c r="G1489" s="168">
        <f>SUMIFS(Таблица1[[#This Row],[8]:[19]],$I$5:$T$5,"Выкуп")</f>
        <v>205.8</v>
      </c>
      <c r="H1489" s="168">
        <f>SUMIFS(Таблица1[[#This Row],[8]:[19]],$I$5:$T$5,"Аренда")</f>
        <v>0</v>
      </c>
      <c r="I1489" s="169"/>
      <c r="J1489" s="169"/>
      <c r="K1489" s="169"/>
      <c r="L1489" s="169"/>
      <c r="M1489" s="278">
        <v>205.8</v>
      </c>
      <c r="N1489" s="169"/>
      <c r="O1489" s="169"/>
      <c r="P1489" s="169"/>
      <c r="Q1489" s="169"/>
      <c r="R1489" s="169"/>
      <c r="S1489" s="169"/>
      <c r="T1489" s="169"/>
      <c r="U1489" s="170"/>
      <c r="V1489" s="171"/>
    </row>
    <row r="1490" spans="1:22" ht="15" outlineLevel="1" collapsed="1" x14ac:dyDescent="0.25">
      <c r="A1490" s="186">
        <f>SUMIFS(МКД!$A$6:$A$389,МКД!$D$6:$D$389,Таблица1[[#This Row],[2]])</f>
        <v>254</v>
      </c>
      <c r="B1490" s="194">
        <f>SUMIFS(Таблица1[6],Таблица1[2],Таблица1[[#This Row],[2]])+SUMIFS(Таблица1[7],Таблица1[2],Таблица1[[#This Row],[2]])</f>
        <v>97.89</v>
      </c>
      <c r="C1490" s="185" t="s">
        <v>483</v>
      </c>
      <c r="D1490" s="196"/>
      <c r="E1490" s="196"/>
      <c r="F1490" s="196"/>
      <c r="G1490" s="168"/>
      <c r="H1490" s="197"/>
      <c r="I1490" s="196"/>
      <c r="J1490" s="196"/>
      <c r="K1490" s="196"/>
      <c r="L1490" s="196"/>
      <c r="M1490" s="196"/>
      <c r="N1490" s="196"/>
      <c r="O1490" s="196"/>
      <c r="P1490" s="196"/>
      <c r="Q1490" s="196"/>
      <c r="R1490" s="196"/>
      <c r="S1490" s="196"/>
      <c r="T1490" s="196"/>
      <c r="U1490" s="196"/>
      <c r="V1490" s="198"/>
    </row>
    <row r="1491" spans="1:22" ht="15" hidden="1" outlineLevel="2" x14ac:dyDescent="0.25">
      <c r="A1491" s="186">
        <f>SUMIFS(МКД!$A$6:$A$389,МКД!$D$6:$D$389,Таблица1[[#This Row],[2]])</f>
        <v>254</v>
      </c>
      <c r="B1491" s="196"/>
      <c r="C1491" s="182" t="s">
        <v>483</v>
      </c>
      <c r="D1491" s="167" t="s">
        <v>1593</v>
      </c>
      <c r="E1491" s="273" t="s">
        <v>1762</v>
      </c>
      <c r="F1491" s="196"/>
      <c r="G1491" s="168">
        <f>SUMIFS(Таблица1[[#This Row],[8]:[19]],$I$5:$T$5,"Выкуп")</f>
        <v>97.89</v>
      </c>
      <c r="H1491" s="168">
        <f>SUMIFS(Таблица1[[#This Row],[8]:[19]],$I$5:$T$5,"Аренда")</f>
        <v>0</v>
      </c>
      <c r="I1491" s="196"/>
      <c r="J1491" s="196"/>
      <c r="K1491" s="196">
        <v>97.89</v>
      </c>
      <c r="L1491" s="196"/>
      <c r="M1491" s="196"/>
      <c r="N1491" s="196"/>
      <c r="O1491" s="196"/>
      <c r="P1491" s="196"/>
      <c r="Q1491" s="196"/>
      <c r="R1491" s="196"/>
      <c r="S1491" s="196"/>
      <c r="T1491" s="196"/>
      <c r="U1491" s="196"/>
      <c r="V1491" s="198"/>
    </row>
    <row r="1492" spans="1:22" ht="15" outlineLevel="1" collapsed="1" x14ac:dyDescent="0.25">
      <c r="A1492" s="186">
        <f>SUMIFS(МКД!$A$6:$A$389,МКД!$D$6:$D$389,Таблица1[[#This Row],[2]])</f>
        <v>255</v>
      </c>
      <c r="B1492" s="194">
        <f>SUMIFS(Таблица1[6],Таблица1[2],Таблица1[[#This Row],[2]])+SUMIFS(Таблица1[7],Таблица1[2],Таблица1[[#This Row],[2]])</f>
        <v>800.69999999999993</v>
      </c>
      <c r="C1492" s="185" t="s">
        <v>484</v>
      </c>
      <c r="D1492" s="196"/>
      <c r="E1492" s="196"/>
      <c r="F1492" s="196"/>
      <c r="G1492" s="168"/>
      <c r="H1492" s="197"/>
      <c r="I1492" s="196"/>
      <c r="J1492" s="196"/>
      <c r="K1492" s="196"/>
      <c r="L1492" s="196"/>
      <c r="M1492" s="196"/>
      <c r="N1492" s="196"/>
      <c r="O1492" s="196"/>
      <c r="P1492" s="196"/>
      <c r="Q1492" s="196"/>
      <c r="R1492" s="196"/>
      <c r="S1492" s="196"/>
      <c r="T1492" s="196"/>
      <c r="U1492" s="196"/>
      <c r="V1492" s="198"/>
    </row>
    <row r="1493" spans="1:22" hidden="1" outlineLevel="2" x14ac:dyDescent="0.25">
      <c r="A1493" s="186">
        <f>SUMIFS(МКД!$A$6:$A$389,МКД!$D$6:$D$389,Таблица1[[#This Row],[2]])</f>
        <v>255</v>
      </c>
      <c r="B1493" s="170"/>
      <c r="C1493" s="182" t="s">
        <v>484</v>
      </c>
      <c r="D1493" s="167" t="s">
        <v>1831</v>
      </c>
      <c r="E1493" s="167" t="s">
        <v>2289</v>
      </c>
      <c r="F1493" s="167">
        <v>1</v>
      </c>
      <c r="G1493" s="168">
        <f>SUMIFS(Таблица1[[#This Row],[8]:[19]],$I$5:$T$5,"Выкуп")</f>
        <v>457.9</v>
      </c>
      <c r="H1493" s="168">
        <f>SUMIFS(Таблица1[[#This Row],[8]:[19]],$I$5:$T$5,"Аренда")</f>
        <v>0</v>
      </c>
      <c r="I1493" s="169">
        <v>457.9</v>
      </c>
      <c r="J1493" s="169"/>
      <c r="K1493" s="169"/>
      <c r="L1493" s="169"/>
      <c r="M1493" s="169"/>
      <c r="N1493" s="169"/>
      <c r="O1493" s="169"/>
      <c r="P1493" s="169"/>
      <c r="Q1493" s="169"/>
      <c r="R1493" s="169"/>
      <c r="S1493" s="169"/>
      <c r="T1493" s="169"/>
      <c r="U1493" s="170"/>
      <c r="V1493" s="171"/>
    </row>
    <row r="1494" spans="1:22" hidden="1" outlineLevel="2" x14ac:dyDescent="0.25">
      <c r="A1494" s="186">
        <f>SUMIFS(МКД!$A$6:$A$389,МКД!$D$6:$D$389,Таблица1[[#This Row],[2]])</f>
        <v>255</v>
      </c>
      <c r="B1494" s="168"/>
      <c r="C1494" s="182" t="s">
        <v>484</v>
      </c>
      <c r="D1494" s="167" t="s">
        <v>2287</v>
      </c>
      <c r="E1494" s="167" t="s">
        <v>2286</v>
      </c>
      <c r="F1494" s="167">
        <v>1</v>
      </c>
      <c r="G1494" s="168">
        <f>SUMIFS(Таблица1[[#This Row],[8]:[19]],$I$5:$T$5,"Выкуп")</f>
        <v>46.5</v>
      </c>
      <c r="H1494" s="168">
        <f>SUMIFS(Таблица1[[#This Row],[8]:[19]],$I$5:$T$5,"Аренда")</f>
        <v>0</v>
      </c>
      <c r="I1494" s="169">
        <v>46.5</v>
      </c>
      <c r="J1494" s="169"/>
      <c r="K1494" s="169"/>
      <c r="L1494" s="169"/>
      <c r="M1494" s="169"/>
      <c r="N1494" s="169"/>
      <c r="O1494" s="169"/>
      <c r="P1494" s="169"/>
      <c r="Q1494" s="169"/>
      <c r="R1494" s="169"/>
      <c r="S1494" s="169"/>
      <c r="T1494" s="169"/>
      <c r="U1494" s="170"/>
      <c r="V1494" s="171"/>
    </row>
    <row r="1495" spans="1:22" hidden="1" outlineLevel="2" x14ac:dyDescent="0.25">
      <c r="A1495" s="186">
        <f>SUMIFS(МКД!$A$6:$A$389,МКД!$D$6:$D$389,Таблица1[[#This Row],[2]])</f>
        <v>255</v>
      </c>
      <c r="B1495" s="168"/>
      <c r="C1495" s="182" t="s">
        <v>484</v>
      </c>
      <c r="D1495" s="167" t="s">
        <v>801</v>
      </c>
      <c r="E1495" s="167" t="s">
        <v>2288</v>
      </c>
      <c r="F1495" s="167">
        <v>1</v>
      </c>
      <c r="G1495" s="168">
        <f>SUMIFS(Таблица1[[#This Row],[8]:[19]],$I$5:$T$5,"Выкуп")</f>
        <v>31.4</v>
      </c>
      <c r="H1495" s="168">
        <f>SUMIFS(Таблица1[[#This Row],[8]:[19]],$I$5:$T$5,"Аренда")</f>
        <v>0</v>
      </c>
      <c r="I1495" s="169">
        <v>31.4</v>
      </c>
      <c r="J1495" s="169"/>
      <c r="K1495" s="169"/>
      <c r="L1495" s="169"/>
      <c r="M1495" s="169"/>
      <c r="N1495" s="169"/>
      <c r="O1495" s="169"/>
      <c r="P1495" s="169"/>
      <c r="Q1495" s="169"/>
      <c r="R1495" s="169"/>
      <c r="S1495" s="169"/>
      <c r="T1495" s="169"/>
      <c r="U1495" s="170"/>
      <c r="V1495" s="171"/>
    </row>
    <row r="1496" spans="1:22" hidden="1" outlineLevel="2" x14ac:dyDescent="0.25">
      <c r="A1496" s="186">
        <f>SUMIFS(МКД!$A$6:$A$389,МКД!$D$6:$D$389,Таблица1[[#This Row],[2]])</f>
        <v>255</v>
      </c>
      <c r="B1496" s="168"/>
      <c r="C1496" s="182" t="s">
        <v>484</v>
      </c>
      <c r="D1496" s="167" t="s">
        <v>1394</v>
      </c>
      <c r="E1496" s="167" t="s">
        <v>2752</v>
      </c>
      <c r="F1496" s="167">
        <v>1</v>
      </c>
      <c r="G1496" s="168">
        <f>SUMIFS(Таблица1[[#This Row],[8]:[19]],$I$5:$T$5,"Выкуп")</f>
        <v>264.89999999999998</v>
      </c>
      <c r="H1496" s="168">
        <f>SUMIFS(Таблица1[[#This Row],[8]:[19]],$I$5:$T$5,"Аренда")</f>
        <v>0</v>
      </c>
      <c r="I1496" s="169"/>
      <c r="J1496" s="169"/>
      <c r="K1496" s="169"/>
      <c r="L1496" s="169"/>
      <c r="M1496" s="169">
        <v>264.89999999999998</v>
      </c>
      <c r="N1496" s="169"/>
      <c r="O1496" s="169"/>
      <c r="P1496" s="169"/>
      <c r="Q1496" s="169"/>
      <c r="R1496" s="169"/>
      <c r="S1496" s="169"/>
      <c r="T1496" s="169"/>
      <c r="U1496" s="170"/>
      <c r="V1496" s="171"/>
    </row>
    <row r="1497" spans="1:22" ht="15" outlineLevel="1" collapsed="1" x14ac:dyDescent="0.25">
      <c r="A1497" s="186">
        <f>SUMIFS(МКД!$A$6:$A$389,МКД!$D$6:$D$389,Таблица1[[#This Row],[2]])</f>
        <v>256</v>
      </c>
      <c r="B1497" s="194">
        <f>SUMIFS(Таблица1[6],Таблица1[2],Таблица1[[#This Row],[2]])+SUMIFS(Таблица1[7],Таблица1[2],Таблица1[[#This Row],[2]])</f>
        <v>139.6</v>
      </c>
      <c r="C1497" s="185" t="s">
        <v>485</v>
      </c>
      <c r="D1497" s="196"/>
      <c r="E1497" s="196"/>
      <c r="F1497" s="196"/>
      <c r="G1497" s="168"/>
      <c r="H1497" s="197"/>
      <c r="I1497" s="196"/>
      <c r="J1497" s="196"/>
      <c r="K1497" s="196"/>
      <c r="L1497" s="196"/>
      <c r="M1497" s="196"/>
      <c r="N1497" s="196"/>
      <c r="O1497" s="196"/>
      <c r="P1497" s="196"/>
      <c r="Q1497" s="196"/>
      <c r="R1497" s="196"/>
      <c r="S1497" s="196"/>
      <c r="T1497" s="196"/>
      <c r="U1497" s="196"/>
      <c r="V1497" s="198"/>
    </row>
    <row r="1498" spans="1:22" ht="15" outlineLevel="2" x14ac:dyDescent="0.25">
      <c r="A1498" s="186">
        <f>SUMIFS(МКД!$A$6:$A$389,МКД!$D$6:$D$389,Таблица1[[#This Row],[2]])</f>
        <v>256</v>
      </c>
      <c r="B1498" s="196"/>
      <c r="C1498" s="182" t="s">
        <v>485</v>
      </c>
      <c r="D1498" s="373" t="s">
        <v>1394</v>
      </c>
      <c r="E1498" s="167" t="s">
        <v>2752</v>
      </c>
      <c r="F1498" s="196"/>
      <c r="G1498" s="168">
        <f>SUMIFS(Таблица1[[#This Row],[8]:[19]],$I$5:$T$5,"Выкуп")</f>
        <v>46</v>
      </c>
      <c r="H1498" s="168">
        <f>SUMIFS(Таблица1[[#This Row],[8]:[19]],$I$5:$T$5,"Аренда")</f>
        <v>0</v>
      </c>
      <c r="I1498" s="196"/>
      <c r="J1498" s="196"/>
      <c r="K1498" s="196"/>
      <c r="L1498" s="196"/>
      <c r="M1498" s="334">
        <v>46</v>
      </c>
      <c r="N1498" s="196"/>
      <c r="O1498" s="196"/>
      <c r="P1498" s="196"/>
      <c r="Q1498" s="196"/>
      <c r="R1498" s="196"/>
      <c r="S1498" s="196"/>
      <c r="T1498" s="196"/>
      <c r="U1498" s="196"/>
      <c r="V1498" s="198"/>
    </row>
    <row r="1499" spans="1:22" ht="15" outlineLevel="2" x14ac:dyDescent="0.25">
      <c r="A1499" s="186">
        <f>SUMIFS(МКД!$A$6:$A$389,МКД!$D$6:$D$389,Таблица1[[#This Row],[2]])</f>
        <v>256</v>
      </c>
      <c r="B1499" s="196"/>
      <c r="C1499" s="182" t="s">
        <v>485</v>
      </c>
      <c r="D1499" s="373" t="s">
        <v>1053</v>
      </c>
      <c r="E1499" s="167" t="s">
        <v>2752</v>
      </c>
      <c r="F1499" s="196"/>
      <c r="G1499" s="168">
        <f>SUMIFS(Таблица1[[#This Row],[8]:[19]],$I$5:$T$5,"Выкуп")</f>
        <v>93.6</v>
      </c>
      <c r="H1499" s="168">
        <f>SUMIFS(Таблица1[[#This Row],[8]:[19]],$I$5:$T$5,"Аренда")</f>
        <v>0</v>
      </c>
      <c r="I1499" s="196"/>
      <c r="J1499" s="196"/>
      <c r="K1499" s="196"/>
      <c r="L1499" s="196"/>
      <c r="M1499" s="334">
        <v>93.6</v>
      </c>
      <c r="N1499" s="196"/>
      <c r="O1499" s="196"/>
      <c r="P1499" s="196"/>
      <c r="Q1499" s="196"/>
      <c r="R1499" s="196"/>
      <c r="S1499" s="196"/>
      <c r="T1499" s="196"/>
      <c r="U1499" s="196"/>
      <c r="V1499" s="198"/>
    </row>
    <row r="1500" spans="1:22" ht="15" outlineLevel="1" x14ac:dyDescent="0.25">
      <c r="A1500" s="186">
        <f>SUMIFS(МКД!$A$6:$A$389,МКД!$D$6:$D$389,Таблица1[[#This Row],[2]])</f>
        <v>257</v>
      </c>
      <c r="B1500" s="194">
        <f>SUMIFS(Таблица1[6],Таблица1[2],Таблица1[[#This Row],[2]])+SUMIFS(Таблица1[7],Таблица1[2],Таблица1[[#This Row],[2]])</f>
        <v>1106.2</v>
      </c>
      <c r="C1500" s="185" t="s">
        <v>486</v>
      </c>
      <c r="D1500" s="196"/>
      <c r="E1500" s="196"/>
      <c r="F1500" s="196"/>
      <c r="G1500" s="168"/>
      <c r="H1500" s="197"/>
      <c r="I1500" s="196"/>
      <c r="J1500" s="196"/>
      <c r="K1500" s="196"/>
      <c r="L1500" s="196"/>
      <c r="M1500" s="196"/>
      <c r="N1500" s="196"/>
      <c r="O1500" s="196"/>
      <c r="P1500" s="196"/>
      <c r="Q1500" s="196"/>
      <c r="R1500" s="196"/>
      <c r="S1500" s="196"/>
      <c r="T1500" s="196"/>
      <c r="U1500" s="196"/>
      <c r="V1500" s="198"/>
    </row>
    <row r="1501" spans="1:22" hidden="1" outlineLevel="2" x14ac:dyDescent="0.25">
      <c r="A1501" s="186">
        <f>SUMIFS(МКД!$A$6:$A$389,МКД!$D$6:$D$389,Таблица1[[#This Row],[2]])</f>
        <v>257</v>
      </c>
      <c r="B1501" s="170"/>
      <c r="C1501" s="182" t="s">
        <v>486</v>
      </c>
      <c r="D1501" s="167" t="s">
        <v>967</v>
      </c>
      <c r="E1501" s="167" t="s">
        <v>2291</v>
      </c>
      <c r="F1501" s="167">
        <v>1</v>
      </c>
      <c r="G1501" s="168">
        <f>SUMIFS(Таблица1[[#This Row],[8]:[19]],$I$5:$T$5,"Выкуп")</f>
        <v>200</v>
      </c>
      <c r="H1501" s="168">
        <f>SUMIFS(Таблица1[[#This Row],[8]:[19]],$I$5:$T$5,"Аренда")</f>
        <v>0</v>
      </c>
      <c r="I1501" s="169">
        <v>200</v>
      </c>
      <c r="J1501" s="169"/>
      <c r="K1501" s="169"/>
      <c r="L1501" s="169"/>
      <c r="M1501" s="169"/>
      <c r="N1501" s="169"/>
      <c r="O1501" s="169"/>
      <c r="P1501" s="169"/>
      <c r="Q1501" s="169"/>
      <c r="R1501" s="169"/>
      <c r="S1501" s="169"/>
      <c r="T1501" s="169"/>
      <c r="U1501" s="170"/>
      <c r="V1501" s="171"/>
    </row>
    <row r="1502" spans="1:22" hidden="1" outlineLevel="2" x14ac:dyDescent="0.25">
      <c r="A1502" s="186">
        <f>SUMIFS(МКД!$A$6:$A$389,МКД!$D$6:$D$389,Таблица1[[#This Row],[2]])</f>
        <v>257</v>
      </c>
      <c r="B1502" s="168"/>
      <c r="C1502" s="182" t="s">
        <v>486</v>
      </c>
      <c r="D1502" s="167" t="s">
        <v>2007</v>
      </c>
      <c r="E1502" s="167" t="s">
        <v>2290</v>
      </c>
      <c r="F1502" s="167">
        <v>1</v>
      </c>
      <c r="G1502" s="168">
        <f>SUMIFS(Таблица1[[#This Row],[8]:[19]],$I$5:$T$5,"Выкуп")</f>
        <v>579.29999999999995</v>
      </c>
      <c r="H1502" s="168">
        <f>SUMIFS(Таблица1[[#This Row],[8]:[19]],$I$5:$T$5,"Аренда")</f>
        <v>0</v>
      </c>
      <c r="I1502" s="169">
        <f>527.4+51.9</f>
        <v>579.29999999999995</v>
      </c>
      <c r="J1502" s="169"/>
      <c r="K1502" s="169"/>
      <c r="L1502" s="169"/>
      <c r="M1502" s="169"/>
      <c r="N1502" s="169"/>
      <c r="O1502" s="169"/>
      <c r="P1502" s="169"/>
      <c r="Q1502" s="169"/>
      <c r="R1502" s="169"/>
      <c r="S1502" s="169"/>
      <c r="T1502" s="169"/>
      <c r="U1502" s="170"/>
      <c r="V1502" s="171"/>
    </row>
    <row r="1503" spans="1:22" hidden="1" outlineLevel="2" x14ac:dyDescent="0.25">
      <c r="A1503" s="186">
        <f>SUMIFS(МКД!$A$6:$A$389,МКД!$D$6:$D$389,Таблица1[[#This Row],[2]])</f>
        <v>257</v>
      </c>
      <c r="B1503" s="168"/>
      <c r="C1503" s="182" t="s">
        <v>486</v>
      </c>
      <c r="D1503" s="167" t="s">
        <v>324</v>
      </c>
      <c r="E1503" s="167" t="s">
        <v>2292</v>
      </c>
      <c r="F1503" s="167">
        <v>1</v>
      </c>
      <c r="G1503" s="168">
        <f>SUMIFS(Таблица1[[#This Row],[8]:[19]],$I$5:$T$5,"Выкуп")</f>
        <v>0</v>
      </c>
      <c r="H1503" s="168">
        <f>SUMIFS(Таблица1[[#This Row],[8]:[19]],$I$5:$T$5,"Аренда")</f>
        <v>11.9</v>
      </c>
      <c r="I1503" s="193"/>
      <c r="J1503" s="193"/>
      <c r="K1503" s="193"/>
      <c r="L1503" s="193"/>
      <c r="M1503" s="193"/>
      <c r="N1503" s="193"/>
      <c r="O1503" s="169"/>
      <c r="P1503" s="193">
        <v>11.9</v>
      </c>
      <c r="Q1503" s="193"/>
      <c r="R1503" s="193"/>
      <c r="S1503" s="193"/>
      <c r="T1503" s="193"/>
      <c r="U1503" s="170"/>
      <c r="V1503" s="171"/>
    </row>
    <row r="1504" spans="1:22" hidden="1" outlineLevel="2" x14ac:dyDescent="0.25">
      <c r="A1504" s="186">
        <f>SUMIFS(МКД!$A$6:$A$389,МКД!$D$6:$D$389,Таблица1[[#This Row],[2]])</f>
        <v>257</v>
      </c>
      <c r="B1504" s="168"/>
      <c r="C1504" s="182" t="s">
        <v>486</v>
      </c>
      <c r="D1504" s="167" t="s">
        <v>1053</v>
      </c>
      <c r="E1504" s="167" t="s">
        <v>155</v>
      </c>
      <c r="F1504" s="167">
        <v>1</v>
      </c>
      <c r="G1504" s="168">
        <f>SUMIFS(Таблица1[[#This Row],[8]:[19]],$I$5:$T$5,"Выкуп")</f>
        <v>136.80000000000001</v>
      </c>
      <c r="H1504" s="168">
        <f>SUMIFS(Таблица1[[#This Row],[8]:[19]],$I$5:$T$5,"Аренда")</f>
        <v>0</v>
      </c>
      <c r="I1504" s="169"/>
      <c r="J1504" s="169"/>
      <c r="K1504" s="169">
        <v>136.80000000000001</v>
      </c>
      <c r="L1504" s="169"/>
      <c r="M1504" s="169"/>
      <c r="N1504" s="169"/>
      <c r="O1504" s="169"/>
      <c r="P1504" s="169"/>
      <c r="Q1504" s="169"/>
      <c r="R1504" s="169"/>
      <c r="S1504" s="169"/>
      <c r="T1504" s="169"/>
      <c r="U1504" s="170"/>
      <c r="V1504" s="171"/>
    </row>
    <row r="1505" spans="1:22" hidden="1" outlineLevel="2" x14ac:dyDescent="0.25">
      <c r="A1505" s="186">
        <f>SUMIFS(МКД!$A$6:$A$389,МКД!$D$6:$D$389,Таблица1[[#This Row],[2]])</f>
        <v>257</v>
      </c>
      <c r="B1505" s="168"/>
      <c r="C1505" s="182" t="s">
        <v>486</v>
      </c>
      <c r="D1505" s="167" t="s">
        <v>1053</v>
      </c>
      <c r="E1505" s="167" t="s">
        <v>2793</v>
      </c>
      <c r="F1505" s="167">
        <v>1</v>
      </c>
      <c r="G1505" s="168">
        <f>SUMIFS(Таблица1[[#This Row],[8]:[19]],$I$5:$T$5,"Выкуп")</f>
        <v>178.2</v>
      </c>
      <c r="H1505" s="168">
        <f>SUMIFS(Таблица1[[#This Row],[8]:[19]],$I$5:$T$5,"Аренда")</f>
        <v>0</v>
      </c>
      <c r="I1505" s="193"/>
      <c r="J1505" s="193"/>
      <c r="K1505" s="193"/>
      <c r="L1505" s="193"/>
      <c r="M1505" s="375">
        <v>178.2</v>
      </c>
      <c r="N1505" s="193"/>
      <c r="O1505" s="169"/>
      <c r="P1505" s="193"/>
      <c r="Q1505" s="193"/>
      <c r="R1505" s="193"/>
      <c r="S1505" s="193"/>
      <c r="T1505" s="193"/>
      <c r="U1505" s="170"/>
      <c r="V1505" s="171"/>
    </row>
    <row r="1506" spans="1:22" ht="15" outlineLevel="1" collapsed="1" x14ac:dyDescent="0.25">
      <c r="A1506" s="186">
        <f>SUMIFS(МКД!$A$6:$A$389,МКД!$D$6:$D$389,Таблица1[[#This Row],[2]])</f>
        <v>258</v>
      </c>
      <c r="B1506" s="194">
        <f>SUMIFS(Таблица1[6],Таблица1[2],Таблица1[[#This Row],[2]])+SUMIFS(Таблица1[7],Таблица1[2],Таблица1[[#This Row],[2]])</f>
        <v>314</v>
      </c>
      <c r="C1506" s="185" t="s">
        <v>487</v>
      </c>
      <c r="D1506" s="196"/>
      <c r="E1506" s="196"/>
      <c r="F1506" s="196"/>
      <c r="G1506" s="168"/>
      <c r="H1506" s="197"/>
      <c r="I1506" s="196"/>
      <c r="J1506" s="196"/>
      <c r="K1506" s="196"/>
      <c r="L1506" s="196"/>
      <c r="M1506" s="196"/>
      <c r="N1506" s="196"/>
      <c r="O1506" s="196"/>
      <c r="P1506" s="196"/>
      <c r="Q1506" s="196"/>
      <c r="R1506" s="196"/>
      <c r="S1506" s="196"/>
      <c r="T1506" s="196"/>
      <c r="U1506" s="196"/>
      <c r="V1506" s="198"/>
    </row>
    <row r="1507" spans="1:22" hidden="1" outlineLevel="2" x14ac:dyDescent="0.25">
      <c r="A1507" s="186">
        <f>SUMIFS(МКД!$A$6:$A$389,МКД!$D$6:$D$389,Таблица1[[#This Row],[2]])</f>
        <v>258</v>
      </c>
      <c r="B1507" s="170"/>
      <c r="C1507" s="182" t="s">
        <v>487</v>
      </c>
      <c r="D1507" s="167" t="s">
        <v>1053</v>
      </c>
      <c r="E1507" s="167" t="s">
        <v>1481</v>
      </c>
      <c r="F1507" s="167">
        <v>1</v>
      </c>
      <c r="G1507" s="168">
        <f>SUMIFS(Таблица1[[#This Row],[8]:[19]],$I$5:$T$5,"Выкуп")</f>
        <v>100.5</v>
      </c>
      <c r="H1507" s="168">
        <f>SUMIFS(Таблица1[[#This Row],[8]:[19]],$I$5:$T$5,"Аренда")</f>
        <v>0</v>
      </c>
      <c r="I1507" s="169"/>
      <c r="J1507" s="169"/>
      <c r="K1507" s="169">
        <v>100.5</v>
      </c>
      <c r="L1507" s="169"/>
      <c r="M1507" s="169"/>
      <c r="N1507" s="169"/>
      <c r="O1507" s="169"/>
      <c r="P1507" s="169"/>
      <c r="Q1507" s="169"/>
      <c r="R1507" s="169"/>
      <c r="S1507" s="169"/>
      <c r="T1507" s="169"/>
      <c r="U1507" s="170"/>
      <c r="V1507" s="171"/>
    </row>
    <row r="1508" spans="1:22" hidden="1" outlineLevel="2" x14ac:dyDescent="0.25">
      <c r="A1508" s="186">
        <f>SUMIFS(МКД!$A$6:$A$389,МКД!$D$6:$D$389,Таблица1[[#This Row],[2]])</f>
        <v>258</v>
      </c>
      <c r="B1508" s="168"/>
      <c r="C1508" s="182" t="s">
        <v>487</v>
      </c>
      <c r="D1508" s="167" t="s">
        <v>1053</v>
      </c>
      <c r="E1508" s="167" t="s">
        <v>2750</v>
      </c>
      <c r="F1508" s="167"/>
      <c r="G1508" s="168">
        <f>SUMIFS(Таблица1[[#This Row],[8]:[19]],$I$5:$T$5,"Выкуп")</f>
        <v>213.5</v>
      </c>
      <c r="H1508" s="168">
        <f>SUMIFS(Таблица1[[#This Row],[8]:[19]],$I$5:$T$5,"Аренда")</f>
        <v>0</v>
      </c>
      <c r="I1508" s="169"/>
      <c r="J1508" s="169"/>
      <c r="K1508" s="169"/>
      <c r="L1508" s="169"/>
      <c r="M1508" s="167">
        <v>213.5</v>
      </c>
      <c r="N1508" s="169"/>
      <c r="O1508" s="169"/>
      <c r="P1508" s="169"/>
      <c r="Q1508" s="169"/>
      <c r="R1508" s="169"/>
      <c r="S1508" s="169"/>
      <c r="T1508" s="169"/>
      <c r="U1508" s="170"/>
      <c r="V1508" s="171"/>
    </row>
    <row r="1509" spans="1:22" ht="15" outlineLevel="1" collapsed="1" x14ac:dyDescent="0.25">
      <c r="A1509" s="186">
        <f>SUMIFS(МКД!$A$6:$A$389,МКД!$D$6:$D$389,Таблица1[[#This Row],[2]])</f>
        <v>259</v>
      </c>
      <c r="B1509" s="194">
        <f>SUMIFS(Таблица1[6],Таблица1[2],Таблица1[[#This Row],[2]])+SUMIFS(Таблица1[7],Таблица1[2],Таблица1[[#This Row],[2]])</f>
        <v>98.7</v>
      </c>
      <c r="C1509" s="185" t="s">
        <v>488</v>
      </c>
      <c r="D1509" s="196"/>
      <c r="E1509" s="196"/>
      <c r="F1509" s="196"/>
      <c r="G1509" s="168"/>
      <c r="H1509" s="197"/>
      <c r="I1509" s="196"/>
      <c r="J1509" s="196"/>
      <c r="K1509" s="196"/>
      <c r="L1509" s="196"/>
      <c r="M1509" s="196"/>
      <c r="N1509" s="196"/>
      <c r="O1509" s="196"/>
      <c r="P1509" s="196"/>
      <c r="Q1509" s="196"/>
      <c r="R1509" s="196"/>
      <c r="S1509" s="196"/>
      <c r="T1509" s="196"/>
      <c r="U1509" s="196"/>
      <c r="V1509" s="198"/>
    </row>
    <row r="1510" spans="1:22" ht="15" hidden="1" outlineLevel="2" x14ac:dyDescent="0.25">
      <c r="A1510" s="186">
        <f>SUMIFS(МКД!$A$6:$A$389,МКД!$D$6:$D$389,Таблица1[[#This Row],[2]])</f>
        <v>259</v>
      </c>
      <c r="B1510" s="196"/>
      <c r="C1510" s="182" t="s">
        <v>488</v>
      </c>
      <c r="D1510" s="167" t="s">
        <v>1593</v>
      </c>
      <c r="E1510" s="273" t="s">
        <v>1762</v>
      </c>
      <c r="F1510" s="196"/>
      <c r="G1510" s="168">
        <f>SUMIFS(Таблица1[[#This Row],[8]:[19]],$I$5:$T$5,"Выкуп")</f>
        <v>98.7</v>
      </c>
      <c r="H1510" s="168">
        <f>SUMIFS(Таблица1[[#This Row],[8]:[19]],$I$5:$T$5,"Аренда")</f>
        <v>0</v>
      </c>
      <c r="I1510" s="196"/>
      <c r="J1510" s="196"/>
      <c r="K1510" s="196">
        <v>98.7</v>
      </c>
      <c r="L1510" s="196"/>
      <c r="M1510" s="196"/>
      <c r="N1510" s="196"/>
      <c r="O1510" s="196"/>
      <c r="P1510" s="196"/>
      <c r="Q1510" s="196"/>
      <c r="R1510" s="196"/>
      <c r="S1510" s="196"/>
      <c r="T1510" s="196"/>
      <c r="U1510" s="196"/>
      <c r="V1510" s="198"/>
    </row>
    <row r="1511" spans="1:22" ht="15" outlineLevel="1" collapsed="1" x14ac:dyDescent="0.25">
      <c r="A1511" s="186">
        <f>SUMIFS(МКД!$A$6:$A$389,МКД!$D$6:$D$389,Таблица1[[#This Row],[2]])</f>
        <v>260</v>
      </c>
      <c r="B1511" s="194">
        <f>SUMIFS(Таблица1[6],Таблица1[2],Таблица1[[#This Row],[2]])+SUMIFS(Таблица1[7],Таблица1[2],Таблица1[[#This Row],[2]])</f>
        <v>839.1</v>
      </c>
      <c r="C1511" s="185" t="s">
        <v>489</v>
      </c>
      <c r="D1511" s="196"/>
      <c r="E1511" s="196"/>
      <c r="F1511" s="196"/>
      <c r="G1511" s="168"/>
      <c r="H1511" s="197"/>
      <c r="I1511" s="196"/>
      <c r="J1511" s="196"/>
      <c r="K1511" s="196"/>
      <c r="L1511" s="196"/>
      <c r="M1511" s="196"/>
      <c r="N1511" s="196"/>
      <c r="O1511" s="196"/>
      <c r="P1511" s="196"/>
      <c r="Q1511" s="196"/>
      <c r="R1511" s="196"/>
      <c r="S1511" s="196"/>
      <c r="T1511" s="196"/>
      <c r="U1511" s="196"/>
      <c r="V1511" s="198"/>
    </row>
    <row r="1512" spans="1:22" hidden="1" outlineLevel="2" x14ac:dyDescent="0.25">
      <c r="A1512" s="186">
        <f>SUMIFS(МКД!$A$6:$A$389,МКД!$D$6:$D$389,Таблица1[[#This Row],[2]])</f>
        <v>260</v>
      </c>
      <c r="B1512" s="170"/>
      <c r="C1512" s="182" t="s">
        <v>489</v>
      </c>
      <c r="D1512" s="167" t="s">
        <v>802</v>
      </c>
      <c r="E1512" s="167" t="s">
        <v>347</v>
      </c>
      <c r="F1512" s="167">
        <v>1</v>
      </c>
      <c r="G1512" s="168">
        <f>SUMIFS(Таблица1[[#This Row],[8]:[19]],$I$5:$T$5,"Выкуп")</f>
        <v>160.6</v>
      </c>
      <c r="H1512" s="168">
        <f>SUMIFS(Таблица1[[#This Row],[8]:[19]],$I$5:$T$5,"Аренда")</f>
        <v>0</v>
      </c>
      <c r="I1512" s="169">
        <v>160.6</v>
      </c>
      <c r="J1512" s="169"/>
      <c r="K1512" s="169"/>
      <c r="L1512" s="169"/>
      <c r="M1512" s="169"/>
      <c r="N1512" s="169"/>
      <c r="O1512" s="169"/>
      <c r="P1512" s="169"/>
      <c r="Q1512" s="169"/>
      <c r="R1512" s="169"/>
      <c r="S1512" s="169"/>
      <c r="T1512" s="169"/>
      <c r="U1512" s="170"/>
      <c r="V1512" s="171"/>
    </row>
    <row r="1513" spans="1:22" hidden="1" outlineLevel="2" x14ac:dyDescent="0.25">
      <c r="A1513" s="186">
        <f>SUMIFS(МКД!$A$6:$A$389,МКД!$D$6:$D$389,Таблица1[[#This Row],[2]])</f>
        <v>260</v>
      </c>
      <c r="B1513" s="170"/>
      <c r="C1513" s="182" t="s">
        <v>489</v>
      </c>
      <c r="D1513" s="167" t="s">
        <v>1646</v>
      </c>
      <c r="E1513" s="167" t="s">
        <v>908</v>
      </c>
      <c r="F1513" s="167">
        <v>1</v>
      </c>
      <c r="G1513" s="168">
        <f>SUMIFS(Таблица1[[#This Row],[8]:[19]],$I$5:$T$5,"Выкуп")</f>
        <v>256.5</v>
      </c>
      <c r="H1513" s="168">
        <f>SUMIFS(Таблица1[[#This Row],[8]:[19]],$I$5:$T$5,"Аренда")</f>
        <v>0</v>
      </c>
      <c r="I1513" s="169">
        <v>256.5</v>
      </c>
      <c r="J1513" s="169"/>
      <c r="K1513" s="169"/>
      <c r="L1513" s="169"/>
      <c r="M1513" s="169"/>
      <c r="N1513" s="169"/>
      <c r="O1513" s="169"/>
      <c r="P1513" s="169"/>
      <c r="Q1513" s="169"/>
      <c r="R1513" s="169"/>
      <c r="S1513" s="169"/>
      <c r="T1513" s="169"/>
      <c r="U1513" s="170"/>
      <c r="V1513" s="171"/>
    </row>
    <row r="1514" spans="1:22" hidden="1" outlineLevel="2" x14ac:dyDescent="0.25">
      <c r="A1514" s="186">
        <f>SUMIFS(МКД!$A$6:$A$389,МКД!$D$6:$D$389,Таблица1[[#This Row],[2]])</f>
        <v>260</v>
      </c>
      <c r="B1514" s="170"/>
      <c r="C1514" s="182" t="s">
        <v>489</v>
      </c>
      <c r="D1514" s="167" t="s">
        <v>1886</v>
      </c>
      <c r="E1514" s="167" t="s">
        <v>1867</v>
      </c>
      <c r="F1514" s="167"/>
      <c r="G1514" s="168">
        <f>SUMIFS(Таблица1[[#This Row],[8]:[19]],$I$5:$T$5,"Выкуп")</f>
        <v>143</v>
      </c>
      <c r="H1514" s="168">
        <f>SUMIFS(Таблица1[[#This Row],[8]:[19]],$I$5:$T$5,"Аренда")</f>
        <v>0</v>
      </c>
      <c r="I1514" s="169">
        <v>143</v>
      </c>
      <c r="J1514" s="169"/>
      <c r="K1514" s="169"/>
      <c r="L1514" s="169"/>
      <c r="M1514" s="169"/>
      <c r="N1514" s="169"/>
      <c r="O1514" s="169"/>
      <c r="P1514" s="169"/>
      <c r="Q1514" s="169"/>
      <c r="R1514" s="169"/>
      <c r="S1514" s="169"/>
      <c r="T1514" s="169"/>
      <c r="U1514" s="170"/>
      <c r="V1514" s="171"/>
    </row>
    <row r="1515" spans="1:22" hidden="1" outlineLevel="2" x14ac:dyDescent="0.25">
      <c r="A1515" s="186">
        <f>SUMIFS(МКД!$A$6:$A$389,МКД!$D$6:$D$389,Таблица1[[#This Row],[2]])</f>
        <v>260</v>
      </c>
      <c r="B1515" s="168"/>
      <c r="C1515" s="182" t="s">
        <v>489</v>
      </c>
      <c r="D1515" s="167" t="s">
        <v>759</v>
      </c>
      <c r="E1515" s="167" t="s">
        <v>1647</v>
      </c>
      <c r="F1515" s="167">
        <v>1</v>
      </c>
      <c r="G1515" s="168">
        <f>SUMIFS(Таблица1[[#This Row],[8]:[19]],$I$5:$T$5,"Выкуп")</f>
        <v>46.1</v>
      </c>
      <c r="H1515" s="168">
        <f>SUMIFS(Таблица1[[#This Row],[8]:[19]],$I$5:$T$5,"Аренда")</f>
        <v>0</v>
      </c>
      <c r="I1515" s="169">
        <v>46.1</v>
      </c>
      <c r="J1515" s="169"/>
      <c r="K1515" s="169"/>
      <c r="L1515" s="169"/>
      <c r="M1515" s="169"/>
      <c r="N1515" s="169"/>
      <c r="O1515" s="169"/>
      <c r="P1515" s="169"/>
      <c r="Q1515" s="169"/>
      <c r="R1515" s="169"/>
      <c r="S1515" s="169"/>
      <c r="T1515" s="169"/>
      <c r="U1515" s="170"/>
      <c r="V1515" s="171"/>
    </row>
    <row r="1516" spans="1:22" hidden="1" outlineLevel="2" x14ac:dyDescent="0.25">
      <c r="A1516" s="186">
        <f>SUMIFS(МКД!$A$6:$A$389,МКД!$D$6:$D$389,Таблица1[[#This Row],[2]])</f>
        <v>260</v>
      </c>
      <c r="B1516" s="168"/>
      <c r="C1516" s="182" t="s">
        <v>489</v>
      </c>
      <c r="D1516" s="167" t="s">
        <v>325</v>
      </c>
      <c r="E1516" s="167" t="s">
        <v>317</v>
      </c>
      <c r="F1516" s="167">
        <v>1</v>
      </c>
      <c r="G1516" s="168">
        <f>SUMIFS(Таблица1[[#This Row],[8]:[19]],$I$5:$T$5,"Выкуп")</f>
        <v>0</v>
      </c>
      <c r="H1516" s="168">
        <f>SUMIFS(Таблица1[[#This Row],[8]:[19]],$I$5:$T$5,"Аренда")</f>
        <v>11.4</v>
      </c>
      <c r="I1516" s="169"/>
      <c r="J1516" s="169"/>
      <c r="K1516" s="169"/>
      <c r="L1516" s="169"/>
      <c r="M1516" s="169"/>
      <c r="N1516" s="169"/>
      <c r="O1516" s="169"/>
      <c r="P1516" s="169"/>
      <c r="Q1516" s="169"/>
      <c r="R1516" s="169">
        <v>11.4</v>
      </c>
      <c r="S1516" s="169"/>
      <c r="T1516" s="169"/>
      <c r="U1516" s="170"/>
      <c r="V1516" s="171"/>
    </row>
    <row r="1517" spans="1:22" hidden="1" outlineLevel="2" x14ac:dyDescent="0.25">
      <c r="A1517" s="186">
        <f>SUMIFS(МКД!$A$6:$A$389,МКД!$D$6:$D$389,Таблица1[[#This Row],[2]])</f>
        <v>260</v>
      </c>
      <c r="B1517" s="168"/>
      <c r="C1517" s="182" t="s">
        <v>489</v>
      </c>
      <c r="D1517" s="167" t="s">
        <v>1394</v>
      </c>
      <c r="E1517" s="167" t="s">
        <v>2752</v>
      </c>
      <c r="F1517" s="167">
        <v>1</v>
      </c>
      <c r="G1517" s="168">
        <f>SUMIFS(Таблица1[[#This Row],[8]:[19]],$I$5:$T$5,"Выкуп")</f>
        <v>221.5</v>
      </c>
      <c r="H1517" s="168">
        <f>SUMIFS(Таблица1[[#This Row],[8]:[19]],$I$5:$T$5,"Аренда")</f>
        <v>0</v>
      </c>
      <c r="I1517" s="169"/>
      <c r="J1517" s="169"/>
      <c r="K1517" s="169"/>
      <c r="L1517" s="169"/>
      <c r="M1517" s="169">
        <v>221.5</v>
      </c>
      <c r="N1517" s="169"/>
      <c r="O1517" s="169"/>
      <c r="P1517" s="169"/>
      <c r="Q1517" s="169"/>
      <c r="R1517" s="169"/>
      <c r="S1517" s="169"/>
      <c r="T1517" s="169"/>
      <c r="U1517" s="170"/>
      <c r="V1517" s="171"/>
    </row>
    <row r="1518" spans="1:22" ht="15" outlineLevel="1" collapsed="1" x14ac:dyDescent="0.25">
      <c r="A1518" s="186">
        <f>SUMIFS(МКД!$A$6:$A$389,МКД!$D$6:$D$389,Таблица1[[#This Row],[2]])</f>
        <v>263</v>
      </c>
      <c r="B1518" s="194">
        <f>SUMIFS(Таблица1[6],Таблица1[2],Таблица1[[#This Row],[2]])+SUMIFS(Таблица1[7],Таблица1[2],Таблица1[[#This Row],[2]])</f>
        <v>2106.6999999999998</v>
      </c>
      <c r="C1518" s="185" t="s">
        <v>490</v>
      </c>
      <c r="D1518" s="196"/>
      <c r="E1518" s="196"/>
      <c r="F1518" s="196"/>
      <c r="G1518" s="168"/>
      <c r="H1518" s="197"/>
      <c r="I1518" s="196"/>
      <c r="J1518" s="196"/>
      <c r="K1518" s="196"/>
      <c r="L1518" s="196"/>
      <c r="M1518" s="196"/>
      <c r="N1518" s="196"/>
      <c r="O1518" s="196"/>
      <c r="P1518" s="196"/>
      <c r="Q1518" s="196"/>
      <c r="R1518" s="196"/>
      <c r="S1518" s="196"/>
      <c r="T1518" s="196"/>
      <c r="U1518" s="196"/>
      <c r="V1518" s="198"/>
    </row>
    <row r="1519" spans="1:22" hidden="1" outlineLevel="2" x14ac:dyDescent="0.25">
      <c r="A1519" s="186">
        <f>SUMIFS(МКД!$A$6:$A$389,МКД!$D$6:$D$389,Таблица1[[#This Row],[2]])</f>
        <v>263</v>
      </c>
      <c r="B1519" s="170"/>
      <c r="C1519" s="182" t="s">
        <v>490</v>
      </c>
      <c r="D1519" s="167" t="s">
        <v>1445</v>
      </c>
      <c r="E1519" s="167" t="s">
        <v>1580</v>
      </c>
      <c r="F1519" s="167">
        <v>1</v>
      </c>
      <c r="G1519" s="168">
        <f>SUMIFS(Таблица1[[#This Row],[8]:[19]],$I$5:$T$5,"Выкуп")</f>
        <v>108.19999999999999</v>
      </c>
      <c r="H1519" s="168">
        <f>SUMIFS(Таблица1[[#This Row],[8]:[19]],$I$5:$T$5,"Аренда")</f>
        <v>0</v>
      </c>
      <c r="I1519" s="169">
        <v>105.1</v>
      </c>
      <c r="J1519" s="169"/>
      <c r="K1519" s="169">
        <v>0</v>
      </c>
      <c r="L1519" s="169"/>
      <c r="M1519" s="169"/>
      <c r="N1519" s="169"/>
      <c r="O1519" s="169"/>
      <c r="P1519" s="169"/>
      <c r="Q1519" s="169"/>
      <c r="R1519" s="169"/>
      <c r="S1519" s="169">
        <v>3.1</v>
      </c>
      <c r="T1519" s="169"/>
      <c r="U1519" s="170"/>
      <c r="V1519" s="171"/>
    </row>
    <row r="1520" spans="1:22" hidden="1" outlineLevel="2" x14ac:dyDescent="0.25">
      <c r="A1520" s="186">
        <f>SUMIFS(МКД!$A$6:$A$389,МКД!$D$6:$D$389,Таблица1[[#This Row],[2]])</f>
        <v>263</v>
      </c>
      <c r="B1520" s="170"/>
      <c r="C1520" s="182" t="s">
        <v>490</v>
      </c>
      <c r="D1520" s="167" t="s">
        <v>1872</v>
      </c>
      <c r="E1520" s="167" t="s">
        <v>1581</v>
      </c>
      <c r="F1520" s="167">
        <v>1</v>
      </c>
      <c r="G1520" s="168">
        <f>SUMIFS(Таблица1[[#This Row],[8]:[19]],$I$5:$T$5,"Выкуп")</f>
        <v>1170.3</v>
      </c>
      <c r="H1520" s="168">
        <f>SUMIFS(Таблица1[[#This Row],[8]:[19]],$I$5:$T$5,"Аренда")</f>
        <v>0</v>
      </c>
      <c r="I1520" s="169">
        <v>996.3</v>
      </c>
      <c r="J1520" s="169"/>
      <c r="K1520" s="169">
        <v>0</v>
      </c>
      <c r="L1520" s="169"/>
      <c r="M1520" s="169"/>
      <c r="N1520" s="169"/>
      <c r="O1520" s="169"/>
      <c r="P1520" s="169"/>
      <c r="Q1520" s="169"/>
      <c r="R1520" s="169"/>
      <c r="S1520" s="169">
        <v>174</v>
      </c>
      <c r="T1520" s="169"/>
      <c r="U1520" s="170"/>
      <c r="V1520" s="171"/>
    </row>
    <row r="1521" spans="1:22" hidden="1" outlineLevel="2" x14ac:dyDescent="0.25">
      <c r="A1521" s="186">
        <f>SUMIFS(МКД!$A$6:$A$389,МКД!$D$6:$D$389,Таблица1[[#This Row],[2]])</f>
        <v>263</v>
      </c>
      <c r="B1521" s="170"/>
      <c r="C1521" s="182" t="s">
        <v>490</v>
      </c>
      <c r="D1521" s="167" t="s">
        <v>1572</v>
      </c>
      <c r="E1521" s="167" t="s">
        <v>1582</v>
      </c>
      <c r="F1521" s="167">
        <v>1</v>
      </c>
      <c r="G1521" s="168">
        <f>SUMIFS(Таблица1[[#This Row],[8]:[19]],$I$5:$T$5,"Выкуп")</f>
        <v>751.1</v>
      </c>
      <c r="H1521" s="168">
        <f>SUMIFS(Таблица1[[#This Row],[8]:[19]],$I$5:$T$5,"Аренда")</f>
        <v>0</v>
      </c>
      <c r="I1521" s="169">
        <v>0</v>
      </c>
      <c r="J1521" s="169"/>
      <c r="K1521" s="169">
        <f>670.5+80.6</f>
        <v>751.1</v>
      </c>
      <c r="L1521" s="169"/>
      <c r="M1521" s="169"/>
      <c r="N1521" s="169"/>
      <c r="O1521" s="169"/>
      <c r="P1521" s="169"/>
      <c r="Q1521" s="169"/>
      <c r="R1521" s="169"/>
      <c r="S1521" s="169">
        <f>80.6*0</f>
        <v>0</v>
      </c>
      <c r="T1521" s="169"/>
      <c r="U1521" s="170"/>
      <c r="V1521" s="171"/>
    </row>
    <row r="1522" spans="1:22" hidden="1" outlineLevel="2" x14ac:dyDescent="0.25">
      <c r="A1522" s="186">
        <f>SUMIFS(МКД!$A$6:$A$389,МКД!$D$6:$D$389,Таблица1[[#This Row],[2]])</f>
        <v>263</v>
      </c>
      <c r="B1522" s="170"/>
      <c r="C1522" s="182" t="s">
        <v>490</v>
      </c>
      <c r="D1522" s="167" t="s">
        <v>1445</v>
      </c>
      <c r="E1522" s="167" t="s">
        <v>1579</v>
      </c>
      <c r="F1522" s="167">
        <v>1</v>
      </c>
      <c r="G1522" s="168">
        <f>SUMIFS(Таблица1[[#This Row],[8]:[19]],$I$5:$T$5,"Выкуп")</f>
        <v>77.099999999999994</v>
      </c>
      <c r="H1522" s="168">
        <f>SUMIFS(Таблица1[[#This Row],[8]:[19]],$I$5:$T$5,"Аренда")</f>
        <v>0</v>
      </c>
      <c r="I1522" s="169">
        <v>77.099999999999994</v>
      </c>
      <c r="J1522" s="169"/>
      <c r="K1522" s="169">
        <v>0</v>
      </c>
      <c r="L1522" s="169"/>
      <c r="M1522" s="169"/>
      <c r="N1522" s="169"/>
      <c r="O1522" s="169"/>
      <c r="P1522" s="169"/>
      <c r="Q1522" s="169"/>
      <c r="R1522" s="169"/>
      <c r="S1522" s="169"/>
      <c r="T1522" s="169"/>
      <c r="U1522" s="170"/>
      <c r="V1522" s="171"/>
    </row>
    <row r="1523" spans="1:22" ht="15" outlineLevel="1" collapsed="1" x14ac:dyDescent="0.25">
      <c r="A1523" s="186">
        <f>SUMIFS(МКД!$A$6:$A$389,МКД!$D$6:$D$389,Таблица1[[#This Row],[2]])</f>
        <v>279</v>
      </c>
      <c r="B1523" s="194">
        <f>SUMIFS(Таблица1[6],Таблица1[2],Таблица1[[#This Row],[2]])+SUMIFS(Таблица1[7],Таблица1[2],Таблица1[[#This Row],[2]])</f>
        <v>73.3</v>
      </c>
      <c r="C1523" s="185" t="s">
        <v>610</v>
      </c>
      <c r="D1523" s="196"/>
      <c r="E1523" s="196"/>
      <c r="F1523" s="196"/>
      <c r="G1523" s="168"/>
      <c r="H1523" s="197"/>
      <c r="I1523" s="196"/>
      <c r="J1523" s="196"/>
      <c r="K1523" s="196"/>
      <c r="L1523" s="196"/>
      <c r="M1523" s="196"/>
      <c r="N1523" s="196"/>
      <c r="O1523" s="196"/>
      <c r="P1523" s="196"/>
      <c r="Q1523" s="196"/>
      <c r="R1523" s="196"/>
      <c r="S1523" s="196"/>
      <c r="T1523" s="196"/>
      <c r="U1523" s="196"/>
      <c r="V1523" s="198"/>
    </row>
    <row r="1524" spans="1:22" hidden="1" outlineLevel="2" x14ac:dyDescent="0.25">
      <c r="A1524" s="186">
        <f>SUMIFS(МКД!$A$6:$A$389,МКД!$D$6:$D$389,Таблица1[[#This Row],[2]])</f>
        <v>279</v>
      </c>
      <c r="B1524" s="170"/>
      <c r="C1524" s="182" t="s">
        <v>610</v>
      </c>
      <c r="D1524" s="167" t="s">
        <v>326</v>
      </c>
      <c r="E1524" s="167" t="s">
        <v>743</v>
      </c>
      <c r="F1524" s="167">
        <v>1</v>
      </c>
      <c r="G1524" s="168">
        <f>SUMIFS(Таблица1[[#This Row],[8]:[19]],$I$5:$T$5,"Выкуп")</f>
        <v>73.3</v>
      </c>
      <c r="H1524" s="168">
        <f>SUMIFS(Таблица1[[#This Row],[8]:[19]],$I$5:$T$5,"Аренда")</f>
        <v>0</v>
      </c>
      <c r="I1524" s="169">
        <v>73.3</v>
      </c>
      <c r="J1524" s="169"/>
      <c r="K1524" s="169"/>
      <c r="L1524" s="169"/>
      <c r="M1524" s="169"/>
      <c r="N1524" s="169"/>
      <c r="O1524" s="169"/>
      <c r="P1524" s="169"/>
      <c r="Q1524" s="169"/>
      <c r="R1524" s="169"/>
      <c r="S1524" s="169"/>
      <c r="T1524" s="169"/>
      <c r="U1524" s="170"/>
      <c r="V1524" s="171"/>
    </row>
    <row r="1525" spans="1:22" ht="15" outlineLevel="1" collapsed="1" x14ac:dyDescent="0.25">
      <c r="A1525" s="186">
        <f>SUMIFS(МКД!$A$6:$A$389,МКД!$D$6:$D$389,Таблица1[[#This Row],[2]])</f>
        <v>284</v>
      </c>
      <c r="B1525" s="194">
        <f>SUMIFS(Таблица1[6],Таблица1[2],Таблица1[[#This Row],[2]])+SUMIFS(Таблица1[7],Таблица1[2],Таблица1[[#This Row],[2]])</f>
        <v>3014.9</v>
      </c>
      <c r="C1525" s="185" t="s">
        <v>626</v>
      </c>
      <c r="D1525" s="196"/>
      <c r="E1525" s="196"/>
      <c r="F1525" s="196"/>
      <c r="G1525" s="168"/>
      <c r="H1525" s="197"/>
      <c r="I1525" s="196"/>
      <c r="J1525" s="196"/>
      <c r="K1525" s="196"/>
      <c r="L1525" s="196"/>
      <c r="M1525" s="196"/>
      <c r="N1525" s="196"/>
      <c r="O1525" s="196"/>
      <c r="P1525" s="196"/>
      <c r="Q1525" s="196"/>
      <c r="R1525" s="196"/>
      <c r="S1525" s="196"/>
      <c r="T1525" s="196"/>
      <c r="U1525" s="196"/>
      <c r="V1525" s="198"/>
    </row>
    <row r="1526" spans="1:22" hidden="1" outlineLevel="2" x14ac:dyDescent="0.25">
      <c r="A1526" s="186">
        <f>SUMIFS(МКД!$A$6:$A$389,МКД!$D$6:$D$389,Таблица1[[#This Row],[2]])</f>
        <v>284</v>
      </c>
      <c r="B1526" s="168"/>
      <c r="C1526" s="182" t="s">
        <v>626</v>
      </c>
      <c r="D1526" s="167" t="s">
        <v>73</v>
      </c>
      <c r="E1526" s="167" t="s">
        <v>1891</v>
      </c>
      <c r="F1526" s="167">
        <v>1</v>
      </c>
      <c r="G1526" s="168">
        <f>SUMIFS(Таблица1[[#This Row],[8]:[19]],$I$5:$T$5,"Выкуп")</f>
        <v>201.9</v>
      </c>
      <c r="H1526" s="168">
        <f>SUMIFS(Таблица1[[#This Row],[8]:[19]],$I$5:$T$5,"Аренда")</f>
        <v>0</v>
      </c>
      <c r="I1526" s="169"/>
      <c r="J1526" s="169"/>
      <c r="K1526" s="169">
        <v>201.9</v>
      </c>
      <c r="L1526" s="169"/>
      <c r="M1526" s="169"/>
      <c r="N1526" s="169"/>
      <c r="O1526" s="169"/>
      <c r="P1526" s="169"/>
      <c r="Q1526" s="169"/>
      <c r="R1526" s="169"/>
      <c r="S1526" s="169"/>
      <c r="T1526" s="169"/>
      <c r="U1526" s="170"/>
      <c r="V1526" s="171"/>
    </row>
    <row r="1527" spans="1:22" hidden="1" outlineLevel="2" x14ac:dyDescent="0.25">
      <c r="A1527" s="186">
        <f>SUMIFS(МКД!$A$6:$A$389,МКД!$D$6:$D$389,Таблица1[[#This Row],[2]])</f>
        <v>284</v>
      </c>
      <c r="B1527" s="168"/>
      <c r="C1527" s="182" t="s">
        <v>626</v>
      </c>
      <c r="D1527" s="167" t="s">
        <v>844</v>
      </c>
      <c r="E1527" s="167" t="s">
        <v>1892</v>
      </c>
      <c r="F1527" s="167">
        <v>2</v>
      </c>
      <c r="G1527" s="168">
        <f>SUMIFS(Таблица1[[#This Row],[8]:[19]],$I$5:$T$5,"Выкуп")</f>
        <v>202</v>
      </c>
      <c r="H1527" s="168">
        <f>SUMIFS(Таблица1[[#This Row],[8]:[19]],$I$5:$T$5,"Аренда")</f>
        <v>0</v>
      </c>
      <c r="I1527" s="169"/>
      <c r="J1527" s="169"/>
      <c r="K1527" s="169">
        <v>202</v>
      </c>
      <c r="L1527" s="169"/>
      <c r="M1527" s="169"/>
      <c r="N1527" s="169"/>
      <c r="O1527" s="169"/>
      <c r="P1527" s="169"/>
      <c r="Q1527" s="169"/>
      <c r="R1527" s="169"/>
      <c r="S1527" s="169"/>
      <c r="T1527" s="169"/>
      <c r="U1527" s="170"/>
      <c r="V1527" s="171"/>
    </row>
    <row r="1528" spans="1:22" hidden="1" outlineLevel="2" x14ac:dyDescent="0.25">
      <c r="A1528" s="186">
        <f>SUMIFS(МКД!$A$6:$A$389,МКД!$D$6:$D$389,Таблица1[[#This Row],[2]])</f>
        <v>284</v>
      </c>
      <c r="B1528" s="168"/>
      <c r="C1528" s="182" t="s">
        <v>626</v>
      </c>
      <c r="D1528" s="167" t="s">
        <v>1694</v>
      </c>
      <c r="E1528" s="167" t="s">
        <v>1695</v>
      </c>
      <c r="F1528" s="167">
        <v>2</v>
      </c>
      <c r="G1528" s="168">
        <f>SUMIFS(Таблица1[[#This Row],[8]:[19]],$I$5:$T$5,"Выкуп")</f>
        <v>128.4</v>
      </c>
      <c r="H1528" s="168">
        <f>SUMIFS(Таблица1[[#This Row],[8]:[19]],$I$5:$T$5,"Аренда")</f>
        <v>0</v>
      </c>
      <c r="I1528" s="169"/>
      <c r="J1528" s="169"/>
      <c r="K1528" s="169">
        <v>128.4</v>
      </c>
      <c r="L1528" s="169"/>
      <c r="M1528" s="169"/>
      <c r="N1528" s="169"/>
      <c r="O1528" s="169"/>
      <c r="P1528" s="169"/>
      <c r="Q1528" s="169"/>
      <c r="R1528" s="169"/>
      <c r="S1528" s="169"/>
      <c r="T1528" s="169"/>
      <c r="U1528" s="170"/>
      <c r="V1528" s="171"/>
    </row>
    <row r="1529" spans="1:22" hidden="1" outlineLevel="2" x14ac:dyDescent="0.25">
      <c r="A1529" s="186">
        <f>SUMIFS(МКД!$A$6:$A$389,МКД!$D$6:$D$389,Таблица1[[#This Row],[2]])</f>
        <v>284</v>
      </c>
      <c r="B1529" s="168"/>
      <c r="C1529" s="182" t="s">
        <v>626</v>
      </c>
      <c r="D1529" s="167" t="s">
        <v>343</v>
      </c>
      <c r="E1529" s="167" t="s">
        <v>959</v>
      </c>
      <c r="F1529" s="167">
        <v>3</v>
      </c>
      <c r="G1529" s="168">
        <f>SUMIFS(Таблица1[[#This Row],[8]:[19]],$I$5:$T$5,"Выкуп")</f>
        <v>489.3</v>
      </c>
      <c r="H1529" s="168">
        <f>SUMIFS(Таблица1[[#This Row],[8]:[19]],$I$5:$T$5,"Аренда")</f>
        <v>0</v>
      </c>
      <c r="I1529" s="169"/>
      <c r="J1529" s="169"/>
      <c r="K1529" s="169">
        <v>489.3</v>
      </c>
      <c r="L1529" s="169"/>
      <c r="M1529" s="169"/>
      <c r="N1529" s="169"/>
      <c r="O1529" s="169"/>
      <c r="P1529" s="169"/>
      <c r="Q1529" s="169"/>
      <c r="R1529" s="169"/>
      <c r="S1529" s="169"/>
      <c r="T1529" s="169"/>
      <c r="U1529" s="170"/>
      <c r="V1529" s="171"/>
    </row>
    <row r="1530" spans="1:22" hidden="1" outlineLevel="2" x14ac:dyDescent="0.25">
      <c r="A1530" s="186">
        <f>SUMIFS(МКД!$A$6:$A$389,МКД!$D$6:$D$389,Таблица1[[#This Row],[2]])</f>
        <v>284</v>
      </c>
      <c r="B1530" s="168"/>
      <c r="C1530" s="182" t="s">
        <v>626</v>
      </c>
      <c r="D1530" s="167" t="s">
        <v>328</v>
      </c>
      <c r="E1530" s="167" t="s">
        <v>329</v>
      </c>
      <c r="F1530" s="167">
        <v>2.2999999999999998</v>
      </c>
      <c r="G1530" s="168">
        <f>SUMIFS(Таблица1[[#This Row],[8]:[19]],$I$5:$T$5,"Выкуп")</f>
        <v>425.4</v>
      </c>
      <c r="H1530" s="168">
        <f>SUMIFS(Таблица1[[#This Row],[8]:[19]],$I$5:$T$5,"Аренда")</f>
        <v>0</v>
      </c>
      <c r="I1530" s="169"/>
      <c r="J1530" s="169"/>
      <c r="K1530" s="169">
        <v>425.4</v>
      </c>
      <c r="L1530" s="169"/>
      <c r="M1530" s="169"/>
      <c r="N1530" s="169"/>
      <c r="O1530" s="169"/>
      <c r="P1530" s="169"/>
      <c r="Q1530" s="169"/>
      <c r="R1530" s="169"/>
      <c r="S1530" s="169"/>
      <c r="T1530" s="169"/>
      <c r="U1530" s="170"/>
      <c r="V1530" s="171"/>
    </row>
    <row r="1531" spans="1:22" hidden="1" outlineLevel="2" x14ac:dyDescent="0.25">
      <c r="A1531" s="186">
        <f>SUMIFS(МКД!$A$6:$A$389,МКД!$D$6:$D$389,Таблица1[[#This Row],[2]])</f>
        <v>284</v>
      </c>
      <c r="B1531" s="168"/>
      <c r="C1531" s="182" t="s">
        <v>626</v>
      </c>
      <c r="D1531" s="167" t="s">
        <v>2649</v>
      </c>
      <c r="E1531" s="167" t="s">
        <v>330</v>
      </c>
      <c r="F1531" s="167">
        <v>3</v>
      </c>
      <c r="G1531" s="168">
        <f>SUMIFS(Таблица1[[#This Row],[8]:[19]],$I$5:$T$5,"Выкуп")</f>
        <v>191.3</v>
      </c>
      <c r="H1531" s="168">
        <f>SUMIFS(Таблица1[[#This Row],[8]:[19]],$I$5:$T$5,"Аренда")</f>
        <v>0</v>
      </c>
      <c r="I1531" s="169"/>
      <c r="J1531" s="169"/>
      <c r="K1531" s="169">
        <v>191.3</v>
      </c>
      <c r="L1531" s="169"/>
      <c r="M1531" s="169"/>
      <c r="N1531" s="169"/>
      <c r="O1531" s="169"/>
      <c r="P1531" s="169"/>
      <c r="Q1531" s="169"/>
      <c r="R1531" s="169"/>
      <c r="S1531" s="169"/>
      <c r="T1531" s="169"/>
      <c r="U1531" s="170"/>
      <c r="V1531" s="171"/>
    </row>
    <row r="1532" spans="1:22" hidden="1" outlineLevel="2" x14ac:dyDescent="0.25">
      <c r="A1532" s="186">
        <f>SUMIFS(МКД!$A$6:$A$389,МКД!$D$6:$D$389,Таблица1[[#This Row],[2]])</f>
        <v>284</v>
      </c>
      <c r="B1532" s="168"/>
      <c r="C1532" s="182" t="s">
        <v>626</v>
      </c>
      <c r="D1532" s="167" t="s">
        <v>1848</v>
      </c>
      <c r="E1532" s="167" t="s">
        <v>1971</v>
      </c>
      <c r="F1532" s="167">
        <v>1</v>
      </c>
      <c r="G1532" s="168">
        <f>SUMIFS(Таблица1[[#This Row],[8]:[19]],$I$5:$T$5,"Выкуп")</f>
        <v>57.9</v>
      </c>
      <c r="H1532" s="168">
        <f>SUMIFS(Таблица1[[#This Row],[8]:[19]],$I$5:$T$5,"Аренда")</f>
        <v>0</v>
      </c>
      <c r="I1532" s="169">
        <v>57.9</v>
      </c>
      <c r="J1532" s="169"/>
      <c r="K1532" s="169"/>
      <c r="L1532" s="169"/>
      <c r="M1532" s="169"/>
      <c r="N1532" s="169"/>
      <c r="O1532" s="169"/>
      <c r="P1532" s="169"/>
      <c r="Q1532" s="169"/>
      <c r="R1532" s="169"/>
      <c r="S1532" s="169"/>
      <c r="T1532" s="169"/>
      <c r="U1532" s="170"/>
      <c r="V1532" s="171"/>
    </row>
    <row r="1533" spans="1:22" hidden="1" outlineLevel="2" x14ac:dyDescent="0.25">
      <c r="A1533" s="186">
        <f>SUMIFS(МКД!$A$6:$A$389,МКД!$D$6:$D$389,Таблица1[[#This Row],[2]])</f>
        <v>284</v>
      </c>
      <c r="B1533" s="168"/>
      <c r="C1533" s="182" t="s">
        <v>626</v>
      </c>
      <c r="D1533" s="167" t="s">
        <v>2822</v>
      </c>
      <c r="E1533" s="167" t="s">
        <v>2821</v>
      </c>
      <c r="F1533" s="167">
        <v>1</v>
      </c>
      <c r="G1533" s="168">
        <f>SUMIFS(Таблица1[[#This Row],[8]:[19]],$I$5:$T$5,"Выкуп")</f>
        <v>119.1</v>
      </c>
      <c r="H1533" s="168">
        <f>SUMIFS(Таблица1[[#This Row],[8]:[19]],$I$5:$T$5,"Аренда")</f>
        <v>0</v>
      </c>
      <c r="I1533" s="169">
        <v>119.1</v>
      </c>
      <c r="J1533" s="169"/>
      <c r="K1533" s="169"/>
      <c r="L1533" s="169"/>
      <c r="M1533" s="169"/>
      <c r="N1533" s="169"/>
      <c r="O1533" s="169"/>
      <c r="P1533" s="169"/>
      <c r="Q1533" s="169"/>
      <c r="R1533" s="169"/>
      <c r="S1533" s="169"/>
      <c r="T1533" s="169"/>
      <c r="U1533" s="170"/>
      <c r="V1533" s="171"/>
    </row>
    <row r="1534" spans="1:22" hidden="1" outlineLevel="2" x14ac:dyDescent="0.25">
      <c r="A1534" s="186">
        <f>SUMIFS(МКД!$A$6:$A$389,МКД!$D$6:$D$389,Таблица1[[#This Row],[2]])</f>
        <v>284</v>
      </c>
      <c r="B1534" s="168"/>
      <c r="C1534" s="182" t="s">
        <v>626</v>
      </c>
      <c r="D1534" s="167" t="s">
        <v>2822</v>
      </c>
      <c r="E1534" s="167" t="s">
        <v>2823</v>
      </c>
      <c r="F1534" s="167">
        <v>1</v>
      </c>
      <c r="G1534" s="168">
        <f>SUMIFS(Таблица1[[#This Row],[8]:[19]],$I$5:$T$5,"Выкуп")</f>
        <v>119.3</v>
      </c>
      <c r="H1534" s="168">
        <f>SUMIFS(Таблица1[[#This Row],[8]:[19]],$I$5:$T$5,"Аренда")</f>
        <v>0</v>
      </c>
      <c r="I1534" s="169">
        <v>119.3</v>
      </c>
      <c r="J1534" s="169"/>
      <c r="K1534" s="169"/>
      <c r="L1534" s="169"/>
      <c r="M1534" s="169"/>
      <c r="N1534" s="169"/>
      <c r="O1534" s="169"/>
      <c r="P1534" s="169"/>
      <c r="Q1534" s="169"/>
      <c r="R1534" s="169"/>
      <c r="S1534" s="169"/>
      <c r="T1534" s="169"/>
      <c r="U1534" s="170"/>
      <c r="V1534" s="171"/>
    </row>
    <row r="1535" spans="1:22" hidden="1" outlineLevel="2" x14ac:dyDescent="0.25">
      <c r="A1535" s="186">
        <f>SUMIFS(МКД!$A$6:$A$389,МКД!$D$6:$D$389,Таблица1[[#This Row],[2]])</f>
        <v>284</v>
      </c>
      <c r="B1535" s="168"/>
      <c r="C1535" s="182" t="s">
        <v>626</v>
      </c>
      <c r="D1535" s="167" t="s">
        <v>327</v>
      </c>
      <c r="E1535" s="167" t="s">
        <v>1691</v>
      </c>
      <c r="F1535" s="167">
        <v>1</v>
      </c>
      <c r="G1535" s="168">
        <f>SUMIFS(Таблица1[[#This Row],[8]:[19]],$I$5:$T$5,"Выкуп")</f>
        <v>0</v>
      </c>
      <c r="H1535" s="168">
        <f>SUMIFS(Таблица1[[#This Row],[8]:[19]],$I$5:$T$5,"Аренда")</f>
        <v>16</v>
      </c>
      <c r="I1535" s="169"/>
      <c r="J1535" s="169"/>
      <c r="K1535" s="169"/>
      <c r="L1535" s="169"/>
      <c r="M1535" s="169"/>
      <c r="N1535" s="169"/>
      <c r="O1535" s="167"/>
      <c r="P1535" s="169">
        <v>16</v>
      </c>
      <c r="Q1535" s="169"/>
      <c r="R1535" s="169"/>
      <c r="S1535" s="169"/>
      <c r="T1535" s="169"/>
      <c r="U1535" s="170"/>
      <c r="V1535" s="171"/>
    </row>
    <row r="1536" spans="1:22" hidden="1" outlineLevel="2" x14ac:dyDescent="0.25">
      <c r="A1536" s="186">
        <f>SUMIFS(МКД!$A$6:$A$389,МКД!$D$6:$D$389,Таблица1[[#This Row],[2]])</f>
        <v>284</v>
      </c>
      <c r="B1536" s="168"/>
      <c r="C1536" s="182" t="s">
        <v>626</v>
      </c>
      <c r="D1536" s="167" t="s">
        <v>1693</v>
      </c>
      <c r="E1536" s="167" t="s">
        <v>1692</v>
      </c>
      <c r="F1536" s="167">
        <v>1</v>
      </c>
      <c r="G1536" s="168">
        <f>SUMIFS(Таблица1[[#This Row],[8]:[19]],$I$5:$T$5,"Выкуп")</f>
        <v>0</v>
      </c>
      <c r="H1536" s="168">
        <f>SUMIFS(Таблица1[[#This Row],[8]:[19]],$I$5:$T$5,"Аренда")</f>
        <v>12.8</v>
      </c>
      <c r="I1536" s="169"/>
      <c r="J1536" s="169"/>
      <c r="K1536" s="169"/>
      <c r="L1536" s="169"/>
      <c r="M1536" s="169"/>
      <c r="N1536" s="169"/>
      <c r="O1536" s="167"/>
      <c r="P1536" s="169">
        <v>12.8</v>
      </c>
      <c r="Q1536" s="169"/>
      <c r="R1536" s="169"/>
      <c r="S1536" s="169"/>
      <c r="T1536" s="169"/>
      <c r="U1536" s="170"/>
      <c r="V1536" s="171"/>
    </row>
    <row r="1537" spans="1:22" hidden="1" outlineLevel="2" x14ac:dyDescent="0.25">
      <c r="A1537" s="186">
        <f>SUMIFS(МКД!$A$6:$A$389,МКД!$D$6:$D$389,Таблица1[[#This Row],[2]])</f>
        <v>284</v>
      </c>
      <c r="B1537" s="170"/>
      <c r="C1537" s="182" t="s">
        <v>626</v>
      </c>
      <c r="D1537" s="167" t="s">
        <v>1593</v>
      </c>
      <c r="E1537" s="273" t="s">
        <v>1764</v>
      </c>
      <c r="F1537" s="167">
        <v>2</v>
      </c>
      <c r="G1537" s="168">
        <f>SUMIFS(Таблица1[[#This Row],[8]:[19]],$I$5:$T$5,"Выкуп")</f>
        <v>39.1</v>
      </c>
      <c r="H1537" s="168">
        <f>SUMIFS(Таблица1[[#This Row],[8]:[19]],$I$5:$T$5,"Аренда")</f>
        <v>0</v>
      </c>
      <c r="I1537" s="169"/>
      <c r="J1537" s="169"/>
      <c r="K1537" s="169">
        <v>39.1</v>
      </c>
      <c r="L1537" s="169"/>
      <c r="M1537" s="169"/>
      <c r="N1537" s="169"/>
      <c r="O1537" s="169"/>
      <c r="P1537" s="169"/>
      <c r="Q1537" s="169"/>
      <c r="R1537" s="169"/>
      <c r="S1537" s="169"/>
      <c r="T1537" s="169"/>
      <c r="U1537" s="170"/>
      <c r="V1537" s="171"/>
    </row>
    <row r="1538" spans="1:22" hidden="1" outlineLevel="2" x14ac:dyDescent="0.25">
      <c r="A1538" s="186">
        <f>SUMIFS(МКД!$A$6:$A$389,МКД!$D$6:$D$389,Таблица1[[#This Row],[2]])</f>
        <v>284</v>
      </c>
      <c r="B1538" s="170"/>
      <c r="C1538" s="182" t="s">
        <v>626</v>
      </c>
      <c r="D1538" s="167" t="s">
        <v>1053</v>
      </c>
      <c r="E1538" s="167" t="s">
        <v>99</v>
      </c>
      <c r="F1538" s="167">
        <v>2</v>
      </c>
      <c r="G1538" s="168">
        <f>SUMIFS(Таблица1[[#This Row],[8]:[19]],$I$5:$T$5,"Выкуп")</f>
        <v>139.6</v>
      </c>
      <c r="H1538" s="168">
        <f>SUMIFS(Таблица1[[#This Row],[8]:[19]],$I$5:$T$5,"Аренда")</f>
        <v>0</v>
      </c>
      <c r="I1538" s="169"/>
      <c r="J1538" s="169"/>
      <c r="K1538" s="169">
        <v>139.6</v>
      </c>
      <c r="L1538" s="169"/>
      <c r="M1538" s="169"/>
      <c r="N1538" s="169"/>
      <c r="O1538" s="169"/>
      <c r="P1538" s="169"/>
      <c r="Q1538" s="169"/>
      <c r="R1538" s="169"/>
      <c r="S1538" s="169"/>
      <c r="T1538" s="169"/>
      <c r="U1538" s="170"/>
      <c r="V1538" s="171"/>
    </row>
    <row r="1539" spans="1:22" hidden="1" outlineLevel="2" x14ac:dyDescent="0.25">
      <c r="A1539" s="186">
        <f>SUMIFS(МКД!$A$6:$A$389,МКД!$D$6:$D$389,Таблица1[[#This Row],[2]])</f>
        <v>284</v>
      </c>
      <c r="B1539" s="168"/>
      <c r="C1539" s="182" t="s">
        <v>626</v>
      </c>
      <c r="D1539" s="167" t="s">
        <v>1547</v>
      </c>
      <c r="E1539" s="167" t="s">
        <v>331</v>
      </c>
      <c r="F1539" s="167">
        <v>1</v>
      </c>
      <c r="G1539" s="168">
        <f>SUMIFS(Таблица1[[#This Row],[8]:[19]],$I$5:$T$5,"Выкуп")</f>
        <v>113.5</v>
      </c>
      <c r="H1539" s="168">
        <f>SUMIFS(Таблица1[[#This Row],[8]:[19]],$I$5:$T$5,"Аренда")</f>
        <v>0</v>
      </c>
      <c r="I1539" s="169"/>
      <c r="J1539" s="169"/>
      <c r="K1539" s="169">
        <f>59+54.5</f>
        <v>113.5</v>
      </c>
      <c r="L1539" s="169"/>
      <c r="M1539" s="169"/>
      <c r="N1539" s="169"/>
      <c r="O1539" s="169"/>
      <c r="P1539" s="169"/>
      <c r="Q1539" s="169"/>
      <c r="R1539" s="169"/>
      <c r="S1539" s="169"/>
      <c r="T1539" s="169"/>
      <c r="U1539" s="170"/>
      <c r="V1539" s="171"/>
    </row>
    <row r="1540" spans="1:22" hidden="1" outlineLevel="2" x14ac:dyDescent="0.25">
      <c r="A1540" s="186">
        <f>SUMIFS(МКД!$A$6:$A$389,МКД!$D$6:$D$389,Таблица1[[#This Row],[2]])</f>
        <v>284</v>
      </c>
      <c r="B1540" s="168"/>
      <c r="C1540" s="182" t="s">
        <v>626</v>
      </c>
      <c r="D1540" s="167" t="s">
        <v>189</v>
      </c>
      <c r="E1540" s="167" t="s">
        <v>122</v>
      </c>
      <c r="F1540" s="167"/>
      <c r="G1540" s="168">
        <f>SUMIFS(Таблица1[[#This Row],[8]:[19]],$I$5:$T$5,"Выкуп")</f>
        <v>0</v>
      </c>
      <c r="H1540" s="168">
        <f>SUMIFS(Таблица1[[#This Row],[8]:[19]],$I$5:$T$5,"Аренда")</f>
        <v>59.5</v>
      </c>
      <c r="I1540" s="169"/>
      <c r="J1540" s="169"/>
      <c r="K1540" s="167"/>
      <c r="L1540" s="169">
        <v>59.5</v>
      </c>
      <c r="M1540" s="169"/>
      <c r="N1540" s="169"/>
      <c r="O1540" s="169"/>
      <c r="P1540" s="169"/>
      <c r="Q1540" s="169"/>
      <c r="R1540" s="169"/>
      <c r="S1540" s="169"/>
      <c r="T1540" s="169"/>
      <c r="U1540" s="170"/>
      <c r="V1540" s="171"/>
    </row>
    <row r="1541" spans="1:22" hidden="1" outlineLevel="2" x14ac:dyDescent="0.25">
      <c r="A1541" s="186">
        <f>SUMIFS(МКД!$A$6:$A$389,МКД!$D$6:$D$389,Таблица1[[#This Row],[2]])</f>
        <v>284</v>
      </c>
      <c r="B1541" s="168"/>
      <c r="C1541" s="182" t="s">
        <v>626</v>
      </c>
      <c r="D1541" s="167" t="s">
        <v>189</v>
      </c>
      <c r="E1541" s="167" t="s">
        <v>112</v>
      </c>
      <c r="F1541" s="167"/>
      <c r="G1541" s="168">
        <f>SUMIFS(Таблица1[[#This Row],[8]:[19]],$I$5:$T$5,"Выкуп")</f>
        <v>0</v>
      </c>
      <c r="H1541" s="168">
        <f>SUMIFS(Таблица1[[#This Row],[8]:[19]],$I$5:$T$5,"Аренда")</f>
        <v>53.6</v>
      </c>
      <c r="I1541" s="169"/>
      <c r="J1541" s="169"/>
      <c r="K1541" s="167"/>
      <c r="L1541" s="169">
        <v>53.6</v>
      </c>
      <c r="M1541" s="169"/>
      <c r="N1541" s="169"/>
      <c r="O1541" s="169"/>
      <c r="P1541" s="169"/>
      <c r="Q1541" s="169"/>
      <c r="R1541" s="169"/>
      <c r="S1541" s="169"/>
      <c r="T1541" s="169"/>
      <c r="U1541" s="170"/>
      <c r="V1541" s="171"/>
    </row>
    <row r="1542" spans="1:22" hidden="1" outlineLevel="2" x14ac:dyDescent="0.25">
      <c r="A1542" s="186">
        <f>SUMIFS(МКД!$A$6:$A$389,МКД!$D$6:$D$389,Таблица1[[#This Row],[2]])</f>
        <v>284</v>
      </c>
      <c r="B1542" s="168"/>
      <c r="C1542" s="182" t="s">
        <v>626</v>
      </c>
      <c r="D1542" s="167" t="s">
        <v>1053</v>
      </c>
      <c r="E1542" s="167" t="s">
        <v>2752</v>
      </c>
      <c r="F1542" s="167"/>
      <c r="G1542" s="168">
        <f>SUMIFS(Таблица1[[#This Row],[8]:[19]],$I$5:$T$5,"Выкуп")</f>
        <v>386.4</v>
      </c>
      <c r="H1542" s="168">
        <f>SUMIFS(Таблица1[[#This Row],[8]:[19]],$I$5:$T$5,"Аренда")</f>
        <v>0</v>
      </c>
      <c r="I1542" s="169"/>
      <c r="J1542" s="169"/>
      <c r="K1542" s="167"/>
      <c r="L1542" s="169"/>
      <c r="M1542" s="278">
        <v>386.4</v>
      </c>
      <c r="N1542" s="169"/>
      <c r="O1542" s="169"/>
      <c r="P1542" s="169"/>
      <c r="Q1542" s="169"/>
      <c r="R1542" s="169"/>
      <c r="S1542" s="169"/>
      <c r="T1542" s="169"/>
      <c r="U1542" s="170"/>
      <c r="V1542" s="171"/>
    </row>
    <row r="1543" spans="1:22" hidden="1" outlineLevel="2" x14ac:dyDescent="0.25">
      <c r="A1543" s="186">
        <f>SUMIFS(МКД!$A$6:$A$389,МКД!$D$6:$D$389,Таблица1[[#This Row],[2]])</f>
        <v>284</v>
      </c>
      <c r="B1543" s="168"/>
      <c r="C1543" s="182" t="s">
        <v>626</v>
      </c>
      <c r="D1543" s="167" t="s">
        <v>1394</v>
      </c>
      <c r="E1543" s="167" t="s">
        <v>2752</v>
      </c>
      <c r="F1543" s="167"/>
      <c r="G1543" s="168">
        <f>SUMIFS(Таблица1[[#This Row],[8]:[19]],$I$5:$T$5,"Выкуп")</f>
        <v>259.8</v>
      </c>
      <c r="H1543" s="168">
        <f>SUMIFS(Таблица1[[#This Row],[8]:[19]],$I$5:$T$5,"Аренда")</f>
        <v>0</v>
      </c>
      <c r="I1543" s="169"/>
      <c r="J1543" s="169"/>
      <c r="K1543" s="167"/>
      <c r="L1543" s="169"/>
      <c r="M1543" s="278">
        <v>259.8</v>
      </c>
      <c r="N1543" s="169"/>
      <c r="O1543" s="169"/>
      <c r="P1543" s="169"/>
      <c r="Q1543" s="169"/>
      <c r="R1543" s="169"/>
      <c r="S1543" s="169"/>
      <c r="T1543" s="169"/>
      <c r="U1543" s="170"/>
      <c r="V1543" s="171"/>
    </row>
    <row r="1544" spans="1:22" ht="15" outlineLevel="1" collapsed="1" x14ac:dyDescent="0.25">
      <c r="A1544" s="186">
        <f>SUMIFS(МКД!$A$6:$A$389,МКД!$D$6:$D$389,Таблица1[[#This Row],[2]])</f>
        <v>289</v>
      </c>
      <c r="B1544" s="194">
        <f>SUMIFS(Таблица1[6],Таблица1[2],Таблица1[[#This Row],[2]])+SUMIFS(Таблица1[7],Таблица1[2],Таблица1[[#This Row],[2]])</f>
        <v>0</v>
      </c>
      <c r="C1544" s="185" t="s">
        <v>627</v>
      </c>
      <c r="D1544" s="196"/>
      <c r="E1544" s="196"/>
      <c r="F1544" s="196"/>
      <c r="G1544" s="168"/>
      <c r="H1544" s="197"/>
      <c r="I1544" s="196"/>
      <c r="J1544" s="196"/>
      <c r="K1544" s="196"/>
      <c r="L1544" s="196"/>
      <c r="M1544" s="196"/>
      <c r="N1544" s="196"/>
      <c r="O1544" s="196"/>
      <c r="P1544" s="196"/>
      <c r="Q1544" s="196"/>
      <c r="R1544" s="196"/>
      <c r="S1544" s="196"/>
      <c r="T1544" s="196"/>
      <c r="U1544" s="196"/>
      <c r="V1544" s="198"/>
    </row>
    <row r="1545" spans="1:22" ht="15" hidden="1" outlineLevel="2" x14ac:dyDescent="0.25">
      <c r="A1545" s="186">
        <f>SUMIFS(МКД!$A$6:$A$389,МКД!$D$6:$D$389,Таблица1[[#This Row],[2]])</f>
        <v>289</v>
      </c>
      <c r="B1545" s="196"/>
      <c r="C1545" s="182" t="s">
        <v>627</v>
      </c>
      <c r="D1545" s="196"/>
      <c r="E1545" s="196"/>
      <c r="F1545" s="196"/>
      <c r="G1545" s="168">
        <f>SUMIFS(Таблица1[[#This Row],[8]:[19]],$I$5:$T$5,"Выкуп")</f>
        <v>0</v>
      </c>
      <c r="H1545" s="168">
        <f>SUMIFS(Таблица1[[#This Row],[8]:[19]],$I$5:$T$5,"Аренда")</f>
        <v>0</v>
      </c>
      <c r="I1545" s="196"/>
      <c r="J1545" s="196"/>
      <c r="K1545" s="196"/>
      <c r="L1545" s="196"/>
      <c r="M1545" s="196"/>
      <c r="N1545" s="196"/>
      <c r="O1545" s="196"/>
      <c r="P1545" s="196"/>
      <c r="Q1545" s="196"/>
      <c r="R1545" s="196"/>
      <c r="S1545" s="196"/>
      <c r="T1545" s="196"/>
      <c r="U1545" s="196"/>
      <c r="V1545" s="198"/>
    </row>
    <row r="1546" spans="1:22" ht="15" outlineLevel="1" collapsed="1" x14ac:dyDescent="0.25">
      <c r="A1546" s="186">
        <f>SUMIFS(МКД!$A$6:$A$389,МКД!$D$6:$D$389,Таблица1[[#This Row],[2]])</f>
        <v>290</v>
      </c>
      <c r="B1546" s="194">
        <f>SUMIFS(Таблица1[6],Таблица1[2],Таблица1[[#This Row],[2]])+SUMIFS(Таблица1[7],Таблица1[2],Таблица1[[#This Row],[2]])</f>
        <v>290.10000000000002</v>
      </c>
      <c r="C1546" s="185" t="s">
        <v>628</v>
      </c>
      <c r="D1546" s="196"/>
      <c r="E1546" s="196"/>
      <c r="F1546" s="196"/>
      <c r="G1546" s="168"/>
      <c r="H1546" s="197"/>
      <c r="I1546" s="196"/>
      <c r="J1546" s="196"/>
      <c r="K1546" s="196"/>
      <c r="L1546" s="196"/>
      <c r="M1546" s="196"/>
      <c r="N1546" s="196"/>
      <c r="O1546" s="196"/>
      <c r="P1546" s="196"/>
      <c r="Q1546" s="196"/>
      <c r="R1546" s="196"/>
      <c r="S1546" s="196"/>
      <c r="T1546" s="196"/>
      <c r="U1546" s="196"/>
      <c r="V1546" s="198"/>
    </row>
    <row r="1547" spans="1:22" ht="15" hidden="1" outlineLevel="2" x14ac:dyDescent="0.25">
      <c r="A1547" s="186">
        <f>SUMIFS(МКД!$A$6:$A$389,МКД!$D$6:$D$389,Таблица1[[#This Row],[2]])</f>
        <v>290</v>
      </c>
      <c r="B1547" s="196"/>
      <c r="C1547" s="182" t="s">
        <v>628</v>
      </c>
      <c r="D1547" s="167" t="s">
        <v>1593</v>
      </c>
      <c r="E1547" s="273" t="s">
        <v>1731</v>
      </c>
      <c r="F1547" s="196"/>
      <c r="G1547" s="168">
        <f>SUMIFS(Таблица1[[#This Row],[8]:[19]],$I$5:$T$5,"Выкуп")</f>
        <v>88.4</v>
      </c>
      <c r="H1547" s="168">
        <f>SUMIFS(Таблица1[[#This Row],[8]:[19]],$I$5:$T$5,"Аренда")</f>
        <v>0</v>
      </c>
      <c r="I1547" s="196"/>
      <c r="J1547" s="196"/>
      <c r="K1547" s="196">
        <v>88.4</v>
      </c>
      <c r="L1547" s="196"/>
      <c r="M1547" s="196"/>
      <c r="N1547" s="196"/>
      <c r="O1547" s="196"/>
      <c r="P1547" s="196"/>
      <c r="Q1547" s="196"/>
      <c r="R1547" s="196"/>
      <c r="S1547" s="196"/>
      <c r="T1547" s="196"/>
      <c r="U1547" s="196"/>
      <c r="V1547" s="198"/>
    </row>
    <row r="1548" spans="1:22" ht="15" hidden="1" outlineLevel="2" x14ac:dyDescent="0.25">
      <c r="A1548" s="186">
        <f>SUMIFS(МКД!$A$6:$A$389,МКД!$D$6:$D$389,Таблица1[[#This Row],[2]])</f>
        <v>290</v>
      </c>
      <c r="B1548" s="196"/>
      <c r="C1548" s="182" t="s">
        <v>628</v>
      </c>
      <c r="D1548" s="167" t="s">
        <v>1394</v>
      </c>
      <c r="E1548" s="167" t="s">
        <v>2752</v>
      </c>
      <c r="F1548" s="196"/>
      <c r="G1548" s="168">
        <f>SUMIFS(Таблица1[[#This Row],[8]:[19]],$I$5:$T$5,"Выкуп")</f>
        <v>201.7</v>
      </c>
      <c r="H1548" s="168">
        <f>SUMIFS(Таблица1[[#This Row],[8]:[19]],$I$5:$T$5,"Аренда")</f>
        <v>0</v>
      </c>
      <c r="I1548" s="196"/>
      <c r="J1548" s="196"/>
      <c r="K1548" s="196"/>
      <c r="L1548" s="196"/>
      <c r="M1548" s="276">
        <v>201.7</v>
      </c>
      <c r="N1548" s="196"/>
      <c r="O1548" s="196"/>
      <c r="P1548" s="196"/>
      <c r="Q1548" s="196"/>
      <c r="R1548" s="196"/>
      <c r="S1548" s="196"/>
      <c r="T1548" s="196"/>
      <c r="U1548" s="196"/>
      <c r="V1548" s="198"/>
    </row>
    <row r="1549" spans="1:22" ht="15" outlineLevel="1" collapsed="1" x14ac:dyDescent="0.25">
      <c r="A1549" s="186">
        <f>SUMIFS(МКД!$A$6:$A$389,МКД!$D$6:$D$389,Таблица1[[#This Row],[2]])</f>
        <v>291</v>
      </c>
      <c r="B1549" s="194">
        <f>SUMIFS(Таблица1[6],Таблица1[2],Таблица1[[#This Row],[2]])+SUMIFS(Таблица1[7],Таблица1[2],Таблица1[[#This Row],[2]])</f>
        <v>208.9</v>
      </c>
      <c r="C1549" s="185" t="s">
        <v>629</v>
      </c>
      <c r="D1549" s="196"/>
      <c r="E1549" s="196"/>
      <c r="F1549" s="196"/>
      <c r="G1549" s="168"/>
      <c r="H1549" s="197"/>
      <c r="I1549" s="196"/>
      <c r="J1549" s="196"/>
      <c r="K1549" s="196"/>
      <c r="L1549" s="196"/>
      <c r="M1549" s="196"/>
      <c r="N1549" s="196"/>
      <c r="O1549" s="196"/>
      <c r="P1549" s="196"/>
      <c r="Q1549" s="196"/>
      <c r="R1549" s="196"/>
      <c r="S1549" s="196"/>
      <c r="T1549" s="196"/>
      <c r="U1549" s="196"/>
      <c r="V1549" s="198"/>
    </row>
    <row r="1550" spans="1:22" ht="15" hidden="1" outlineLevel="2" x14ac:dyDescent="0.25">
      <c r="A1550" s="186">
        <f>SUMIFS(МКД!$A$6:$A$389,МКД!$D$6:$D$389,Таблица1[[#This Row],[2]])</f>
        <v>291</v>
      </c>
      <c r="B1550" s="196"/>
      <c r="C1550" s="182" t="s">
        <v>629</v>
      </c>
      <c r="D1550" s="373" t="s">
        <v>1053</v>
      </c>
      <c r="E1550" s="167" t="s">
        <v>2752</v>
      </c>
      <c r="F1550" s="196"/>
      <c r="G1550" s="168">
        <f>SUMIFS(Таблица1[[#This Row],[8]:[19]],$I$5:$T$5,"Выкуп")</f>
        <v>208.9</v>
      </c>
      <c r="H1550" s="168">
        <f>SUMIFS(Таблица1[[#This Row],[8]:[19]],$I$5:$T$5,"Аренда")</f>
        <v>0</v>
      </c>
      <c r="I1550" s="196"/>
      <c r="J1550" s="196"/>
      <c r="K1550" s="196"/>
      <c r="L1550" s="196"/>
      <c r="M1550" s="276">
        <v>208.9</v>
      </c>
      <c r="N1550" s="196"/>
      <c r="O1550" s="196"/>
      <c r="P1550" s="196"/>
      <c r="Q1550" s="196"/>
      <c r="R1550" s="196"/>
      <c r="S1550" s="196"/>
      <c r="T1550" s="196"/>
      <c r="U1550" s="196"/>
      <c r="V1550" s="198"/>
    </row>
    <row r="1551" spans="1:22" ht="15" outlineLevel="1" collapsed="1" x14ac:dyDescent="0.25">
      <c r="A1551" s="186">
        <f>SUMIFS(МКД!$A$6:$A$389,МКД!$D$6:$D$389,Таблица1[[#This Row],[2]])</f>
        <v>280</v>
      </c>
      <c r="B1551" s="194">
        <f>SUMIFS(Таблица1[6],Таблица1[2],Таблица1[[#This Row],[2]])+SUMIFS(Таблица1[7],Таблица1[2],Таблица1[[#This Row],[2]])</f>
        <v>487.40000000000003</v>
      </c>
      <c r="C1551" s="185" t="s">
        <v>630</v>
      </c>
      <c r="D1551" s="196"/>
      <c r="E1551" s="196"/>
      <c r="F1551" s="196"/>
      <c r="G1551" s="168"/>
      <c r="H1551" s="197"/>
      <c r="I1551" s="196"/>
      <c r="J1551" s="196"/>
      <c r="K1551" s="196"/>
      <c r="L1551" s="196"/>
      <c r="M1551" s="196"/>
      <c r="N1551" s="196"/>
      <c r="O1551" s="196"/>
      <c r="P1551" s="196"/>
      <c r="Q1551" s="196"/>
      <c r="R1551" s="196"/>
      <c r="S1551" s="196"/>
      <c r="T1551" s="196"/>
      <c r="U1551" s="196"/>
      <c r="V1551" s="198"/>
    </row>
    <row r="1552" spans="1:22" hidden="1" outlineLevel="2" x14ac:dyDescent="0.25">
      <c r="A1552" s="186">
        <f>SUMIFS(МКД!$A$6:$A$389,МКД!$D$6:$D$389,Таблица1[[#This Row],[2]])</f>
        <v>280</v>
      </c>
      <c r="B1552" s="170"/>
      <c r="C1552" s="182" t="s">
        <v>630</v>
      </c>
      <c r="D1552" s="167" t="s">
        <v>742</v>
      </c>
      <c r="E1552" s="167" t="s">
        <v>1763</v>
      </c>
      <c r="F1552" s="167">
        <v>1</v>
      </c>
      <c r="G1552" s="168">
        <f>SUMIFS(Таблица1[[#This Row],[8]:[19]],$I$5:$T$5,"Выкуп")</f>
        <v>190</v>
      </c>
      <c r="H1552" s="168">
        <f>SUMIFS(Таблица1[[#This Row],[8]:[19]],$I$5:$T$5,"Аренда")</f>
        <v>0</v>
      </c>
      <c r="I1552" s="169"/>
      <c r="J1552" s="169"/>
      <c r="K1552" s="169">
        <v>190</v>
      </c>
      <c r="L1552" s="169"/>
      <c r="M1552" s="169"/>
      <c r="N1552" s="169"/>
      <c r="O1552" s="169"/>
      <c r="P1552" s="169"/>
      <c r="Q1552" s="169"/>
      <c r="R1552" s="169"/>
      <c r="S1552" s="169"/>
      <c r="T1552" s="169"/>
      <c r="U1552" s="170"/>
      <c r="V1552" s="171"/>
    </row>
    <row r="1553" spans="1:22" hidden="1" outlineLevel="2" x14ac:dyDescent="0.25">
      <c r="A1553" s="186">
        <f>SUMIFS(МКД!$A$6:$A$389,МКД!$D$6:$D$389,Таблица1[[#This Row],[2]])</f>
        <v>280</v>
      </c>
      <c r="B1553" s="170"/>
      <c r="C1553" s="182" t="s">
        <v>630</v>
      </c>
      <c r="D1553" s="167" t="s">
        <v>1593</v>
      </c>
      <c r="E1553" s="273" t="s">
        <v>1729</v>
      </c>
      <c r="F1553" s="167">
        <v>1</v>
      </c>
      <c r="G1553" s="168">
        <f>SUMIFS(Таблица1[[#This Row],[8]:[19]],$I$5:$T$5,"Выкуп")</f>
        <v>116.1</v>
      </c>
      <c r="H1553" s="168">
        <f>SUMIFS(Таблица1[[#This Row],[8]:[19]],$I$5:$T$5,"Аренда")</f>
        <v>0</v>
      </c>
      <c r="I1553" s="169"/>
      <c r="J1553" s="169"/>
      <c r="K1553" s="169">
        <v>116.1</v>
      </c>
      <c r="L1553" s="169"/>
      <c r="M1553" s="169"/>
      <c r="N1553" s="169"/>
      <c r="O1553" s="169"/>
      <c r="P1553" s="169"/>
      <c r="Q1553" s="169"/>
      <c r="R1553" s="169"/>
      <c r="S1553" s="169"/>
      <c r="T1553" s="169"/>
      <c r="U1553" s="170"/>
      <c r="V1553" s="171"/>
    </row>
    <row r="1554" spans="1:22" hidden="1" outlineLevel="2" x14ac:dyDescent="0.25">
      <c r="A1554" s="186">
        <f>SUMIFS(МКД!$A$6:$A$389,МКД!$D$6:$D$389,Таблица1[[#This Row],[2]])</f>
        <v>280</v>
      </c>
      <c r="B1554" s="170"/>
      <c r="C1554" s="182" t="s">
        <v>630</v>
      </c>
      <c r="D1554" s="167" t="s">
        <v>1053</v>
      </c>
      <c r="E1554" s="167" t="s">
        <v>1949</v>
      </c>
      <c r="F1554" s="167">
        <v>1</v>
      </c>
      <c r="G1554" s="168">
        <f>SUMIFS(Таблица1[[#This Row],[8]:[19]],$I$5:$T$5,"Выкуп")</f>
        <v>27.1</v>
      </c>
      <c r="H1554" s="168">
        <f>SUMIFS(Таблица1[[#This Row],[8]:[19]],$I$5:$T$5,"Аренда")</f>
        <v>0</v>
      </c>
      <c r="I1554" s="169">
        <v>27.1</v>
      </c>
      <c r="J1554" s="169"/>
      <c r="K1554" s="169"/>
      <c r="L1554" s="169"/>
      <c r="M1554" s="169"/>
      <c r="N1554" s="169"/>
      <c r="O1554" s="169"/>
      <c r="P1554" s="169"/>
      <c r="Q1554" s="169"/>
      <c r="R1554" s="169"/>
      <c r="S1554" s="169"/>
      <c r="T1554" s="169"/>
      <c r="U1554" s="170"/>
      <c r="V1554" s="171"/>
    </row>
    <row r="1555" spans="1:22" hidden="1" outlineLevel="2" x14ac:dyDescent="0.25">
      <c r="A1555" s="186">
        <f>SUMIFS(МКД!$A$6:$A$389,МКД!$D$6:$D$389,Таблица1[[#This Row],[2]])</f>
        <v>280</v>
      </c>
      <c r="B1555" s="170"/>
      <c r="C1555" s="182" t="s">
        <v>630</v>
      </c>
      <c r="D1555" s="167" t="s">
        <v>1053</v>
      </c>
      <c r="E1555" s="167" t="s">
        <v>2828</v>
      </c>
      <c r="F1555" s="167">
        <v>1</v>
      </c>
      <c r="G1555" s="168">
        <f>SUMIFS(Таблица1[[#This Row],[8]:[19]],$I$5:$T$5,"Выкуп")</f>
        <v>140.9</v>
      </c>
      <c r="H1555" s="168">
        <f>SUMIFS(Таблица1[[#This Row],[8]:[19]],$I$5:$T$5,"Аренда")</f>
        <v>0</v>
      </c>
      <c r="I1555" s="169"/>
      <c r="J1555" s="169"/>
      <c r="K1555" s="169"/>
      <c r="L1555" s="169"/>
      <c r="M1555" s="278">
        <v>140.9</v>
      </c>
      <c r="N1555" s="169"/>
      <c r="O1555" s="169"/>
      <c r="P1555" s="169"/>
      <c r="Q1555" s="169"/>
      <c r="R1555" s="169"/>
      <c r="S1555" s="169"/>
      <c r="T1555" s="169"/>
      <c r="U1555" s="170"/>
      <c r="V1555" s="171"/>
    </row>
    <row r="1556" spans="1:22" hidden="1" outlineLevel="2" x14ac:dyDescent="0.25">
      <c r="A1556" s="186">
        <f>SUMIFS(МКД!$A$6:$A$389,МКД!$D$6:$D$389,Таблица1[[#This Row],[2]])</f>
        <v>280</v>
      </c>
      <c r="B1556" s="170"/>
      <c r="C1556" s="182" t="s">
        <v>630</v>
      </c>
      <c r="D1556" s="167" t="s">
        <v>1394</v>
      </c>
      <c r="E1556" s="167" t="s">
        <v>2828</v>
      </c>
      <c r="F1556" s="167">
        <v>1</v>
      </c>
      <c r="G1556" s="168">
        <f>SUMIFS(Таблица1[[#This Row],[8]:[19]],$I$5:$T$5,"Выкуп")</f>
        <v>13.3</v>
      </c>
      <c r="H1556" s="168">
        <f>SUMIFS(Таблица1[[#This Row],[8]:[19]],$I$5:$T$5,"Аренда")</f>
        <v>0</v>
      </c>
      <c r="I1556" s="169"/>
      <c r="J1556" s="169"/>
      <c r="K1556" s="169"/>
      <c r="L1556" s="169"/>
      <c r="M1556" s="278">
        <v>13.3</v>
      </c>
      <c r="N1556" s="169"/>
      <c r="O1556" s="169"/>
      <c r="P1556" s="169"/>
      <c r="Q1556" s="169"/>
      <c r="R1556" s="169"/>
      <c r="S1556" s="169"/>
      <c r="T1556" s="169"/>
      <c r="U1556" s="170"/>
      <c r="V1556" s="171"/>
    </row>
    <row r="1557" spans="1:22" ht="15" outlineLevel="1" collapsed="1" x14ac:dyDescent="0.25">
      <c r="A1557" s="186">
        <f>SUMIFS(МКД!$A$6:$A$389,МКД!$D$6:$D$389,Таблица1[[#This Row],[2]])</f>
        <v>281</v>
      </c>
      <c r="B1557" s="194">
        <f>SUMIFS(Таблица1[6],Таблица1[2],Таблица1[[#This Row],[2]])+SUMIFS(Таблица1[7],Таблица1[2],Таблица1[[#This Row],[2]])</f>
        <v>61.4</v>
      </c>
      <c r="C1557" s="185" t="s">
        <v>631</v>
      </c>
      <c r="D1557" s="196"/>
      <c r="E1557" s="196"/>
      <c r="F1557" s="196"/>
      <c r="G1557" s="168"/>
      <c r="H1557" s="197"/>
      <c r="I1557" s="196"/>
      <c r="J1557" s="196"/>
      <c r="K1557" s="196"/>
      <c r="L1557" s="196"/>
      <c r="M1557" s="196"/>
      <c r="N1557" s="196"/>
      <c r="O1557" s="196"/>
      <c r="P1557" s="196"/>
      <c r="Q1557" s="196"/>
      <c r="R1557" s="196"/>
      <c r="S1557" s="196"/>
      <c r="T1557" s="196"/>
      <c r="U1557" s="196"/>
      <c r="V1557" s="198"/>
    </row>
    <row r="1558" spans="1:22" hidden="1" outlineLevel="2" x14ac:dyDescent="0.25">
      <c r="A1558" s="186">
        <f>SUMIFS(МКД!$A$6:$A$389,МКД!$D$6:$D$389,Таблица1[[#This Row],[2]])</f>
        <v>281</v>
      </c>
      <c r="B1558" s="170"/>
      <c r="C1558" s="182" t="s">
        <v>631</v>
      </c>
      <c r="D1558" s="167" t="s">
        <v>1545</v>
      </c>
      <c r="E1558" s="167" t="s">
        <v>218</v>
      </c>
      <c r="F1558" s="167">
        <v>1</v>
      </c>
      <c r="G1558" s="168">
        <f>SUMIFS(Таблица1[[#This Row],[8]:[19]],$I$5:$T$5,"Выкуп")</f>
        <v>47</v>
      </c>
      <c r="H1558" s="168">
        <f>SUMIFS(Таблица1[[#This Row],[8]:[19]],$I$5:$T$5,"Аренда")</f>
        <v>0</v>
      </c>
      <c r="I1558" s="169">
        <v>47</v>
      </c>
      <c r="J1558" s="169"/>
      <c r="K1558" s="169"/>
      <c r="L1558" s="169"/>
      <c r="M1558" s="169"/>
      <c r="N1558" s="169"/>
      <c r="O1558" s="169"/>
      <c r="P1558" s="169"/>
      <c r="Q1558" s="169"/>
      <c r="R1558" s="169"/>
      <c r="S1558" s="169"/>
      <c r="T1558" s="169"/>
      <c r="U1558" s="170"/>
      <c r="V1558" s="171"/>
    </row>
    <row r="1559" spans="1:22" hidden="1" outlineLevel="2" x14ac:dyDescent="0.25">
      <c r="A1559" s="186">
        <f>SUMIFS(МКД!$A$6:$A$389,МКД!$D$6:$D$389,Таблица1[[#This Row],[2]])</f>
        <v>281</v>
      </c>
      <c r="B1559" s="168"/>
      <c r="C1559" s="182" t="s">
        <v>631</v>
      </c>
      <c r="D1559" s="167" t="s">
        <v>332</v>
      </c>
      <c r="E1559" s="167" t="s">
        <v>2095</v>
      </c>
      <c r="F1559" s="167">
        <v>1</v>
      </c>
      <c r="G1559" s="168">
        <f>SUMIFS(Таблица1[[#This Row],[8]:[19]],$I$5:$T$5,"Выкуп")</f>
        <v>0</v>
      </c>
      <c r="H1559" s="168">
        <f>SUMIFS(Таблица1[[#This Row],[8]:[19]],$I$5:$T$5,"Аренда")</f>
        <v>14.4</v>
      </c>
      <c r="I1559" s="167"/>
      <c r="J1559" s="167"/>
      <c r="K1559" s="169"/>
      <c r="L1559" s="169"/>
      <c r="M1559" s="169"/>
      <c r="N1559" s="169"/>
      <c r="O1559" s="167"/>
      <c r="P1559" s="169">
        <v>14.4</v>
      </c>
      <c r="Q1559" s="169"/>
      <c r="R1559" s="169"/>
      <c r="S1559" s="169"/>
      <c r="T1559" s="169"/>
      <c r="U1559" s="170"/>
      <c r="V1559" s="171"/>
    </row>
    <row r="1560" spans="1:22" ht="15" outlineLevel="1" collapsed="1" x14ac:dyDescent="0.25">
      <c r="A1560" s="186">
        <f>SUMIFS(МКД!$A$6:$A$389,МКД!$D$6:$D$389,Таблица1[[#This Row],[2]])</f>
        <v>282</v>
      </c>
      <c r="B1560" s="194">
        <f>SUMIFS(Таблица1[6],Таблица1[2],Таблица1[[#This Row],[2]])+SUMIFS(Таблица1[7],Таблица1[2],Таблица1[[#This Row],[2]])</f>
        <v>330.79999999999995</v>
      </c>
      <c r="C1560" s="185" t="s">
        <v>1324</v>
      </c>
      <c r="D1560" s="196"/>
      <c r="E1560" s="196"/>
      <c r="F1560" s="196"/>
      <c r="G1560" s="168"/>
      <c r="H1560" s="197"/>
      <c r="I1560" s="196"/>
      <c r="J1560" s="196"/>
      <c r="K1560" s="196"/>
      <c r="L1560" s="196"/>
      <c r="M1560" s="196"/>
      <c r="N1560" s="196"/>
      <c r="O1560" s="196"/>
      <c r="P1560" s="196"/>
      <c r="Q1560" s="196"/>
      <c r="R1560" s="196"/>
      <c r="S1560" s="196"/>
      <c r="T1560" s="196"/>
      <c r="U1560" s="196"/>
      <c r="V1560" s="198"/>
    </row>
    <row r="1561" spans="1:22" hidden="1" outlineLevel="2" x14ac:dyDescent="0.25">
      <c r="A1561" s="186">
        <f>SUMIFS(МКД!$A$6:$A$389,МКД!$D$6:$D$389,Таблица1[[#This Row],[2]])</f>
        <v>282</v>
      </c>
      <c r="B1561" s="170"/>
      <c r="C1561" s="182" t="s">
        <v>1324</v>
      </c>
      <c r="D1561" s="167" t="s">
        <v>2609</v>
      </c>
      <c r="E1561" s="167" t="s">
        <v>2330</v>
      </c>
      <c r="F1561" s="167">
        <v>1</v>
      </c>
      <c r="G1561" s="168">
        <f>SUMIFS(Таблица1[[#This Row],[8]:[19]],$I$5:$T$5,"Выкуп")</f>
        <v>181.1</v>
      </c>
      <c r="H1561" s="168">
        <f>SUMIFS(Таблица1[[#This Row],[8]:[19]],$I$5:$T$5,"Аренда")</f>
        <v>0</v>
      </c>
      <c r="I1561" s="169">
        <v>181.1</v>
      </c>
      <c r="J1561" s="169"/>
      <c r="K1561" s="169"/>
      <c r="L1561" s="169"/>
      <c r="M1561" s="169"/>
      <c r="N1561" s="169"/>
      <c r="O1561" s="169"/>
      <c r="P1561" s="169"/>
      <c r="Q1561" s="169"/>
      <c r="R1561" s="169"/>
      <c r="S1561" s="169"/>
      <c r="T1561" s="169"/>
      <c r="U1561" s="170"/>
      <c r="V1561" s="171"/>
    </row>
    <row r="1562" spans="1:22" hidden="1" outlineLevel="2" x14ac:dyDescent="0.25">
      <c r="A1562" s="186">
        <f>SUMIFS(МКД!$A$6:$A$389,МКД!$D$6:$D$389,Таблица1[[#This Row],[2]])</f>
        <v>282</v>
      </c>
      <c r="B1562" s="168"/>
      <c r="C1562" s="182" t="s">
        <v>1324</v>
      </c>
      <c r="D1562" s="167" t="s">
        <v>742</v>
      </c>
      <c r="E1562" s="167" t="s">
        <v>1763</v>
      </c>
      <c r="F1562" s="167">
        <v>1</v>
      </c>
      <c r="G1562" s="168">
        <f>SUMIFS(Таблица1[[#This Row],[8]:[19]],$I$5:$T$5,"Выкуп")</f>
        <v>57.8</v>
      </c>
      <c r="H1562" s="168">
        <f>SUMIFS(Таблица1[[#This Row],[8]:[19]],$I$5:$T$5,"Аренда")</f>
        <v>0</v>
      </c>
      <c r="I1562" s="169"/>
      <c r="J1562" s="169"/>
      <c r="K1562" s="169">
        <v>57.8</v>
      </c>
      <c r="L1562" s="169"/>
      <c r="M1562" s="169"/>
      <c r="N1562" s="169"/>
      <c r="O1562" s="169"/>
      <c r="P1562" s="169"/>
      <c r="Q1562" s="169"/>
      <c r="R1562" s="169"/>
      <c r="S1562" s="169"/>
      <c r="T1562" s="169"/>
      <c r="U1562" s="170"/>
      <c r="V1562" s="171"/>
    </row>
    <row r="1563" spans="1:22" hidden="1" outlineLevel="2" x14ac:dyDescent="0.25">
      <c r="A1563" s="186">
        <f>SUMIFS(МКД!$A$6:$A$389,МКД!$D$6:$D$389,Таблица1[[#This Row],[2]])</f>
        <v>282</v>
      </c>
      <c r="B1563" s="168"/>
      <c r="C1563" s="182" t="s">
        <v>1324</v>
      </c>
      <c r="D1563" s="167" t="s">
        <v>1875</v>
      </c>
      <c r="E1563" s="167" t="s">
        <v>2329</v>
      </c>
      <c r="F1563" s="167"/>
      <c r="G1563" s="168">
        <f>SUMIFS(Таблица1[[#This Row],[8]:[19]],$I$5:$T$5,"Выкуп")</f>
        <v>71.5</v>
      </c>
      <c r="H1563" s="168">
        <f>SUMIFS(Таблица1[[#This Row],[8]:[19]],$I$5:$T$5,"Аренда")</f>
        <v>0</v>
      </c>
      <c r="I1563" s="169">
        <v>71.5</v>
      </c>
      <c r="J1563" s="169"/>
      <c r="K1563" s="169"/>
      <c r="L1563" s="169"/>
      <c r="M1563" s="169"/>
      <c r="N1563" s="169"/>
      <c r="O1563" s="169"/>
      <c r="P1563" s="169"/>
      <c r="Q1563" s="169"/>
      <c r="R1563" s="169"/>
      <c r="S1563" s="169"/>
      <c r="T1563" s="169"/>
      <c r="U1563" s="170"/>
      <c r="V1563" s="171"/>
    </row>
    <row r="1564" spans="1:22" hidden="1" outlineLevel="2" x14ac:dyDescent="0.25">
      <c r="A1564" s="186">
        <f>SUMIFS(МКД!$A$6:$A$389,МКД!$D$6:$D$389,Таблица1[[#This Row],[2]])</f>
        <v>282</v>
      </c>
      <c r="B1564" s="168"/>
      <c r="C1564" s="182" t="s">
        <v>1324</v>
      </c>
      <c r="D1564" s="167" t="s">
        <v>1053</v>
      </c>
      <c r="E1564" s="167" t="s">
        <v>2833</v>
      </c>
      <c r="F1564" s="167"/>
      <c r="G1564" s="168">
        <f>SUMIFS(Таблица1[[#This Row],[8]:[19]],$I$5:$T$5,"Выкуп")</f>
        <v>20.399999999999999</v>
      </c>
      <c r="H1564" s="168">
        <f>SUMIFS(Таблица1[[#This Row],[8]:[19]],$I$5:$T$5,"Аренда")</f>
        <v>0</v>
      </c>
      <c r="I1564" s="169"/>
      <c r="J1564" s="169"/>
      <c r="K1564" s="169"/>
      <c r="L1564" s="169"/>
      <c r="M1564" s="278">
        <v>20.399999999999999</v>
      </c>
      <c r="N1564" s="169"/>
      <c r="O1564" s="169"/>
      <c r="P1564" s="169"/>
      <c r="Q1564" s="169"/>
      <c r="R1564" s="169"/>
      <c r="S1564" s="169"/>
      <c r="T1564" s="169"/>
      <c r="U1564" s="170"/>
      <c r="V1564" s="171"/>
    </row>
    <row r="1565" spans="1:22" ht="15" outlineLevel="1" collapsed="1" x14ac:dyDescent="0.25">
      <c r="A1565" s="186">
        <f>SUMIFS(МКД!$A$6:$A$389,МКД!$D$6:$D$389,Таблица1[[#This Row],[2]])</f>
        <v>283</v>
      </c>
      <c r="B1565" s="194">
        <f>SUMIFS(Таблица1[6],Таблица1[2],Таблица1[[#This Row],[2]])+SUMIFS(Таблица1[7],Таблица1[2],Таблица1[[#This Row],[2]])</f>
        <v>1241.6000000000001</v>
      </c>
      <c r="C1565" s="185" t="s">
        <v>632</v>
      </c>
      <c r="D1565" s="196"/>
      <c r="E1565" s="196"/>
      <c r="F1565" s="196"/>
      <c r="G1565" s="168"/>
      <c r="H1565" s="197"/>
      <c r="I1565" s="196"/>
      <c r="J1565" s="196"/>
      <c r="K1565" s="196"/>
      <c r="L1565" s="196"/>
      <c r="M1565" s="196"/>
      <c r="N1565" s="196"/>
      <c r="O1565" s="196"/>
      <c r="P1565" s="196"/>
      <c r="Q1565" s="196"/>
      <c r="R1565" s="196"/>
      <c r="S1565" s="196"/>
      <c r="T1565" s="196"/>
      <c r="U1565" s="196"/>
      <c r="V1565" s="198"/>
    </row>
    <row r="1566" spans="1:22" hidden="1" outlineLevel="2" x14ac:dyDescent="0.25">
      <c r="A1566" s="186">
        <f>SUMIFS(МКД!$A$6:$A$389,МКД!$D$6:$D$389,Таблица1[[#This Row],[2]])</f>
        <v>283</v>
      </c>
      <c r="B1566" s="170"/>
      <c r="C1566" s="182" t="s">
        <v>632</v>
      </c>
      <c r="D1566" s="167" t="s">
        <v>2603</v>
      </c>
      <c r="E1566" s="167" t="s">
        <v>2333</v>
      </c>
      <c r="F1566" s="167">
        <v>3</v>
      </c>
      <c r="G1566" s="168">
        <f>SUMIFS(Таблица1[[#This Row],[8]:[19]],$I$5:$T$5,"Выкуп")</f>
        <v>238.8</v>
      </c>
      <c r="H1566" s="168">
        <f>SUMIFS(Таблица1[[#This Row],[8]:[19]],$I$5:$T$5,"Аренда")</f>
        <v>0</v>
      </c>
      <c r="I1566" s="169"/>
      <c r="J1566" s="169"/>
      <c r="K1566" s="169">
        <v>238.8</v>
      </c>
      <c r="L1566" s="169"/>
      <c r="M1566" s="169"/>
      <c r="N1566" s="169"/>
      <c r="O1566" s="169"/>
      <c r="P1566" s="169"/>
      <c r="Q1566" s="169"/>
      <c r="R1566" s="169"/>
      <c r="S1566" s="169"/>
      <c r="T1566" s="169"/>
      <c r="U1566" s="170"/>
      <c r="V1566" s="171"/>
    </row>
    <row r="1567" spans="1:22" hidden="1" outlineLevel="2" x14ac:dyDescent="0.25">
      <c r="A1567" s="186">
        <f>SUMIFS(МКД!$A$6:$A$389,МКД!$D$6:$D$389,Таблица1[[#This Row],[2]])</f>
        <v>283</v>
      </c>
      <c r="B1567" s="168"/>
      <c r="C1567" s="182" t="s">
        <v>632</v>
      </c>
      <c r="D1567" s="167" t="s">
        <v>1863</v>
      </c>
      <c r="E1567" s="167" t="s">
        <v>828</v>
      </c>
      <c r="F1567" s="167">
        <v>4</v>
      </c>
      <c r="G1567" s="168">
        <f>SUMIFS(Таблица1[[#This Row],[8]:[19]],$I$5:$T$5,"Выкуп")</f>
        <v>441.7</v>
      </c>
      <c r="H1567" s="168">
        <f>SUMIFS(Таблица1[[#This Row],[8]:[19]],$I$5:$T$5,"Аренда")</f>
        <v>0</v>
      </c>
      <c r="I1567" s="169">
        <v>441.7</v>
      </c>
      <c r="J1567" s="169"/>
      <c r="K1567" s="169"/>
      <c r="L1567" s="169"/>
      <c r="M1567" s="169"/>
      <c r="N1567" s="169"/>
      <c r="O1567" s="169"/>
      <c r="P1567" s="169"/>
      <c r="Q1567" s="169"/>
      <c r="R1567" s="169"/>
      <c r="S1567" s="169"/>
      <c r="T1567" s="169"/>
      <c r="U1567" s="170"/>
      <c r="V1567" s="171"/>
    </row>
    <row r="1568" spans="1:22" hidden="1" outlineLevel="2" x14ac:dyDescent="0.25">
      <c r="A1568" s="186">
        <f>SUMIFS(МКД!$A$6:$A$389,МКД!$D$6:$D$389,Таблица1[[#This Row],[2]])</f>
        <v>283</v>
      </c>
      <c r="B1568" s="168"/>
      <c r="C1568" s="182" t="s">
        <v>632</v>
      </c>
      <c r="D1568" s="167" t="s">
        <v>2803</v>
      </c>
      <c r="E1568" s="167" t="s">
        <v>2788</v>
      </c>
      <c r="F1568" s="167">
        <v>4</v>
      </c>
      <c r="G1568" s="168">
        <f>SUMIFS(Таблица1[[#This Row],[8]:[19]],$I$5:$T$5,"Выкуп")</f>
        <v>61.5</v>
      </c>
      <c r="H1568" s="168">
        <f>SUMIFS(Таблица1[[#This Row],[8]:[19]],$I$5:$T$5,"Аренда")</f>
        <v>0</v>
      </c>
      <c r="I1568" s="169">
        <v>61.5</v>
      </c>
      <c r="J1568" s="169"/>
      <c r="K1568" s="169"/>
      <c r="L1568" s="169"/>
      <c r="M1568" s="169"/>
      <c r="N1568" s="169"/>
      <c r="O1568" s="169"/>
      <c r="P1568" s="169"/>
      <c r="Q1568" s="169"/>
      <c r="R1568" s="169"/>
      <c r="S1568" s="169"/>
      <c r="T1568" s="169"/>
      <c r="U1568" s="170"/>
      <c r="V1568" s="171"/>
    </row>
    <row r="1569" spans="1:22" hidden="1" outlineLevel="2" x14ac:dyDescent="0.25">
      <c r="A1569" s="186">
        <f>SUMIFS(МКД!$A$6:$A$389,МКД!$D$6:$D$389,Таблица1[[#This Row],[2]])</f>
        <v>283</v>
      </c>
      <c r="B1569" s="168"/>
      <c r="C1569" s="182" t="s">
        <v>632</v>
      </c>
      <c r="D1569" s="167" t="s">
        <v>2790</v>
      </c>
      <c r="E1569" s="167" t="s">
        <v>2789</v>
      </c>
      <c r="F1569" s="167">
        <v>4</v>
      </c>
      <c r="G1569" s="168">
        <f>SUMIFS(Таблица1[[#This Row],[8]:[19]],$I$5:$T$5,"Выкуп")</f>
        <v>77.599999999999994</v>
      </c>
      <c r="H1569" s="168">
        <f>SUMIFS(Таблица1[[#This Row],[8]:[19]],$I$5:$T$5,"Аренда")</f>
        <v>0</v>
      </c>
      <c r="I1569" s="169">
        <v>77.599999999999994</v>
      </c>
      <c r="J1569" s="169"/>
      <c r="K1569" s="169"/>
      <c r="L1569" s="169"/>
      <c r="M1569" s="169"/>
      <c r="N1569" s="169"/>
      <c r="O1569" s="169"/>
      <c r="P1569" s="169"/>
      <c r="Q1569" s="169"/>
      <c r="R1569" s="169"/>
      <c r="S1569" s="169"/>
      <c r="T1569" s="169"/>
      <c r="U1569" s="170"/>
      <c r="V1569" s="171"/>
    </row>
    <row r="1570" spans="1:22" hidden="1" outlineLevel="2" x14ac:dyDescent="0.25">
      <c r="A1570" s="186">
        <f>SUMIFS(МКД!$A$6:$A$389,МКД!$D$6:$D$389,Таблица1[[#This Row],[2]])</f>
        <v>283</v>
      </c>
      <c r="B1570" s="168"/>
      <c r="C1570" s="182" t="s">
        <v>632</v>
      </c>
      <c r="D1570" s="167" t="s">
        <v>2334</v>
      </c>
      <c r="E1570" s="167" t="s">
        <v>1393</v>
      </c>
      <c r="F1570" s="167">
        <v>4</v>
      </c>
      <c r="G1570" s="168">
        <f>SUMIFS(Таблица1[[#This Row],[8]:[19]],$I$5:$T$5,"Выкуп")</f>
        <v>74.5</v>
      </c>
      <c r="H1570" s="168">
        <f>SUMIFS(Таблица1[[#This Row],[8]:[19]],$I$5:$T$5,"Аренда")</f>
        <v>0</v>
      </c>
      <c r="I1570" s="169"/>
      <c r="J1570" s="169"/>
      <c r="K1570" s="169">
        <v>74.5</v>
      </c>
      <c r="L1570" s="169"/>
      <c r="M1570" s="169"/>
      <c r="N1570" s="169"/>
      <c r="O1570" s="169"/>
      <c r="P1570" s="169"/>
      <c r="Q1570" s="169"/>
      <c r="R1570" s="169"/>
      <c r="S1570" s="169"/>
      <c r="T1570" s="169"/>
      <c r="U1570" s="170"/>
      <c r="V1570" s="171"/>
    </row>
    <row r="1571" spans="1:22" hidden="1" outlineLevel="2" x14ac:dyDescent="0.25">
      <c r="A1571" s="186">
        <f>SUMIFS(МКД!$A$6:$A$389,МКД!$D$6:$D$389,Таблица1[[#This Row],[2]])</f>
        <v>283</v>
      </c>
      <c r="B1571" s="168"/>
      <c r="C1571" s="182" t="s">
        <v>632</v>
      </c>
      <c r="D1571" s="167" t="s">
        <v>1549</v>
      </c>
      <c r="E1571" s="167" t="s">
        <v>1548</v>
      </c>
      <c r="F1571" s="167">
        <v>1</v>
      </c>
      <c r="G1571" s="168">
        <f>SUMIFS(Таблица1[[#This Row],[8]:[19]],$I$5:$T$5,"Выкуп")</f>
        <v>119.6</v>
      </c>
      <c r="H1571" s="168">
        <f>SUMIFS(Таблица1[[#This Row],[8]:[19]],$I$5:$T$5,"Аренда")</f>
        <v>0</v>
      </c>
      <c r="I1571" s="169">
        <v>119.6</v>
      </c>
      <c r="J1571" s="169"/>
      <c r="K1571" s="169"/>
      <c r="L1571" s="169"/>
      <c r="M1571" s="169"/>
      <c r="N1571" s="169"/>
      <c r="O1571" s="169"/>
      <c r="P1571" s="169"/>
      <c r="Q1571" s="169"/>
      <c r="R1571" s="169"/>
      <c r="S1571" s="169"/>
      <c r="T1571" s="169"/>
      <c r="U1571" s="170"/>
      <c r="V1571" s="171"/>
    </row>
    <row r="1572" spans="1:22" hidden="1" outlineLevel="2" x14ac:dyDescent="0.25">
      <c r="A1572" s="186">
        <f>SUMIFS(МКД!$A$6:$A$389,МКД!$D$6:$D$389,Таблица1[[#This Row],[2]])</f>
        <v>283</v>
      </c>
      <c r="B1572" s="168"/>
      <c r="C1572" s="182" t="s">
        <v>632</v>
      </c>
      <c r="D1572" s="167" t="s">
        <v>333</v>
      </c>
      <c r="E1572" s="167" t="s">
        <v>2332</v>
      </c>
      <c r="F1572" s="167">
        <v>1</v>
      </c>
      <c r="G1572" s="168">
        <f>SUMIFS(Таблица1[[#This Row],[8]:[19]],$I$5:$T$5,"Выкуп")</f>
        <v>0</v>
      </c>
      <c r="H1572" s="168">
        <f>SUMIFS(Таблица1[[#This Row],[8]:[19]],$I$5:$T$5,"Аренда")</f>
        <v>107.5</v>
      </c>
      <c r="I1572" s="169"/>
      <c r="J1572" s="169"/>
      <c r="K1572" s="167"/>
      <c r="L1572" s="169">
        <v>107.5</v>
      </c>
      <c r="M1572" s="169"/>
      <c r="N1572" s="169"/>
      <c r="O1572" s="169"/>
      <c r="P1572" s="169"/>
      <c r="Q1572" s="169"/>
      <c r="R1572" s="169"/>
      <c r="S1572" s="169"/>
      <c r="T1572" s="169"/>
      <c r="U1572" s="170"/>
      <c r="V1572" s="171"/>
    </row>
    <row r="1573" spans="1:22" hidden="1" outlineLevel="2" x14ac:dyDescent="0.25">
      <c r="A1573" s="186">
        <f>SUMIFS(МКД!$A$6:$A$389,МКД!$D$6:$D$389,Таблица1[[#This Row],[2]])</f>
        <v>283</v>
      </c>
      <c r="B1573" s="168"/>
      <c r="C1573" s="182" t="s">
        <v>632</v>
      </c>
      <c r="D1573" s="167" t="s">
        <v>189</v>
      </c>
      <c r="E1573" s="167" t="s">
        <v>2331</v>
      </c>
      <c r="F1573" s="167"/>
      <c r="G1573" s="168">
        <f>SUMIFS(Таблица1[[#This Row],[8]:[19]],$I$5:$T$5,"Выкуп")</f>
        <v>0</v>
      </c>
      <c r="H1573" s="168">
        <f>SUMIFS(Таблица1[[#This Row],[8]:[19]],$I$5:$T$5,"Аренда")</f>
        <v>43.4</v>
      </c>
      <c r="I1573" s="169"/>
      <c r="J1573" s="169"/>
      <c r="K1573" s="167"/>
      <c r="L1573" s="169">
        <v>43.4</v>
      </c>
      <c r="M1573" s="169"/>
      <c r="N1573" s="169"/>
      <c r="O1573" s="169"/>
      <c r="P1573" s="169"/>
      <c r="Q1573" s="169"/>
      <c r="R1573" s="169"/>
      <c r="S1573" s="169"/>
      <c r="T1573" s="169"/>
      <c r="U1573" s="170"/>
      <c r="V1573" s="171"/>
    </row>
    <row r="1574" spans="1:22" hidden="1" outlineLevel="2" x14ac:dyDescent="0.25">
      <c r="A1574" s="186"/>
      <c r="B1574" s="168"/>
      <c r="C1574" s="182" t="s">
        <v>632</v>
      </c>
      <c r="D1574" s="167" t="s">
        <v>2335</v>
      </c>
      <c r="E1574" s="167" t="s">
        <v>1364</v>
      </c>
      <c r="F1574" s="167"/>
      <c r="G1574" s="168">
        <f>SUMIFS(Таблица1[[#This Row],[8]:[19]],$I$5:$T$5,"Выкуп")</f>
        <v>77</v>
      </c>
      <c r="H1574" s="168">
        <f>SUMIFS(Таблица1[[#This Row],[8]:[19]],$I$5:$T$5,"Аренда")</f>
        <v>0</v>
      </c>
      <c r="I1574" s="169">
        <v>77</v>
      </c>
      <c r="J1574" s="169"/>
      <c r="K1574" s="169"/>
      <c r="L1574" s="169"/>
      <c r="M1574" s="169"/>
      <c r="N1574" s="169"/>
      <c r="O1574" s="169"/>
      <c r="P1574" s="169"/>
      <c r="Q1574" s="169"/>
      <c r="R1574" s="169"/>
      <c r="S1574" s="169"/>
      <c r="T1574" s="169"/>
      <c r="U1574" s="170"/>
      <c r="V1574" s="171"/>
    </row>
    <row r="1575" spans="1:22" ht="15" outlineLevel="1" collapsed="1" x14ac:dyDescent="0.25">
      <c r="A1575" s="186">
        <f>SUMIFS(МКД!$A$6:$A$389,МКД!$D$6:$D$389,Таблица1[[#This Row],[2]])</f>
        <v>285</v>
      </c>
      <c r="B1575" s="194">
        <f>SUMIFS(Таблица1[6],Таблица1[2],Таблица1[[#This Row],[2]])+SUMIFS(Таблица1[7],Таблица1[2],Таблица1[[#This Row],[2]])</f>
        <v>656.9</v>
      </c>
      <c r="C1575" s="185" t="s">
        <v>633</v>
      </c>
      <c r="D1575" s="196"/>
      <c r="E1575" s="196"/>
      <c r="F1575" s="196"/>
      <c r="G1575" s="168"/>
      <c r="H1575" s="197"/>
      <c r="I1575" s="196"/>
      <c r="J1575" s="196"/>
      <c r="K1575" s="196"/>
      <c r="L1575" s="196"/>
      <c r="M1575" s="196"/>
      <c r="N1575" s="196"/>
      <c r="O1575" s="196"/>
      <c r="P1575" s="196"/>
      <c r="Q1575" s="196"/>
      <c r="R1575" s="196"/>
      <c r="S1575" s="196"/>
      <c r="T1575" s="196"/>
      <c r="U1575" s="196"/>
      <c r="V1575" s="198"/>
    </row>
    <row r="1576" spans="1:22" hidden="1" outlineLevel="2" x14ac:dyDescent="0.25">
      <c r="A1576" s="186">
        <f>SUMIFS(МКД!$A$6:$A$389,МКД!$D$6:$D$389,Таблица1[[#This Row],[2]])</f>
        <v>285</v>
      </c>
      <c r="B1576" s="170"/>
      <c r="C1576" s="182" t="s">
        <v>633</v>
      </c>
      <c r="D1576" s="167" t="s">
        <v>1713</v>
      </c>
      <c r="E1576" s="167" t="s">
        <v>1527</v>
      </c>
      <c r="F1576" s="167">
        <v>1</v>
      </c>
      <c r="G1576" s="168">
        <f>SUMIFS(Таблица1[[#This Row],[8]:[19]],$I$5:$T$5,"Выкуп")</f>
        <v>386</v>
      </c>
      <c r="H1576" s="168">
        <f>SUMIFS(Таблица1[[#This Row],[8]:[19]],$I$5:$T$5,"Аренда")</f>
        <v>0</v>
      </c>
      <c r="I1576" s="169">
        <v>261.60000000000002</v>
      </c>
      <c r="J1576" s="169"/>
      <c r="K1576" s="169">
        <v>124.4</v>
      </c>
      <c r="L1576" s="169"/>
      <c r="M1576" s="169"/>
      <c r="N1576" s="169"/>
      <c r="O1576" s="169"/>
      <c r="P1576" s="169"/>
      <c r="Q1576" s="169"/>
      <c r="R1576" s="169"/>
      <c r="S1576" s="169"/>
      <c r="T1576" s="169"/>
      <c r="U1576" s="170"/>
      <c r="V1576" s="171"/>
    </row>
    <row r="1577" spans="1:22" hidden="1" outlineLevel="2" x14ac:dyDescent="0.25">
      <c r="A1577" s="186">
        <f>SUMIFS(МКД!$A$6:$A$389,МКД!$D$6:$D$389,Таблица1[[#This Row],[2]])</f>
        <v>285</v>
      </c>
      <c r="B1577" s="168"/>
      <c r="C1577" s="182" t="s">
        <v>633</v>
      </c>
      <c r="D1577" s="167" t="s">
        <v>1765</v>
      </c>
      <c r="E1577" s="167" t="s">
        <v>835</v>
      </c>
      <c r="F1577" s="167">
        <v>2</v>
      </c>
      <c r="G1577" s="168">
        <f>SUMIFS(Таблица1[[#This Row],[8]:[19]],$I$5:$T$5,"Выкуп")</f>
        <v>130</v>
      </c>
      <c r="H1577" s="168">
        <f>SUMIFS(Таблица1[[#This Row],[8]:[19]],$I$5:$T$5,"Аренда")</f>
        <v>0</v>
      </c>
      <c r="I1577" s="169"/>
      <c r="J1577" s="169"/>
      <c r="K1577" s="169">
        <v>130</v>
      </c>
      <c r="L1577" s="169"/>
      <c r="M1577" s="169"/>
      <c r="N1577" s="169"/>
      <c r="O1577" s="169"/>
      <c r="P1577" s="169"/>
      <c r="Q1577" s="169"/>
      <c r="R1577" s="169"/>
      <c r="S1577" s="169"/>
      <c r="T1577" s="169"/>
      <c r="U1577" s="170"/>
      <c r="V1577" s="171"/>
    </row>
    <row r="1578" spans="1:22" hidden="1" outlineLevel="2" x14ac:dyDescent="0.25">
      <c r="A1578" s="186">
        <f>SUMIFS(МКД!$A$6:$A$389,МКД!$D$6:$D$389,Таблица1[[#This Row],[2]])</f>
        <v>285</v>
      </c>
      <c r="B1578" s="168"/>
      <c r="C1578" s="182" t="s">
        <v>633</v>
      </c>
      <c r="D1578" s="167" t="s">
        <v>1593</v>
      </c>
      <c r="E1578" s="273" t="s">
        <v>1734</v>
      </c>
      <c r="F1578" s="167">
        <v>2</v>
      </c>
      <c r="G1578" s="168">
        <f>SUMIFS(Таблица1[[#This Row],[8]:[19]],$I$5:$T$5,"Выкуп")</f>
        <v>88.8</v>
      </c>
      <c r="H1578" s="168">
        <f>SUMIFS(Таблица1[[#This Row],[8]:[19]],$I$5:$T$5,"Аренда")</f>
        <v>0</v>
      </c>
      <c r="I1578" s="169"/>
      <c r="J1578" s="169"/>
      <c r="K1578" s="169">
        <v>88.8</v>
      </c>
      <c r="L1578" s="169"/>
      <c r="M1578" s="169"/>
      <c r="N1578" s="169"/>
      <c r="O1578" s="169"/>
      <c r="P1578" s="169"/>
      <c r="Q1578" s="169"/>
      <c r="R1578" s="169"/>
      <c r="S1578" s="169"/>
      <c r="T1578" s="169"/>
      <c r="U1578" s="170"/>
      <c r="V1578" s="171"/>
    </row>
    <row r="1579" spans="1:22" hidden="1" outlineLevel="2" x14ac:dyDescent="0.25">
      <c r="A1579" s="186">
        <f>SUMIFS(МКД!$A$6:$A$389,МКД!$D$6:$D$389,Таблица1[[#This Row],[2]])</f>
        <v>285</v>
      </c>
      <c r="B1579" s="168"/>
      <c r="C1579" s="182" t="s">
        <v>633</v>
      </c>
      <c r="D1579" s="167" t="s">
        <v>1907</v>
      </c>
      <c r="E1579" s="167" t="s">
        <v>1906</v>
      </c>
      <c r="F1579" s="167">
        <v>2</v>
      </c>
      <c r="G1579" s="168">
        <f>SUMIFS(Таблица1[[#This Row],[8]:[19]],$I$5:$T$5,"Выкуп")</f>
        <v>52.1</v>
      </c>
      <c r="H1579" s="168">
        <f>SUMIFS(Таблица1[[#This Row],[8]:[19]],$I$5:$T$5,"Аренда")</f>
        <v>0</v>
      </c>
      <c r="I1579" s="169">
        <v>52.1</v>
      </c>
      <c r="J1579" s="169"/>
      <c r="K1579" s="169"/>
      <c r="L1579" s="169"/>
      <c r="M1579" s="169"/>
      <c r="N1579" s="169"/>
      <c r="O1579" s="169"/>
      <c r="P1579" s="169"/>
      <c r="Q1579" s="169"/>
      <c r="R1579" s="169"/>
      <c r="S1579" s="169"/>
      <c r="T1579" s="169"/>
      <c r="U1579" s="170"/>
      <c r="V1579" s="171"/>
    </row>
    <row r="1580" spans="1:22" ht="15" outlineLevel="1" collapsed="1" x14ac:dyDescent="0.25">
      <c r="A1580" s="186">
        <f>SUMIFS(МКД!$A$6:$A$389,МКД!$D$6:$D$389,Таблица1[[#This Row],[2]])</f>
        <v>286</v>
      </c>
      <c r="B1580" s="194">
        <f>SUMIFS(Таблица1[6],Таблица1[2],Таблица1[[#This Row],[2]])+SUMIFS(Таблица1[7],Таблица1[2],Таблица1[[#This Row],[2]])</f>
        <v>0</v>
      </c>
      <c r="C1580" s="185" t="s">
        <v>634</v>
      </c>
      <c r="D1580" s="196"/>
      <c r="E1580" s="196"/>
      <c r="F1580" s="196"/>
      <c r="G1580" s="168"/>
      <c r="H1580" s="197"/>
      <c r="I1580" s="196"/>
      <c r="J1580" s="196"/>
      <c r="K1580" s="196"/>
      <c r="L1580" s="196"/>
      <c r="M1580" s="196"/>
      <c r="N1580" s="196"/>
      <c r="O1580" s="196"/>
      <c r="P1580" s="196"/>
      <c r="Q1580" s="196"/>
      <c r="R1580" s="196"/>
      <c r="S1580" s="196"/>
      <c r="T1580" s="196"/>
      <c r="U1580" s="196"/>
      <c r="V1580" s="198"/>
    </row>
    <row r="1581" spans="1:22" ht="15" hidden="1" outlineLevel="2" x14ac:dyDescent="0.25">
      <c r="A1581" s="186">
        <f>SUMIFS(МКД!$A$6:$A$389,МКД!$D$6:$D$389,Таблица1[[#This Row],[2]])</f>
        <v>286</v>
      </c>
      <c r="B1581" s="196"/>
      <c r="C1581" s="182" t="s">
        <v>634</v>
      </c>
      <c r="D1581" s="196"/>
      <c r="E1581" s="196"/>
      <c r="F1581" s="196"/>
      <c r="G1581" s="168">
        <f>SUMIFS(Таблица1[[#This Row],[8]:[19]],$I$5:$T$5,"Выкуп")</f>
        <v>0</v>
      </c>
      <c r="H1581" s="168">
        <f>SUMIFS(Таблица1[[#This Row],[8]:[19]],$I$5:$T$5,"Аренда")</f>
        <v>0</v>
      </c>
      <c r="I1581" s="196"/>
      <c r="J1581" s="196"/>
      <c r="K1581" s="196"/>
      <c r="L1581" s="196"/>
      <c r="M1581" s="196"/>
      <c r="N1581" s="196"/>
      <c r="O1581" s="196"/>
      <c r="P1581" s="196"/>
      <c r="Q1581" s="196"/>
      <c r="R1581" s="196"/>
      <c r="S1581" s="196"/>
      <c r="T1581" s="196"/>
      <c r="U1581" s="196"/>
      <c r="V1581" s="198"/>
    </row>
    <row r="1582" spans="1:22" ht="15" outlineLevel="1" collapsed="1" x14ac:dyDescent="0.25">
      <c r="A1582" s="186">
        <f>SUMIFS(МКД!$A$6:$A$389,МКД!$D$6:$D$389,Таблица1[[#This Row],[2]])</f>
        <v>287</v>
      </c>
      <c r="B1582" s="194">
        <f>SUMIFS(Таблица1[6],Таблица1[2],Таблица1[[#This Row],[2]])+SUMIFS(Таблица1[7],Таблица1[2],Таблица1[[#This Row],[2]])</f>
        <v>24.4</v>
      </c>
      <c r="C1582" s="185" t="s">
        <v>635</v>
      </c>
      <c r="D1582" s="196"/>
      <c r="E1582" s="196"/>
      <c r="F1582" s="196"/>
      <c r="G1582" s="168"/>
      <c r="H1582" s="197"/>
      <c r="I1582" s="196"/>
      <c r="J1582" s="196"/>
      <c r="K1582" s="196"/>
      <c r="L1582" s="196"/>
      <c r="M1582" s="196"/>
      <c r="N1582" s="196"/>
      <c r="O1582" s="196"/>
      <c r="P1582" s="196"/>
      <c r="Q1582" s="196"/>
      <c r="R1582" s="196"/>
      <c r="S1582" s="196"/>
      <c r="T1582" s="196"/>
      <c r="U1582" s="196"/>
      <c r="V1582" s="198"/>
    </row>
    <row r="1583" spans="1:22" ht="15" hidden="1" outlineLevel="2" x14ac:dyDescent="0.25">
      <c r="A1583" s="186">
        <f>SUMIFS(МКД!$A$6:$A$389,МКД!$D$6:$D$389,Таблица1[[#This Row],[2]])</f>
        <v>287</v>
      </c>
      <c r="B1583" s="196"/>
      <c r="C1583" s="182" t="s">
        <v>635</v>
      </c>
      <c r="D1583" s="196" t="s">
        <v>1053</v>
      </c>
      <c r="E1583" s="196" t="s">
        <v>1949</v>
      </c>
      <c r="F1583" s="196"/>
      <c r="G1583" s="168">
        <f>SUMIFS(Таблица1[[#This Row],[8]:[19]],$I$5:$T$5,"Выкуп")</f>
        <v>24.4</v>
      </c>
      <c r="H1583" s="168">
        <f>SUMIFS(Таблица1[[#This Row],[8]:[19]],$I$5:$T$5,"Аренда")</f>
        <v>0</v>
      </c>
      <c r="I1583" s="196">
        <v>24.4</v>
      </c>
      <c r="J1583" s="196"/>
      <c r="K1583" s="196"/>
      <c r="L1583" s="196"/>
      <c r="M1583" s="196"/>
      <c r="N1583" s="196"/>
      <c r="O1583" s="196"/>
      <c r="P1583" s="196"/>
      <c r="Q1583" s="196"/>
      <c r="R1583" s="196"/>
      <c r="S1583" s="196"/>
      <c r="T1583" s="196"/>
      <c r="U1583" s="196"/>
      <c r="V1583" s="198"/>
    </row>
    <row r="1584" spans="1:22" ht="15" outlineLevel="1" collapsed="1" x14ac:dyDescent="0.25">
      <c r="A1584" s="186">
        <f>SUMIFS(МКД!$A$6:$A$389,МКД!$D$6:$D$389,Таблица1[[#This Row],[2]])</f>
        <v>288</v>
      </c>
      <c r="B1584" s="194">
        <f>SUMIFS(Таблица1[6],Таблица1[2],Таблица1[[#This Row],[2]])+SUMIFS(Таблица1[7],Таблица1[2],Таблица1[[#This Row],[2]])</f>
        <v>1353.8000000000002</v>
      </c>
      <c r="C1584" s="185" t="s">
        <v>636</v>
      </c>
      <c r="D1584" s="196"/>
      <c r="E1584" s="196"/>
      <c r="F1584" s="196"/>
      <c r="G1584" s="168"/>
      <c r="H1584" s="197"/>
      <c r="I1584" s="196"/>
      <c r="J1584" s="196"/>
      <c r="K1584" s="196"/>
      <c r="L1584" s="196"/>
      <c r="M1584" s="196"/>
      <c r="N1584" s="196"/>
      <c r="O1584" s="196"/>
      <c r="P1584" s="196"/>
      <c r="Q1584" s="196"/>
      <c r="R1584" s="196"/>
      <c r="S1584" s="196"/>
      <c r="T1584" s="196"/>
      <c r="U1584" s="196"/>
      <c r="V1584" s="198"/>
    </row>
    <row r="1585" spans="1:22" hidden="1" outlineLevel="2" x14ac:dyDescent="0.25">
      <c r="A1585" s="186">
        <f>SUMIFS(МКД!$A$6:$A$389,МКД!$D$6:$D$389,Таблица1[[#This Row],[2]])</f>
        <v>288</v>
      </c>
      <c r="B1585" s="170"/>
      <c r="C1585" s="182" t="s">
        <v>636</v>
      </c>
      <c r="D1585" s="167" t="s">
        <v>2744</v>
      </c>
      <c r="E1585" s="167" t="s">
        <v>2337</v>
      </c>
      <c r="F1585" s="167">
        <v>2</v>
      </c>
      <c r="G1585" s="168">
        <f>SUMIFS(Таблица1[[#This Row],[8]:[19]],$I$5:$T$5,"Выкуп")</f>
        <v>359.5</v>
      </c>
      <c r="H1585" s="168">
        <f>SUMIFS(Таблица1[[#This Row],[8]:[19]],$I$5:$T$5,"Аренда")</f>
        <v>0</v>
      </c>
      <c r="I1585" s="169">
        <v>262.10000000000002</v>
      </c>
      <c r="J1585" s="169"/>
      <c r="K1585" s="169">
        <v>97.4</v>
      </c>
      <c r="L1585" s="169"/>
      <c r="M1585" s="169"/>
      <c r="N1585" s="169"/>
      <c r="O1585" s="169"/>
      <c r="P1585" s="169"/>
      <c r="Q1585" s="169"/>
      <c r="R1585" s="169"/>
      <c r="S1585" s="169"/>
      <c r="T1585" s="169"/>
      <c r="U1585" s="170"/>
      <c r="V1585" s="171"/>
    </row>
    <row r="1586" spans="1:22" hidden="1" outlineLevel="2" x14ac:dyDescent="0.25">
      <c r="A1586" s="186">
        <f>SUMIFS(МКД!$A$6:$A$389,МКД!$D$6:$D$389,Таблица1[[#This Row],[2]])</f>
        <v>288</v>
      </c>
      <c r="B1586" s="170"/>
      <c r="C1586" s="182" t="s">
        <v>636</v>
      </c>
      <c r="D1586" s="167" t="s">
        <v>1593</v>
      </c>
      <c r="E1586" s="273" t="s">
        <v>1735</v>
      </c>
      <c r="F1586" s="167">
        <v>2</v>
      </c>
      <c r="G1586" s="168">
        <f>SUMIFS(Таблица1[[#This Row],[8]:[19]],$I$5:$T$5,"Выкуп")</f>
        <v>76.7</v>
      </c>
      <c r="H1586" s="168">
        <f>SUMIFS(Таблица1[[#This Row],[8]:[19]],$I$5:$T$5,"Аренда")</f>
        <v>0</v>
      </c>
      <c r="I1586" s="169"/>
      <c r="J1586" s="169"/>
      <c r="K1586" s="169">
        <v>76.7</v>
      </c>
      <c r="L1586" s="169"/>
      <c r="M1586" s="169"/>
      <c r="N1586" s="169"/>
      <c r="O1586" s="169"/>
      <c r="P1586" s="169"/>
      <c r="Q1586" s="169"/>
      <c r="R1586" s="169"/>
      <c r="S1586" s="169"/>
      <c r="T1586" s="169"/>
      <c r="U1586" s="170"/>
      <c r="V1586" s="171"/>
    </row>
    <row r="1587" spans="1:22" hidden="1" outlineLevel="2" x14ac:dyDescent="0.25">
      <c r="A1587" s="186">
        <f>SUMIFS(МКД!$A$6:$A$389,МКД!$D$6:$D$389,Таблица1[[#This Row],[2]])</f>
        <v>288</v>
      </c>
      <c r="B1587" s="168"/>
      <c r="C1587" s="182" t="s">
        <v>636</v>
      </c>
      <c r="D1587" s="167" t="s">
        <v>2338</v>
      </c>
      <c r="E1587" s="167" t="s">
        <v>1766</v>
      </c>
      <c r="F1587" s="167">
        <v>2</v>
      </c>
      <c r="G1587" s="168">
        <f>SUMIFS(Таблица1[[#This Row],[8]:[19]],$I$5:$T$5,"Выкуп")</f>
        <v>339.70000000000005</v>
      </c>
      <c r="H1587" s="168">
        <f>SUMIFS(Таблица1[[#This Row],[8]:[19]],$I$5:$T$5,"Аренда")</f>
        <v>0</v>
      </c>
      <c r="I1587" s="169">
        <v>209.9</v>
      </c>
      <c r="J1587" s="169"/>
      <c r="K1587" s="169">
        <v>129.80000000000001</v>
      </c>
      <c r="L1587" s="169"/>
      <c r="M1587" s="169"/>
      <c r="N1587" s="169"/>
      <c r="O1587" s="169"/>
      <c r="P1587" s="169"/>
      <c r="Q1587" s="169"/>
      <c r="R1587" s="169"/>
      <c r="S1587" s="169"/>
      <c r="T1587" s="169"/>
      <c r="U1587" s="170"/>
      <c r="V1587" s="171"/>
    </row>
    <row r="1588" spans="1:22" hidden="1" outlineLevel="2" x14ac:dyDescent="0.25">
      <c r="A1588" s="186">
        <f>SUMIFS(МКД!$A$6:$A$389,МКД!$D$6:$D$389,Таблица1[[#This Row],[2]])</f>
        <v>288</v>
      </c>
      <c r="B1588" s="168"/>
      <c r="C1588" s="182" t="s">
        <v>636</v>
      </c>
      <c r="D1588" s="167" t="s">
        <v>2338</v>
      </c>
      <c r="E1588" s="167" t="s">
        <v>1767</v>
      </c>
      <c r="F1588" s="167"/>
      <c r="G1588" s="168">
        <f>SUMIFS(Таблица1[[#This Row],[8]:[19]],$I$5:$T$5,"Выкуп")</f>
        <v>30.6</v>
      </c>
      <c r="H1588" s="168">
        <f>SUMIFS(Таблица1[[#This Row],[8]:[19]],$I$5:$T$5,"Аренда")</f>
        <v>0</v>
      </c>
      <c r="I1588" s="169">
        <v>30.6</v>
      </c>
      <c r="J1588" s="169"/>
      <c r="K1588" s="169"/>
      <c r="L1588" s="169"/>
      <c r="M1588" s="169"/>
      <c r="N1588" s="169"/>
      <c r="O1588" s="169"/>
      <c r="P1588" s="169"/>
      <c r="Q1588" s="169"/>
      <c r="R1588" s="169"/>
      <c r="S1588" s="169"/>
      <c r="T1588" s="169"/>
      <c r="U1588" s="170"/>
      <c r="V1588" s="171"/>
    </row>
    <row r="1589" spans="1:22" hidden="1" outlineLevel="2" x14ac:dyDescent="0.25">
      <c r="A1589" s="186">
        <f>SUMIFS(МКД!$A$6:$A$389,МКД!$D$6:$D$389,Таблица1[[#This Row],[2]])</f>
        <v>288</v>
      </c>
      <c r="B1589" s="168"/>
      <c r="C1589" s="182" t="s">
        <v>636</v>
      </c>
      <c r="D1589" s="167" t="s">
        <v>2769</v>
      </c>
      <c r="E1589" s="167" t="s">
        <v>1768</v>
      </c>
      <c r="F1589" s="167">
        <v>1</v>
      </c>
      <c r="G1589" s="168">
        <f>SUMIFS(Таблица1[[#This Row],[8]:[19]],$I$5:$T$5,"Выкуп")</f>
        <v>265.39999999999998</v>
      </c>
      <c r="H1589" s="168">
        <f>SUMIFS(Таблица1[[#This Row],[8]:[19]],$I$5:$T$5,"Аренда")</f>
        <v>0</v>
      </c>
      <c r="I1589" s="169"/>
      <c r="J1589" s="169"/>
      <c r="K1589" s="169">
        <v>265.39999999999998</v>
      </c>
      <c r="L1589" s="169"/>
      <c r="M1589" s="169"/>
      <c r="N1589" s="169"/>
      <c r="O1589" s="169"/>
      <c r="P1589" s="169"/>
      <c r="Q1589" s="169"/>
      <c r="R1589" s="169"/>
      <c r="S1589" s="169"/>
      <c r="T1589" s="169"/>
      <c r="U1589" s="170"/>
      <c r="V1589" s="171"/>
    </row>
    <row r="1590" spans="1:22" hidden="1" outlineLevel="2" x14ac:dyDescent="0.25">
      <c r="A1590" s="186">
        <f>SUMIFS(МКД!$A$6:$A$389,МКД!$D$6:$D$389,Таблица1[[#This Row],[2]])</f>
        <v>288</v>
      </c>
      <c r="B1590" s="168"/>
      <c r="C1590" s="182" t="s">
        <v>636</v>
      </c>
      <c r="D1590" s="167" t="s">
        <v>2796</v>
      </c>
      <c r="E1590" s="167" t="s">
        <v>2336</v>
      </c>
      <c r="F1590" s="167">
        <v>1</v>
      </c>
      <c r="G1590" s="168">
        <f>SUMIFS(Таблица1[[#This Row],[8]:[19]],$I$5:$T$5,"Выкуп")</f>
        <v>52.5</v>
      </c>
      <c r="H1590" s="168">
        <f>SUMIFS(Таблица1[[#This Row],[8]:[19]],$I$5:$T$5,"Аренда")</f>
        <v>0</v>
      </c>
      <c r="I1590" s="169">
        <v>52.5</v>
      </c>
      <c r="J1590" s="169"/>
      <c r="K1590" s="169"/>
      <c r="L1590" s="169"/>
      <c r="M1590" s="169"/>
      <c r="N1590" s="169"/>
      <c r="O1590" s="169"/>
      <c r="P1590" s="169"/>
      <c r="Q1590" s="169"/>
      <c r="R1590" s="169"/>
      <c r="S1590" s="169"/>
      <c r="T1590" s="169"/>
      <c r="U1590" s="170"/>
      <c r="V1590" s="171"/>
    </row>
    <row r="1591" spans="1:22" hidden="1" outlineLevel="2" x14ac:dyDescent="0.25">
      <c r="A1591" s="186">
        <f>SUMIFS(МКД!$A$6:$A$389,МКД!$D$6:$D$389,Таблица1[[#This Row],[2]])</f>
        <v>288</v>
      </c>
      <c r="B1591" s="168"/>
      <c r="C1591" s="182" t="s">
        <v>636</v>
      </c>
      <c r="D1591" s="167" t="s">
        <v>1053</v>
      </c>
      <c r="E1591" s="167" t="s">
        <v>2534</v>
      </c>
      <c r="F1591" s="167">
        <v>2</v>
      </c>
      <c r="G1591" s="168">
        <f>SUMIFS(Таблица1[[#This Row],[8]:[19]],$I$5:$T$5,"Выкуп")</f>
        <v>229.4</v>
      </c>
      <c r="H1591" s="168">
        <f>SUMIFS(Таблица1[[#This Row],[8]:[19]],$I$5:$T$5,"Аренда")</f>
        <v>0</v>
      </c>
      <c r="I1591" s="169">
        <v>229.4</v>
      </c>
      <c r="J1591" s="169"/>
      <c r="K1591" s="169"/>
      <c r="L1591" s="169"/>
      <c r="M1591" s="169"/>
      <c r="N1591" s="169"/>
      <c r="O1591" s="169"/>
      <c r="P1591" s="169"/>
      <c r="Q1591" s="169"/>
      <c r="R1591" s="169"/>
      <c r="S1591" s="169"/>
      <c r="T1591" s="169"/>
      <c r="U1591" s="170"/>
      <c r="V1591" s="171"/>
    </row>
    <row r="1592" spans="1:22" ht="15" outlineLevel="1" collapsed="1" x14ac:dyDescent="0.25">
      <c r="A1592" s="186">
        <f>SUMIFS(МКД!$A$6:$A$389,МКД!$D$6:$D$389,Таблица1[[#This Row],[2]])</f>
        <v>302</v>
      </c>
      <c r="B1592" s="194">
        <f>SUMIFS(Таблица1[6],Таблица1[2],Таблица1[[#This Row],[2]])+SUMIFS(Таблица1[7],Таблица1[2],Таблица1[[#This Row],[2]])</f>
        <v>1219.5999999999999</v>
      </c>
      <c r="C1592" s="185" t="s">
        <v>539</v>
      </c>
      <c r="D1592" s="196"/>
      <c r="E1592" s="196"/>
      <c r="F1592" s="196"/>
      <c r="G1592" s="168"/>
      <c r="H1592" s="197"/>
      <c r="I1592" s="196"/>
      <c r="J1592" s="196"/>
      <c r="K1592" s="196"/>
      <c r="L1592" s="196"/>
      <c r="M1592" s="196"/>
      <c r="N1592" s="196"/>
      <c r="O1592" s="196"/>
      <c r="P1592" s="196"/>
      <c r="Q1592" s="196"/>
      <c r="R1592" s="196"/>
      <c r="S1592" s="196"/>
      <c r="T1592" s="196"/>
      <c r="U1592" s="196"/>
      <c r="V1592" s="198"/>
    </row>
    <row r="1593" spans="1:22" hidden="1" outlineLevel="2" x14ac:dyDescent="0.25">
      <c r="A1593" s="186">
        <f>SUMIFS(МКД!$A$6:$A$389,МКД!$D$6:$D$389,Таблица1[[#This Row],[2]])</f>
        <v>302</v>
      </c>
      <c r="B1593" s="168"/>
      <c r="C1593" s="182" t="s">
        <v>539</v>
      </c>
      <c r="D1593" s="167" t="s">
        <v>1942</v>
      </c>
      <c r="E1593" s="167" t="s">
        <v>1943</v>
      </c>
      <c r="F1593" s="167">
        <v>1</v>
      </c>
      <c r="G1593" s="168">
        <f>SUMIFS(Таблица1[[#This Row],[8]:[19]],$I$5:$T$5,"Выкуп")</f>
        <v>190.8</v>
      </c>
      <c r="H1593" s="168">
        <f>SUMIFS(Таблица1[[#This Row],[8]:[19]],$I$5:$T$5,"Аренда")</f>
        <v>0</v>
      </c>
      <c r="I1593" s="169">
        <f>190.8</f>
        <v>190.8</v>
      </c>
      <c r="J1593" s="169"/>
      <c r="K1593" s="169"/>
      <c r="L1593" s="169"/>
      <c r="M1593" s="169"/>
      <c r="N1593" s="169"/>
      <c r="O1593" s="169"/>
      <c r="P1593" s="169"/>
      <c r="Q1593" s="169"/>
      <c r="R1593" s="169"/>
      <c r="S1593" s="169"/>
      <c r="T1593" s="169"/>
      <c r="U1593" s="170"/>
      <c r="V1593" s="171"/>
    </row>
    <row r="1594" spans="1:22" hidden="1" outlineLevel="2" x14ac:dyDescent="0.25">
      <c r="A1594" s="186">
        <f>SUMIFS(МКД!$A$6:$A$389,МКД!$D$6:$D$389,Таблица1[[#This Row],[2]])</f>
        <v>302</v>
      </c>
      <c r="B1594" s="170"/>
      <c r="C1594" s="182" t="s">
        <v>539</v>
      </c>
      <c r="D1594" s="167" t="s">
        <v>334</v>
      </c>
      <c r="E1594" s="167" t="s">
        <v>1550</v>
      </c>
      <c r="F1594" s="167">
        <v>1</v>
      </c>
      <c r="G1594" s="168">
        <f>SUMIFS(Таблица1[[#This Row],[8]:[19]],$I$5:$T$5,"Выкуп")</f>
        <v>102.7</v>
      </c>
      <c r="H1594" s="168">
        <f>SUMIFS(Таблица1[[#This Row],[8]:[19]],$I$5:$T$5,"Аренда")</f>
        <v>0</v>
      </c>
      <c r="I1594" s="169">
        <v>102.7</v>
      </c>
      <c r="J1594" s="169"/>
      <c r="K1594" s="169"/>
      <c r="L1594" s="169"/>
      <c r="M1594" s="169"/>
      <c r="N1594" s="169"/>
      <c r="O1594" s="169"/>
      <c r="P1594" s="169"/>
      <c r="Q1594" s="169"/>
      <c r="R1594" s="169"/>
      <c r="S1594" s="169"/>
      <c r="T1594" s="169"/>
      <c r="U1594" s="170"/>
      <c r="V1594" s="171"/>
    </row>
    <row r="1595" spans="1:22" s="20" customFormat="1" hidden="1" outlineLevel="2" x14ac:dyDescent="0.25">
      <c r="A1595" s="186">
        <f>SUMIFS(МКД!$A$6:$A$389,МКД!$D$6:$D$389,Таблица1[[#This Row],[2]])</f>
        <v>302</v>
      </c>
      <c r="B1595" s="168"/>
      <c r="C1595" s="182" t="s">
        <v>539</v>
      </c>
      <c r="D1595" s="167" t="s">
        <v>336</v>
      </c>
      <c r="E1595" s="167" t="s">
        <v>1482</v>
      </c>
      <c r="F1595" s="167">
        <v>1</v>
      </c>
      <c r="G1595" s="168">
        <f>SUMIFS(Таблица1[[#This Row],[8]:[19]],$I$5:$T$5,"Выкуп")</f>
        <v>55.1</v>
      </c>
      <c r="H1595" s="168">
        <f>SUMIFS(Таблица1[[#This Row],[8]:[19]],$I$5:$T$5,"Аренда")</f>
        <v>0</v>
      </c>
      <c r="I1595" s="169">
        <v>55.1</v>
      </c>
      <c r="J1595" s="169"/>
      <c r="K1595" s="169"/>
      <c r="L1595" s="169"/>
      <c r="M1595" s="169"/>
      <c r="N1595" s="169"/>
      <c r="O1595" s="169"/>
      <c r="P1595" s="169"/>
      <c r="Q1595" s="169"/>
      <c r="R1595" s="169"/>
      <c r="S1595" s="169"/>
      <c r="T1595" s="169"/>
      <c r="U1595" s="170"/>
      <c r="V1595" s="171"/>
    </row>
    <row r="1596" spans="1:22" s="20" customFormat="1" hidden="1" outlineLevel="2" x14ac:dyDescent="0.25">
      <c r="A1596" s="186">
        <f>SUMIFS(МКД!$A$6:$A$389,МКД!$D$6:$D$389,Таблица1[[#This Row],[2]])</f>
        <v>302</v>
      </c>
      <c r="B1596" s="168"/>
      <c r="C1596" s="182" t="s">
        <v>539</v>
      </c>
      <c r="D1596" s="167" t="s">
        <v>336</v>
      </c>
      <c r="E1596" s="167" t="s">
        <v>1483</v>
      </c>
      <c r="F1596" s="167">
        <v>1</v>
      </c>
      <c r="G1596" s="168">
        <f>SUMIFS(Таблица1[[#This Row],[8]:[19]],$I$5:$T$5,"Выкуп")</f>
        <v>57.8</v>
      </c>
      <c r="H1596" s="168">
        <f>SUMIFS(Таблица1[[#This Row],[8]:[19]],$I$5:$T$5,"Аренда")</f>
        <v>0</v>
      </c>
      <c r="I1596" s="169">
        <v>57.8</v>
      </c>
      <c r="J1596" s="169"/>
      <c r="K1596" s="169"/>
      <c r="L1596" s="169"/>
      <c r="M1596" s="169"/>
      <c r="N1596" s="169"/>
      <c r="O1596" s="169"/>
      <c r="P1596" s="169"/>
      <c r="Q1596" s="169"/>
      <c r="R1596" s="169"/>
      <c r="S1596" s="169"/>
      <c r="T1596" s="169"/>
      <c r="U1596" s="170"/>
      <c r="V1596" s="171"/>
    </row>
    <row r="1597" spans="1:22" hidden="1" outlineLevel="2" x14ac:dyDescent="0.25">
      <c r="A1597" s="186">
        <f>SUMIFS(МКД!$A$6:$A$389,МКД!$D$6:$D$389,Таблица1[[#This Row],[2]])</f>
        <v>302</v>
      </c>
      <c r="B1597" s="168"/>
      <c r="C1597" s="182" t="s">
        <v>539</v>
      </c>
      <c r="D1597" s="167" t="s">
        <v>2388</v>
      </c>
      <c r="E1597" s="167" t="s">
        <v>2389</v>
      </c>
      <c r="F1597" s="167">
        <v>1</v>
      </c>
      <c r="G1597" s="168">
        <f>SUMIFS(Таблица1[[#This Row],[8]:[19]],$I$5:$T$5,"Выкуп")</f>
        <v>58.2</v>
      </c>
      <c r="H1597" s="168">
        <f>SUMIFS(Таблица1[[#This Row],[8]:[19]],$I$5:$T$5,"Аренда")</f>
        <v>0</v>
      </c>
      <c r="I1597" s="169">
        <v>58.2</v>
      </c>
      <c r="J1597" s="169"/>
      <c r="K1597" s="169"/>
      <c r="L1597" s="169"/>
      <c r="M1597" s="169"/>
      <c r="N1597" s="169"/>
      <c r="O1597" s="169"/>
      <c r="P1597" s="169"/>
      <c r="Q1597" s="169"/>
      <c r="R1597" s="169"/>
      <c r="S1597" s="169"/>
      <c r="T1597" s="169"/>
      <c r="U1597" s="170"/>
      <c r="V1597" s="171"/>
    </row>
    <row r="1598" spans="1:22" hidden="1" outlineLevel="2" x14ac:dyDescent="0.25">
      <c r="A1598" s="186">
        <f>SUMIFS(МКД!$A$6:$A$389,МКД!$D$6:$D$389,Таблица1[[#This Row],[2]])</f>
        <v>302</v>
      </c>
      <c r="B1598" s="168"/>
      <c r="C1598" s="182" t="s">
        <v>539</v>
      </c>
      <c r="D1598" s="167" t="s">
        <v>2388</v>
      </c>
      <c r="E1598" s="167" t="s">
        <v>2390</v>
      </c>
      <c r="F1598" s="167">
        <v>1</v>
      </c>
      <c r="G1598" s="168">
        <f>SUMIFS(Таблица1[[#This Row],[8]:[19]],$I$5:$T$5,"Выкуп")</f>
        <v>82.9</v>
      </c>
      <c r="H1598" s="168">
        <f>SUMIFS(Таблица1[[#This Row],[8]:[19]],$I$5:$T$5,"Аренда")</f>
        <v>0</v>
      </c>
      <c r="I1598" s="169">
        <v>82.9</v>
      </c>
      <c r="J1598" s="169"/>
      <c r="K1598" s="169"/>
      <c r="L1598" s="169"/>
      <c r="M1598" s="169"/>
      <c r="N1598" s="169"/>
      <c r="O1598" s="169"/>
      <c r="P1598" s="169"/>
      <c r="Q1598" s="169"/>
      <c r="R1598" s="169"/>
      <c r="S1598" s="169"/>
      <c r="T1598" s="169"/>
      <c r="U1598" s="170"/>
      <c r="V1598" s="171"/>
    </row>
    <row r="1599" spans="1:22" hidden="1" outlineLevel="2" x14ac:dyDescent="0.25">
      <c r="A1599" s="186">
        <f>SUMIFS(МКД!$A$6:$A$389,МКД!$D$6:$D$389,Таблица1[[#This Row],[2]])</f>
        <v>302</v>
      </c>
      <c r="B1599" s="168"/>
      <c r="C1599" s="182" t="s">
        <v>539</v>
      </c>
      <c r="D1599" s="167" t="s">
        <v>335</v>
      </c>
      <c r="E1599" s="167" t="s">
        <v>2391</v>
      </c>
      <c r="F1599" s="167">
        <v>1</v>
      </c>
      <c r="G1599" s="168">
        <f>SUMIFS(Таблица1[[#This Row],[8]:[19]],$I$5:$T$5,"Выкуп")</f>
        <v>70.099999999999994</v>
      </c>
      <c r="H1599" s="168">
        <f>SUMIFS(Таблица1[[#This Row],[8]:[19]],$I$5:$T$5,"Аренда")</f>
        <v>0</v>
      </c>
      <c r="I1599" s="169">
        <v>70.099999999999994</v>
      </c>
      <c r="J1599" s="169"/>
      <c r="K1599" s="169"/>
      <c r="L1599" s="169"/>
      <c r="M1599" s="169"/>
      <c r="N1599" s="169"/>
      <c r="O1599" s="169"/>
      <c r="P1599" s="169"/>
      <c r="Q1599" s="169"/>
      <c r="R1599" s="169"/>
      <c r="S1599" s="169"/>
      <c r="T1599" s="169"/>
      <c r="U1599" s="170"/>
      <c r="V1599" s="171"/>
    </row>
    <row r="1600" spans="1:22" hidden="1" outlineLevel="2" x14ac:dyDescent="0.25">
      <c r="A1600" s="186">
        <f>SUMIFS(МКД!$A$6:$A$389,МКД!$D$6:$D$389,Таблица1[[#This Row],[2]])</f>
        <v>302</v>
      </c>
      <c r="B1600" s="168"/>
      <c r="C1600" s="182" t="s">
        <v>539</v>
      </c>
      <c r="D1600" s="167" t="s">
        <v>1593</v>
      </c>
      <c r="E1600" s="273" t="s">
        <v>1771</v>
      </c>
      <c r="F1600" s="167">
        <v>1</v>
      </c>
      <c r="G1600" s="168">
        <f>SUMIFS(Таблица1[[#This Row],[8]:[19]],$I$5:$T$5,"Выкуп")</f>
        <v>44.2</v>
      </c>
      <c r="H1600" s="168">
        <f>SUMIFS(Таблица1[[#This Row],[8]:[19]],$I$5:$T$5,"Аренда")</f>
        <v>0</v>
      </c>
      <c r="I1600" s="169"/>
      <c r="J1600" s="169"/>
      <c r="K1600" s="169">
        <v>44.2</v>
      </c>
      <c r="L1600" s="169"/>
      <c r="M1600" s="169"/>
      <c r="N1600" s="169"/>
      <c r="O1600" s="169"/>
      <c r="P1600" s="169"/>
      <c r="Q1600" s="169"/>
      <c r="R1600" s="169"/>
      <c r="S1600" s="169"/>
      <c r="T1600" s="169"/>
      <c r="U1600" s="170"/>
      <c r="V1600" s="171"/>
    </row>
    <row r="1601" spans="1:22" hidden="1" outlineLevel="2" x14ac:dyDescent="0.25">
      <c r="A1601" s="186">
        <f>SUMIFS(МКД!$A$6:$A$389,МКД!$D$6:$D$389,Таблица1[[#This Row],[2]])</f>
        <v>302</v>
      </c>
      <c r="B1601" s="168"/>
      <c r="C1601" s="182" t="s">
        <v>539</v>
      </c>
      <c r="D1601" s="167" t="s">
        <v>338</v>
      </c>
      <c r="E1601" s="167" t="s">
        <v>2392</v>
      </c>
      <c r="F1601" s="167">
        <v>1</v>
      </c>
      <c r="G1601" s="168">
        <f>SUMIFS(Таблица1[[#This Row],[8]:[19]],$I$5:$T$5,"Выкуп")</f>
        <v>114.9</v>
      </c>
      <c r="H1601" s="168">
        <f>SUMIFS(Таблица1[[#This Row],[8]:[19]],$I$5:$T$5,"Аренда")</f>
        <v>0</v>
      </c>
      <c r="I1601" s="169">
        <v>114.9</v>
      </c>
      <c r="J1601" s="169"/>
      <c r="K1601" s="169"/>
      <c r="L1601" s="169"/>
      <c r="M1601" s="169"/>
      <c r="N1601" s="169"/>
      <c r="O1601" s="169"/>
      <c r="P1601" s="169"/>
      <c r="Q1601" s="169"/>
      <c r="R1601" s="169"/>
      <c r="S1601" s="169"/>
      <c r="T1601" s="169"/>
      <c r="U1601" s="170"/>
      <c r="V1601" s="171"/>
    </row>
    <row r="1602" spans="1:22" s="20" customFormat="1" hidden="1" outlineLevel="2" x14ac:dyDescent="0.25">
      <c r="A1602" s="186">
        <f>SUMIFS(МКД!$A$6:$A$389,МКД!$D$6:$D$389,Таблица1[[#This Row],[2]])</f>
        <v>302</v>
      </c>
      <c r="B1602" s="168"/>
      <c r="C1602" s="182" t="s">
        <v>539</v>
      </c>
      <c r="D1602" s="167" t="s">
        <v>1958</v>
      </c>
      <c r="E1602" s="167" t="s">
        <v>1957</v>
      </c>
      <c r="F1602" s="167">
        <v>1</v>
      </c>
      <c r="G1602" s="168">
        <f>SUMIFS(Таблица1[[#This Row],[8]:[19]],$I$5:$T$5,"Выкуп")</f>
        <v>59.9</v>
      </c>
      <c r="H1602" s="168">
        <f>SUMIFS(Таблица1[[#This Row],[8]:[19]],$I$5:$T$5,"Аренда")</f>
        <v>0</v>
      </c>
      <c r="I1602" s="169">
        <v>59.9</v>
      </c>
      <c r="J1602" s="169"/>
      <c r="K1602" s="169"/>
      <c r="L1602" s="169"/>
      <c r="M1602" s="169"/>
      <c r="N1602" s="169"/>
      <c r="O1602" s="169"/>
      <c r="P1602" s="169"/>
      <c r="Q1602" s="169"/>
      <c r="R1602" s="169"/>
      <c r="S1602" s="169"/>
      <c r="T1602" s="169"/>
      <c r="U1602" s="170"/>
      <c r="V1602" s="171"/>
    </row>
    <row r="1603" spans="1:22" s="19" customFormat="1" hidden="1" outlineLevel="2" x14ac:dyDescent="0.25">
      <c r="A1603" s="186">
        <f>SUMIFS(МКД!$A$6:$A$389,МКД!$D$6:$D$389,Таблица1[[#This Row],[2]])</f>
        <v>302</v>
      </c>
      <c r="B1603" s="168"/>
      <c r="C1603" s="182" t="s">
        <v>539</v>
      </c>
      <c r="D1603" s="167" t="s">
        <v>1959</v>
      </c>
      <c r="E1603" s="167" t="s">
        <v>2835</v>
      </c>
      <c r="F1603" s="167">
        <v>1</v>
      </c>
      <c r="G1603" s="168">
        <f>SUMIFS(Таблица1[[#This Row],[8]:[19]],$I$5:$T$5,"Выкуп")</f>
        <v>0</v>
      </c>
      <c r="H1603" s="168">
        <f>SUMIFS(Таблица1[[#This Row],[8]:[19]],$I$5:$T$5,"Аренда")</f>
        <v>12.7</v>
      </c>
      <c r="I1603" s="169"/>
      <c r="J1603" s="169"/>
      <c r="K1603" s="169"/>
      <c r="L1603" s="169"/>
      <c r="M1603" s="169"/>
      <c r="N1603" s="169"/>
      <c r="O1603" s="167"/>
      <c r="P1603" s="169">
        <f>12.7</f>
        <v>12.7</v>
      </c>
      <c r="Q1603" s="169"/>
      <c r="R1603" s="169"/>
      <c r="S1603" s="169"/>
      <c r="T1603" s="169"/>
      <c r="U1603" s="170"/>
      <c r="V1603" s="171"/>
    </row>
    <row r="1604" spans="1:22" hidden="1" outlineLevel="2" x14ac:dyDescent="0.25">
      <c r="A1604" s="186">
        <f>SUMIFS(МКД!$A$6:$A$389,МКД!$D$6:$D$389,Таблица1[[#This Row],[2]])</f>
        <v>302</v>
      </c>
      <c r="B1604" s="168"/>
      <c r="C1604" s="182" t="s">
        <v>539</v>
      </c>
      <c r="D1604" s="167" t="s">
        <v>2014</v>
      </c>
      <c r="E1604" s="167" t="s">
        <v>2393</v>
      </c>
      <c r="F1604" s="167">
        <v>1</v>
      </c>
      <c r="G1604" s="168">
        <f>SUMIFS(Таблица1[[#This Row],[8]:[19]],$I$5:$T$5,"Выкуп")</f>
        <v>0</v>
      </c>
      <c r="H1604" s="168">
        <f>SUMIFS(Таблица1[[#This Row],[8]:[19]],$I$5:$T$5,"Аренда")</f>
        <v>12.1</v>
      </c>
      <c r="I1604" s="169"/>
      <c r="J1604" s="169"/>
      <c r="K1604" s="169"/>
      <c r="L1604" s="169"/>
      <c r="M1604" s="169"/>
      <c r="N1604" s="169"/>
      <c r="O1604" s="167"/>
      <c r="P1604" s="169">
        <f>12.1</f>
        <v>12.1</v>
      </c>
      <c r="Q1604" s="169"/>
      <c r="R1604" s="169"/>
      <c r="S1604" s="169"/>
      <c r="T1604" s="169"/>
      <c r="U1604" s="170"/>
      <c r="V1604" s="171"/>
    </row>
    <row r="1605" spans="1:22" s="20" customFormat="1" hidden="1" outlineLevel="2" x14ac:dyDescent="0.25">
      <c r="A1605" s="186">
        <f>SUMIFS(МКД!$A$6:$A$389,МКД!$D$6:$D$389,Таблица1[[#This Row],[2]])</f>
        <v>302</v>
      </c>
      <c r="B1605" s="168"/>
      <c r="C1605" s="182" t="s">
        <v>539</v>
      </c>
      <c r="D1605" s="167" t="s">
        <v>1053</v>
      </c>
      <c r="E1605" s="167" t="s">
        <v>2793</v>
      </c>
      <c r="F1605" s="167">
        <v>1</v>
      </c>
      <c r="G1605" s="168">
        <f>SUMIFS(Таблица1[[#This Row],[8]:[19]],$I$5:$T$5,"Выкуп")</f>
        <v>203.5</v>
      </c>
      <c r="H1605" s="168">
        <f>SUMIFS(Таблица1[[#This Row],[8]:[19]],$I$5:$T$5,"Аренда")</f>
        <v>0</v>
      </c>
      <c r="I1605" s="169"/>
      <c r="J1605" s="169"/>
      <c r="K1605" s="169"/>
      <c r="L1605" s="169"/>
      <c r="M1605" s="278">
        <v>203.5</v>
      </c>
      <c r="N1605" s="169"/>
      <c r="O1605" s="169"/>
      <c r="P1605" s="169"/>
      <c r="Q1605" s="169"/>
      <c r="R1605" s="169"/>
      <c r="S1605" s="169"/>
      <c r="T1605" s="169"/>
      <c r="U1605" s="170"/>
      <c r="V1605" s="171"/>
    </row>
    <row r="1606" spans="1:22" s="20" customFormat="1" hidden="1" outlineLevel="2" x14ac:dyDescent="0.25">
      <c r="A1606" s="186">
        <f>SUMIFS(МКД!$A$6:$A$389,МКД!$D$6:$D$389,Таблица1[[#This Row],[2]])</f>
        <v>302</v>
      </c>
      <c r="B1606" s="168"/>
      <c r="C1606" s="182" t="s">
        <v>539</v>
      </c>
      <c r="D1606" s="167" t="s">
        <v>1394</v>
      </c>
      <c r="E1606" s="167" t="s">
        <v>2793</v>
      </c>
      <c r="F1606" s="167">
        <v>1</v>
      </c>
      <c r="G1606" s="168">
        <f>SUMIFS(Таблица1[[#This Row],[8]:[19]],$I$5:$T$5,"Выкуп")</f>
        <v>154.69999999999999</v>
      </c>
      <c r="H1606" s="168">
        <f>SUMIFS(Таблица1[[#This Row],[8]:[19]],$I$5:$T$5,"Аренда")</f>
        <v>0</v>
      </c>
      <c r="I1606" s="169"/>
      <c r="J1606" s="169"/>
      <c r="K1606" s="169"/>
      <c r="L1606" s="169"/>
      <c r="M1606" s="278">
        <v>154.69999999999999</v>
      </c>
      <c r="N1606" s="169"/>
      <c r="O1606" s="169"/>
      <c r="P1606" s="169"/>
      <c r="Q1606" s="169"/>
      <c r="R1606" s="169"/>
      <c r="S1606" s="169"/>
      <c r="T1606" s="169"/>
      <c r="U1606" s="170"/>
      <c r="V1606" s="171"/>
    </row>
    <row r="1607" spans="1:22" s="19" customFormat="1" ht="15" outlineLevel="1" collapsed="1" x14ac:dyDescent="0.25">
      <c r="A1607" s="186">
        <f>SUMIFS(МКД!$A$6:$A$389,МКД!$D$6:$D$389,Таблица1[[#This Row],[2]])</f>
        <v>303</v>
      </c>
      <c r="B1607" s="194">
        <f>SUMIFS(Таблица1[6],Таблица1[2],Таблица1[[#This Row],[2]])+SUMIFS(Таблица1[7],Таблица1[2],Таблица1[[#This Row],[2]])</f>
        <v>153.6</v>
      </c>
      <c r="C1607" s="185" t="s">
        <v>540</v>
      </c>
      <c r="D1607" s="196"/>
      <c r="E1607" s="196"/>
      <c r="F1607" s="196"/>
      <c r="G1607" s="168"/>
      <c r="H1607" s="197"/>
      <c r="I1607" s="196"/>
      <c r="J1607" s="196"/>
      <c r="K1607" s="196"/>
      <c r="L1607" s="196"/>
      <c r="M1607" s="196"/>
      <c r="N1607" s="196"/>
      <c r="O1607" s="196"/>
      <c r="P1607" s="196"/>
      <c r="Q1607" s="196"/>
      <c r="R1607" s="196"/>
      <c r="S1607" s="196"/>
      <c r="T1607" s="196"/>
      <c r="U1607" s="196"/>
      <c r="V1607" s="198"/>
    </row>
    <row r="1608" spans="1:22" hidden="1" outlineLevel="2" x14ac:dyDescent="0.25">
      <c r="A1608" s="186">
        <f>SUMIFS(МКД!$A$6:$A$389,МКД!$D$6:$D$389,Таблица1[[#This Row],[2]])</f>
        <v>303</v>
      </c>
      <c r="B1608" s="170"/>
      <c r="C1608" s="182" t="s">
        <v>540</v>
      </c>
      <c r="D1608" s="167" t="s">
        <v>298</v>
      </c>
      <c r="E1608" s="167" t="s">
        <v>1896</v>
      </c>
      <c r="F1608" s="167">
        <v>1</v>
      </c>
      <c r="G1608" s="168">
        <f>SUMIFS(Таблица1[[#This Row],[8]:[19]],$I$5:$T$5,"Выкуп")</f>
        <v>124.8</v>
      </c>
      <c r="H1608" s="168">
        <f>SUMIFS(Таблица1[[#This Row],[8]:[19]],$I$5:$T$5,"Аренда")</f>
        <v>0</v>
      </c>
      <c r="I1608" s="169"/>
      <c r="J1608" s="169"/>
      <c r="K1608" s="169"/>
      <c r="L1608" s="169"/>
      <c r="M1608" s="169">
        <v>124.8</v>
      </c>
      <c r="N1608" s="169"/>
      <c r="O1608" s="169"/>
      <c r="P1608" s="169"/>
      <c r="Q1608" s="169"/>
      <c r="R1608" s="169"/>
      <c r="S1608" s="169"/>
      <c r="T1608" s="169"/>
      <c r="U1608" s="170"/>
      <c r="V1608" s="171"/>
    </row>
    <row r="1609" spans="1:22" hidden="1" outlineLevel="2" x14ac:dyDescent="0.25">
      <c r="A1609" s="186">
        <f>SUMIFS(МКД!$A$6:$A$389,МКД!$D$6:$D$389,Таблица1[[#This Row],[2]])</f>
        <v>303</v>
      </c>
      <c r="B1609" s="170"/>
      <c r="C1609" s="182" t="s">
        <v>540</v>
      </c>
      <c r="D1609" s="167" t="s">
        <v>1053</v>
      </c>
      <c r="E1609" s="167" t="s">
        <v>1949</v>
      </c>
      <c r="F1609" s="167">
        <v>1</v>
      </c>
      <c r="G1609" s="168">
        <f>SUMIFS(Таблица1[[#This Row],[8]:[19]],$I$5:$T$5,"Выкуп")</f>
        <v>28.8</v>
      </c>
      <c r="H1609" s="168">
        <f>SUMIFS(Таблица1[[#This Row],[8]:[19]],$I$5:$T$5,"Аренда")</f>
        <v>0</v>
      </c>
      <c r="I1609" s="169">
        <v>28.8</v>
      </c>
      <c r="J1609" s="169"/>
      <c r="K1609" s="169"/>
      <c r="L1609" s="169"/>
      <c r="M1609" s="169"/>
      <c r="N1609" s="169"/>
      <c r="O1609" s="169"/>
      <c r="P1609" s="169"/>
      <c r="Q1609" s="169"/>
      <c r="R1609" s="169"/>
      <c r="S1609" s="169"/>
      <c r="T1609" s="169"/>
      <c r="U1609" s="170"/>
      <c r="V1609" s="171"/>
    </row>
    <row r="1610" spans="1:22" s="19" customFormat="1" ht="15" outlineLevel="1" collapsed="1" x14ac:dyDescent="0.25">
      <c r="A1610" s="186">
        <f>SUMIFS(МКД!$A$6:$A$389,МКД!$D$6:$D$389,Таблица1[[#This Row],[2]])</f>
        <v>315</v>
      </c>
      <c r="B1610" s="194">
        <f>SUMIFS(Таблица1[6],Таблица1[2],Таблица1[[#This Row],[2]])+SUMIFS(Таблица1[7],Таблица1[2],Таблица1[[#This Row],[2]])</f>
        <v>0</v>
      </c>
      <c r="C1610" s="185" t="s">
        <v>637</v>
      </c>
      <c r="D1610" s="196"/>
      <c r="E1610" s="196"/>
      <c r="F1610" s="196"/>
      <c r="G1610" s="168"/>
      <c r="H1610" s="197"/>
      <c r="I1610" s="196"/>
      <c r="J1610" s="196"/>
      <c r="K1610" s="196"/>
      <c r="L1610" s="196"/>
      <c r="M1610" s="196"/>
      <c r="N1610" s="196"/>
      <c r="O1610" s="196"/>
      <c r="P1610" s="196"/>
      <c r="Q1610" s="196"/>
      <c r="R1610" s="196"/>
      <c r="S1610" s="196"/>
      <c r="T1610" s="196"/>
      <c r="U1610" s="196"/>
      <c r="V1610" s="198"/>
    </row>
    <row r="1611" spans="1:22" hidden="1" outlineLevel="2" x14ac:dyDescent="0.25">
      <c r="A1611" s="186">
        <f>SUMIFS(МКД!$A$6:$A$389,МКД!$D$6:$D$389,Таблица1[[#This Row],[2]])</f>
        <v>315</v>
      </c>
      <c r="B1611" s="170"/>
      <c r="C1611" s="182" t="s">
        <v>637</v>
      </c>
      <c r="D1611" s="167"/>
      <c r="E1611" s="167"/>
      <c r="F1611" s="167"/>
      <c r="G1611" s="168">
        <f>SUMIFS(Таблица1[[#This Row],[8]:[19]],$I$5:$T$5,"Выкуп")</f>
        <v>0</v>
      </c>
      <c r="H1611" s="168">
        <f>SUMIFS(Таблица1[[#This Row],[8]:[19]],$I$5:$T$5,"Аренда")</f>
        <v>0</v>
      </c>
      <c r="I1611" s="169"/>
      <c r="J1611" s="169"/>
      <c r="K1611" s="169"/>
      <c r="L1611" s="169"/>
      <c r="M1611" s="169"/>
      <c r="N1611" s="169"/>
      <c r="O1611" s="169"/>
      <c r="P1611" s="169"/>
      <c r="Q1611" s="169"/>
      <c r="R1611" s="169"/>
      <c r="S1611" s="169"/>
      <c r="T1611" s="169"/>
      <c r="U1611" s="170"/>
      <c r="V1611" s="171"/>
    </row>
    <row r="1612" spans="1:22" ht="15" outlineLevel="1" collapsed="1" x14ac:dyDescent="0.25">
      <c r="A1612" s="186">
        <f>SUMIFS(МКД!$A$6:$A$389,МКД!$D$6:$D$389,Таблица1[[#This Row],[2]])</f>
        <v>321</v>
      </c>
      <c r="B1612" s="194">
        <f>SUMIFS(Таблица1[6],Таблица1[2],Таблица1[[#This Row],[2]])+SUMIFS(Таблица1[7],Таблица1[2],Таблица1[[#This Row],[2]])</f>
        <v>507.5</v>
      </c>
      <c r="C1612" s="185" t="s">
        <v>541</v>
      </c>
      <c r="D1612" s="196"/>
      <c r="E1612" s="196"/>
      <c r="F1612" s="196"/>
      <c r="G1612" s="168"/>
      <c r="H1612" s="197"/>
      <c r="I1612" s="196"/>
      <c r="J1612" s="196"/>
      <c r="K1612" s="196"/>
      <c r="L1612" s="196"/>
      <c r="M1612" s="196"/>
      <c r="N1612" s="196"/>
      <c r="O1612" s="196"/>
      <c r="P1612" s="196"/>
      <c r="Q1612" s="196"/>
      <c r="R1612" s="196"/>
      <c r="S1612" s="196"/>
      <c r="T1612" s="196"/>
      <c r="U1612" s="196"/>
      <c r="V1612" s="198"/>
    </row>
    <row r="1613" spans="1:22" hidden="1" outlineLevel="2" x14ac:dyDescent="0.25">
      <c r="A1613" s="186">
        <f>SUMIFS(МКД!$A$6:$A$389,МКД!$D$6:$D$389,Таблица1[[#This Row],[2]])</f>
        <v>321</v>
      </c>
      <c r="B1613" s="170"/>
      <c r="C1613" s="182" t="s">
        <v>541</v>
      </c>
      <c r="D1613" s="167" t="s">
        <v>1787</v>
      </c>
      <c r="E1613" s="167" t="s">
        <v>1514</v>
      </c>
      <c r="F1613" s="167">
        <v>1</v>
      </c>
      <c r="G1613" s="168">
        <f>SUMIFS(Таблица1[[#This Row],[8]:[19]],$I$5:$T$5,"Выкуп")</f>
        <v>118.9</v>
      </c>
      <c r="H1613" s="168">
        <f>SUMIFS(Таблица1[[#This Row],[8]:[19]],$I$5:$T$5,"Аренда")</f>
        <v>0</v>
      </c>
      <c r="I1613" s="169"/>
      <c r="J1613" s="169"/>
      <c r="K1613" s="169">
        <v>118.9</v>
      </c>
      <c r="L1613" s="169"/>
      <c r="M1613" s="169"/>
      <c r="N1613" s="169"/>
      <c r="O1613" s="169"/>
      <c r="P1613" s="169"/>
      <c r="Q1613" s="169"/>
      <c r="R1613" s="169"/>
      <c r="S1613" s="169"/>
      <c r="T1613" s="169"/>
      <c r="U1613" s="170"/>
      <c r="V1613" s="171"/>
    </row>
    <row r="1614" spans="1:22" hidden="1" outlineLevel="2" x14ac:dyDescent="0.25">
      <c r="A1614" s="186">
        <f>SUMIFS(МКД!$A$6:$A$389,МКД!$D$6:$D$389,Таблица1[[#This Row],[2]])</f>
        <v>321</v>
      </c>
      <c r="B1614" s="168"/>
      <c r="C1614" s="182" t="s">
        <v>541</v>
      </c>
      <c r="D1614" s="167" t="s">
        <v>1787</v>
      </c>
      <c r="E1614" s="167" t="s">
        <v>1804</v>
      </c>
      <c r="F1614" s="167">
        <v>1</v>
      </c>
      <c r="G1614" s="168">
        <f>SUMIFS(Таблица1[[#This Row],[8]:[19]],$I$5:$T$5,"Выкуп")</f>
        <v>177.4</v>
      </c>
      <c r="H1614" s="168">
        <f>SUMIFS(Таблица1[[#This Row],[8]:[19]],$I$5:$T$5,"Аренда")</f>
        <v>0</v>
      </c>
      <c r="I1614" s="169"/>
      <c r="J1614" s="169"/>
      <c r="K1614" s="169">
        <v>177.4</v>
      </c>
      <c r="L1614" s="169"/>
      <c r="M1614" s="169"/>
      <c r="N1614" s="169"/>
      <c r="O1614" s="169"/>
      <c r="P1614" s="169"/>
      <c r="Q1614" s="169"/>
      <c r="R1614" s="169"/>
      <c r="S1614" s="169"/>
      <c r="T1614" s="169"/>
      <c r="U1614" s="170"/>
      <c r="V1614" s="171"/>
    </row>
    <row r="1615" spans="1:22" hidden="1" outlineLevel="2" x14ac:dyDescent="0.25">
      <c r="A1615" s="186">
        <f>SUMIFS(МКД!$A$6:$A$389,МКД!$D$6:$D$389,Таблица1[[#This Row],[2]])</f>
        <v>321</v>
      </c>
      <c r="B1615" s="168"/>
      <c r="C1615" s="182" t="s">
        <v>541</v>
      </c>
      <c r="D1615" s="167" t="s">
        <v>0</v>
      </c>
      <c r="E1615" s="167" t="s">
        <v>2436</v>
      </c>
      <c r="F1615" s="167">
        <v>1</v>
      </c>
      <c r="G1615" s="168">
        <f>SUMIFS(Таблица1[[#This Row],[8]:[19]],$I$5:$T$5,"Выкуп")</f>
        <v>71.5</v>
      </c>
      <c r="H1615" s="168">
        <f>SUMIFS(Таблица1[[#This Row],[8]:[19]],$I$5:$T$5,"Аренда")</f>
        <v>0</v>
      </c>
      <c r="I1615" s="169"/>
      <c r="J1615" s="169"/>
      <c r="K1615" s="169">
        <v>71.5</v>
      </c>
      <c r="L1615" s="169"/>
      <c r="M1615" s="169"/>
      <c r="N1615" s="169"/>
      <c r="O1615" s="169"/>
      <c r="P1615" s="169"/>
      <c r="Q1615" s="169"/>
      <c r="R1615" s="169"/>
      <c r="S1615" s="169"/>
      <c r="T1615" s="169"/>
      <c r="U1615" s="170"/>
      <c r="V1615" s="171"/>
    </row>
    <row r="1616" spans="1:22" hidden="1" outlineLevel="2" x14ac:dyDescent="0.25">
      <c r="A1616" s="186">
        <f>SUMIFS(МКД!$A$6:$A$389,МКД!$D$6:$D$389,Таблица1[[#This Row],[2]])</f>
        <v>321</v>
      </c>
      <c r="B1616" s="168"/>
      <c r="C1616" s="182" t="s">
        <v>541</v>
      </c>
      <c r="D1616" s="167" t="s">
        <v>1533</v>
      </c>
      <c r="E1616" s="167" t="s">
        <v>1484</v>
      </c>
      <c r="F1616" s="167">
        <v>1</v>
      </c>
      <c r="G1616" s="168">
        <f>SUMIFS(Таблица1[[#This Row],[8]:[19]],$I$5:$T$5,"Выкуп")</f>
        <v>139.69999999999999</v>
      </c>
      <c r="H1616" s="168">
        <f>SUMIFS(Таблица1[[#This Row],[8]:[19]],$I$5:$T$5,"Аренда")</f>
        <v>0</v>
      </c>
      <c r="I1616" s="169"/>
      <c r="J1616" s="169"/>
      <c r="K1616" s="169">
        <v>139.69999999999999</v>
      </c>
      <c r="L1616" s="169"/>
      <c r="M1616" s="169"/>
      <c r="N1616" s="169"/>
      <c r="O1616" s="169"/>
      <c r="P1616" s="169"/>
      <c r="Q1616" s="169"/>
      <c r="R1616" s="169"/>
      <c r="S1616" s="169"/>
      <c r="T1616" s="169"/>
      <c r="U1616" s="170"/>
      <c r="V1616" s="171"/>
    </row>
    <row r="1617" spans="1:22" ht="15" outlineLevel="1" collapsed="1" x14ac:dyDescent="0.25">
      <c r="A1617" s="186">
        <f>SUMIFS(МКД!$A$6:$A$389,МКД!$D$6:$D$389,Таблица1[[#This Row],[2]])</f>
        <v>322</v>
      </c>
      <c r="B1617" s="194">
        <f>SUMIFS(Таблица1[6],Таблица1[2],Таблица1[[#This Row],[2]])+SUMIFS(Таблица1[7],Таблица1[2],Таблица1[[#This Row],[2]])</f>
        <v>571.9</v>
      </c>
      <c r="C1617" s="185" t="s">
        <v>638</v>
      </c>
      <c r="D1617" s="196"/>
      <c r="E1617" s="196"/>
      <c r="F1617" s="196"/>
      <c r="G1617" s="168"/>
      <c r="H1617" s="197"/>
      <c r="I1617" s="196"/>
      <c r="J1617" s="196"/>
      <c r="K1617" s="196"/>
      <c r="L1617" s="196"/>
      <c r="M1617" s="196"/>
      <c r="N1617" s="196"/>
      <c r="O1617" s="196"/>
      <c r="P1617" s="196"/>
      <c r="Q1617" s="196"/>
      <c r="R1617" s="196"/>
      <c r="S1617" s="196"/>
      <c r="T1617" s="196"/>
      <c r="U1617" s="196"/>
      <c r="V1617" s="198"/>
    </row>
    <row r="1618" spans="1:22" hidden="1" outlineLevel="2" x14ac:dyDescent="0.25">
      <c r="A1618" s="186">
        <f>SUMIFS(МКД!$A$6:$A$389,МКД!$D$6:$D$389,Таблица1[[#This Row],[2]])</f>
        <v>322</v>
      </c>
      <c r="B1618" s="170"/>
      <c r="C1618" s="182" t="s">
        <v>638</v>
      </c>
      <c r="D1618" s="167" t="s">
        <v>860</v>
      </c>
      <c r="E1618" s="167" t="s">
        <v>1373</v>
      </c>
      <c r="F1618" s="167">
        <v>1</v>
      </c>
      <c r="G1618" s="168">
        <f>SUMIFS(Таблица1[[#This Row],[8]:[19]],$I$5:$T$5,"Выкуп")</f>
        <v>72.099999999999994</v>
      </c>
      <c r="H1618" s="168">
        <f>SUMIFS(Таблица1[[#This Row],[8]:[19]],$I$5:$T$5,"Аренда")</f>
        <v>0</v>
      </c>
      <c r="I1618" s="169">
        <v>72.099999999999994</v>
      </c>
      <c r="J1618" s="169"/>
      <c r="K1618" s="169"/>
      <c r="L1618" s="169"/>
      <c r="M1618" s="169"/>
      <c r="N1618" s="169"/>
      <c r="O1618" s="169"/>
      <c r="P1618" s="169"/>
      <c r="Q1618" s="169"/>
      <c r="R1618" s="169"/>
      <c r="S1618" s="169"/>
      <c r="T1618" s="169"/>
      <c r="U1618" s="170"/>
      <c r="V1618" s="171"/>
    </row>
    <row r="1619" spans="1:22" hidden="1" outlineLevel="2" x14ac:dyDescent="0.25">
      <c r="A1619" s="186">
        <f>SUMIFS(МКД!$A$6:$A$389,МКД!$D$6:$D$389,Таблица1[[#This Row],[2]])</f>
        <v>322</v>
      </c>
      <c r="B1619" s="168"/>
      <c r="C1619" s="182" t="s">
        <v>638</v>
      </c>
      <c r="D1619" s="167" t="s">
        <v>1621</v>
      </c>
      <c r="E1619" s="167" t="s">
        <v>1484</v>
      </c>
      <c r="F1619" s="167">
        <v>1</v>
      </c>
      <c r="G1619" s="168">
        <f>SUMIFS(Таблица1[[#This Row],[8]:[19]],$I$5:$T$5,"Выкуп")</f>
        <v>121.6</v>
      </c>
      <c r="H1619" s="168">
        <f>SUMIFS(Таблица1[[#This Row],[8]:[19]],$I$5:$T$5,"Аренда")</f>
        <v>0</v>
      </c>
      <c r="I1619" s="169"/>
      <c r="J1619" s="169"/>
      <c r="K1619" s="169">
        <v>121.6</v>
      </c>
      <c r="L1619" s="169"/>
      <c r="M1619" s="169"/>
      <c r="N1619" s="169"/>
      <c r="O1619" s="169"/>
      <c r="P1619" s="169"/>
      <c r="Q1619" s="169"/>
      <c r="R1619" s="169"/>
      <c r="S1619" s="169"/>
      <c r="T1619" s="169"/>
      <c r="U1619" s="170"/>
      <c r="V1619" s="171"/>
    </row>
    <row r="1620" spans="1:22" hidden="1" outlineLevel="2" x14ac:dyDescent="0.25">
      <c r="A1620" s="186">
        <f>SUMIFS(МКД!$A$6:$A$389,МКД!$D$6:$D$389,Таблица1[[#This Row],[2]])</f>
        <v>322</v>
      </c>
      <c r="B1620" s="168"/>
      <c r="C1620" s="182" t="s">
        <v>638</v>
      </c>
      <c r="D1620" s="167" t="s">
        <v>104</v>
      </c>
      <c r="E1620" s="167" t="s">
        <v>2437</v>
      </c>
      <c r="F1620" s="167">
        <v>1</v>
      </c>
      <c r="G1620" s="168">
        <f>SUMIFS(Таблица1[[#This Row],[8]:[19]],$I$5:$T$5,"Выкуп")</f>
        <v>0</v>
      </c>
      <c r="H1620" s="168">
        <f>SUMIFS(Таблица1[[#This Row],[8]:[19]],$I$5:$T$5,"Аренда")</f>
        <v>0</v>
      </c>
      <c r="I1620" s="169"/>
      <c r="J1620" s="169"/>
      <c r="K1620" s="169"/>
      <c r="L1620" s="169"/>
      <c r="M1620" s="169"/>
      <c r="N1620" s="169"/>
      <c r="O1620" s="167"/>
      <c r="P1620" s="169">
        <f>11.2*0</f>
        <v>0</v>
      </c>
      <c r="Q1620" s="169"/>
      <c r="R1620" s="169"/>
      <c r="S1620" s="169"/>
      <c r="T1620" s="169"/>
      <c r="U1620" s="170"/>
      <c r="V1620" s="171"/>
    </row>
    <row r="1621" spans="1:22" hidden="1" outlineLevel="2" x14ac:dyDescent="0.25">
      <c r="A1621" s="186">
        <f>SUMIFS(МКД!$A$6:$A$389,МКД!$D$6:$D$389,Таблица1[[#This Row],[2]])</f>
        <v>322</v>
      </c>
      <c r="B1621" s="168"/>
      <c r="C1621" s="182" t="s">
        <v>638</v>
      </c>
      <c r="D1621" s="167" t="s">
        <v>2438</v>
      </c>
      <c r="E1621" s="167" t="s">
        <v>1036</v>
      </c>
      <c r="F1621" s="167"/>
      <c r="G1621" s="168">
        <f>SUMIFS(Таблица1[[#This Row],[8]:[19]],$I$5:$T$5,"Выкуп")</f>
        <v>56.2</v>
      </c>
      <c r="H1621" s="168">
        <f>SUMIFS(Таблица1[[#This Row],[8]:[19]],$I$5:$T$5,"Аренда")</f>
        <v>0</v>
      </c>
      <c r="I1621" s="169">
        <v>56.2</v>
      </c>
      <c r="J1621" s="169"/>
      <c r="K1621" s="169"/>
      <c r="L1621" s="169"/>
      <c r="M1621" s="169"/>
      <c r="N1621" s="169"/>
      <c r="O1621" s="169"/>
      <c r="P1621" s="169"/>
      <c r="Q1621" s="169"/>
      <c r="R1621" s="169"/>
      <c r="S1621" s="169"/>
      <c r="T1621" s="169"/>
      <c r="U1621" s="170"/>
      <c r="V1621" s="171"/>
    </row>
    <row r="1622" spans="1:22" hidden="1" outlineLevel="2" x14ac:dyDescent="0.25">
      <c r="A1622" s="186">
        <f>SUMIFS(МКД!$A$6:$A$389,МКД!$D$6:$D$389,Таблица1[[#This Row],[2]])</f>
        <v>322</v>
      </c>
      <c r="B1622" s="168"/>
      <c r="C1622" s="182" t="s">
        <v>638</v>
      </c>
      <c r="D1622" s="167" t="s">
        <v>1877</v>
      </c>
      <c r="E1622" s="167" t="s">
        <v>1876</v>
      </c>
      <c r="F1622" s="167">
        <v>1</v>
      </c>
      <c r="G1622" s="168">
        <f>SUMIFS(Таблица1[[#This Row],[8]:[19]],$I$5:$T$5,"Выкуп")</f>
        <v>58.6</v>
      </c>
      <c r="H1622" s="168">
        <f>SUMIFS(Таблица1[[#This Row],[8]:[19]],$I$5:$T$5,"Аренда")</f>
        <v>0</v>
      </c>
      <c r="I1622" s="169">
        <v>58.6</v>
      </c>
      <c r="J1622" s="169"/>
      <c r="K1622" s="169"/>
      <c r="L1622" s="169"/>
      <c r="M1622" s="169"/>
      <c r="N1622" s="169"/>
      <c r="O1622" s="169"/>
      <c r="P1622" s="169"/>
      <c r="Q1622" s="169"/>
      <c r="R1622" s="169"/>
      <c r="S1622" s="169"/>
      <c r="T1622" s="169"/>
      <c r="U1622" s="170"/>
      <c r="V1622" s="171"/>
    </row>
    <row r="1623" spans="1:22" hidden="1" outlineLevel="2" x14ac:dyDescent="0.25">
      <c r="A1623" s="186">
        <f>SUMIFS(МКД!$A$6:$A$389,МКД!$D$6:$D$389,Таблица1[[#This Row],[2]])</f>
        <v>322</v>
      </c>
      <c r="B1623" s="168"/>
      <c r="C1623" s="182" t="s">
        <v>638</v>
      </c>
      <c r="D1623" s="167" t="s">
        <v>1394</v>
      </c>
      <c r="E1623" s="167" t="s">
        <v>2772</v>
      </c>
      <c r="F1623" s="167">
        <v>1</v>
      </c>
      <c r="G1623" s="168">
        <f>SUMIFS(Таблица1[[#This Row],[8]:[19]],$I$5:$T$5,"Выкуп")</f>
        <v>132.6</v>
      </c>
      <c r="H1623" s="168">
        <f>SUMIFS(Таблица1[[#This Row],[8]:[19]],$I$5:$T$5,"Аренда")</f>
        <v>0</v>
      </c>
      <c r="I1623" s="169"/>
      <c r="J1623" s="169"/>
      <c r="K1623" s="169"/>
      <c r="L1623" s="169"/>
      <c r="M1623" s="169">
        <f>204.1-71.5</f>
        <v>132.6</v>
      </c>
      <c r="N1623" s="169"/>
      <c r="O1623" s="169"/>
      <c r="P1623" s="169"/>
      <c r="Q1623" s="169"/>
      <c r="R1623" s="169"/>
      <c r="S1623" s="169"/>
      <c r="T1623" s="169"/>
      <c r="U1623" s="170"/>
      <c r="V1623" s="171"/>
    </row>
    <row r="1624" spans="1:22" hidden="1" outlineLevel="2" x14ac:dyDescent="0.25">
      <c r="A1624" s="186">
        <f>SUMIFS(МКД!$A$6:$A$389,МКД!$D$6:$D$389,Таблица1[[#This Row],[2]])</f>
        <v>322</v>
      </c>
      <c r="B1624" s="168"/>
      <c r="C1624" s="182" t="s">
        <v>638</v>
      </c>
      <c r="D1624" s="167" t="s">
        <v>1053</v>
      </c>
      <c r="E1624" s="167" t="s">
        <v>2772</v>
      </c>
      <c r="F1624" s="167">
        <v>1</v>
      </c>
      <c r="G1624" s="168">
        <f>SUMIFS(Таблица1[[#This Row],[8]:[19]],$I$5:$T$5,"Выкуп")</f>
        <v>71.5</v>
      </c>
      <c r="H1624" s="168">
        <f>SUMIFS(Таблица1[[#This Row],[8]:[19]],$I$5:$T$5,"Аренда")</f>
        <v>0</v>
      </c>
      <c r="I1624" s="169"/>
      <c r="J1624" s="169"/>
      <c r="K1624" s="169"/>
      <c r="L1624" s="169"/>
      <c r="M1624" s="169">
        <v>71.5</v>
      </c>
      <c r="N1624" s="169"/>
      <c r="O1624" s="169"/>
      <c r="P1624" s="169"/>
      <c r="Q1624" s="169"/>
      <c r="R1624" s="169"/>
      <c r="S1624" s="169"/>
      <c r="T1624" s="169"/>
      <c r="U1624" s="170"/>
      <c r="V1624" s="171"/>
    </row>
    <row r="1625" spans="1:22" hidden="1" outlineLevel="2" x14ac:dyDescent="0.25">
      <c r="A1625" s="186">
        <f>SUMIFS(МКД!$A$6:$A$389,МКД!$D$6:$D$389,Таблица1[[#This Row],[2]])</f>
        <v>322</v>
      </c>
      <c r="B1625" s="168"/>
      <c r="C1625" s="182" t="s">
        <v>638</v>
      </c>
      <c r="D1625" s="167" t="s">
        <v>742</v>
      </c>
      <c r="E1625" s="167" t="s">
        <v>2439</v>
      </c>
      <c r="F1625" s="167">
        <v>1</v>
      </c>
      <c r="G1625" s="168">
        <f>SUMIFS(Таблица1[[#This Row],[8]:[19]],$I$5:$T$5,"Выкуп")</f>
        <v>59.3</v>
      </c>
      <c r="H1625" s="168">
        <f>SUMIFS(Таблица1[[#This Row],[8]:[19]],$I$5:$T$5,"Аренда")</f>
        <v>0</v>
      </c>
      <c r="I1625" s="169">
        <v>59.3</v>
      </c>
      <c r="J1625" s="169"/>
      <c r="K1625" s="169"/>
      <c r="L1625" s="169"/>
      <c r="M1625" s="169"/>
      <c r="N1625" s="169"/>
      <c r="O1625" s="169"/>
      <c r="P1625" s="169"/>
      <c r="Q1625" s="169"/>
      <c r="R1625" s="169"/>
      <c r="S1625" s="169"/>
      <c r="T1625" s="169"/>
      <c r="U1625" s="170"/>
      <c r="V1625" s="171"/>
    </row>
    <row r="1626" spans="1:22" ht="15" outlineLevel="1" collapsed="1" x14ac:dyDescent="0.25">
      <c r="A1626" s="186">
        <f>SUMIFS(МКД!$A$6:$A$389,МКД!$D$6:$D$389,Таблица1[[#This Row],[2]])</f>
        <v>323</v>
      </c>
      <c r="B1626" s="194">
        <f>SUMIFS(Таблица1[6],Таблица1[2],Таблица1[[#This Row],[2]])+SUMIFS(Таблица1[7],Таблица1[2],Таблица1[[#This Row],[2]])</f>
        <v>752.50000000000011</v>
      </c>
      <c r="C1626" s="185" t="s">
        <v>639</v>
      </c>
      <c r="D1626" s="196"/>
      <c r="E1626" s="196"/>
      <c r="F1626" s="196"/>
      <c r="G1626" s="168"/>
      <c r="H1626" s="197"/>
      <c r="I1626" s="196"/>
      <c r="J1626" s="196"/>
      <c r="K1626" s="196"/>
      <c r="L1626" s="196"/>
      <c r="M1626" s="196"/>
      <c r="N1626" s="196"/>
      <c r="O1626" s="196"/>
      <c r="P1626" s="196"/>
      <c r="Q1626" s="196"/>
      <c r="R1626" s="196"/>
      <c r="S1626" s="196"/>
      <c r="T1626" s="196"/>
      <c r="U1626" s="196"/>
      <c r="V1626" s="198"/>
    </row>
    <row r="1627" spans="1:22" hidden="1" outlineLevel="2" x14ac:dyDescent="0.25">
      <c r="A1627" s="186">
        <f>SUMIFS(МКД!$A$6:$A$389,МКД!$D$6:$D$389,Таблица1[[#This Row],[2]])</f>
        <v>323</v>
      </c>
      <c r="B1627" s="170"/>
      <c r="C1627" s="182" t="s">
        <v>639</v>
      </c>
      <c r="D1627" s="167" t="s">
        <v>1053</v>
      </c>
      <c r="E1627" s="167" t="s">
        <v>344</v>
      </c>
      <c r="F1627" s="167">
        <v>1</v>
      </c>
      <c r="G1627" s="168">
        <f>SUMIFS(Таблица1[[#This Row],[8]:[19]],$I$5:$T$5,"Выкуп")</f>
        <v>600.1</v>
      </c>
      <c r="H1627" s="168">
        <f>SUMIFS(Таблица1[[#This Row],[8]:[19]],$I$5:$T$5,"Аренда")</f>
        <v>0</v>
      </c>
      <c r="I1627" s="169">
        <v>515.4</v>
      </c>
      <c r="J1627" s="169"/>
      <c r="K1627" s="169">
        <v>84.7</v>
      </c>
      <c r="L1627" s="169"/>
      <c r="M1627" s="169"/>
      <c r="N1627" s="169"/>
      <c r="O1627" s="169"/>
      <c r="P1627" s="169"/>
      <c r="Q1627" s="169"/>
      <c r="R1627" s="169"/>
      <c r="S1627" s="169"/>
      <c r="T1627" s="169"/>
      <c r="U1627" s="170"/>
      <c r="V1627" s="171"/>
    </row>
    <row r="1628" spans="1:22" hidden="1" outlineLevel="2" x14ac:dyDescent="0.25">
      <c r="A1628" s="186">
        <f>SUMIFS(МКД!$A$6:$A$389,МКД!$D$6:$D$389,Таблица1[[#This Row],[2]])</f>
        <v>323</v>
      </c>
      <c r="B1628" s="170"/>
      <c r="C1628" s="182" t="s">
        <v>639</v>
      </c>
      <c r="D1628" s="167" t="s">
        <v>1053</v>
      </c>
      <c r="E1628" s="167" t="s">
        <v>1949</v>
      </c>
      <c r="F1628" s="167">
        <v>1</v>
      </c>
      <c r="G1628" s="168">
        <f>SUMIFS(Таблица1[[#This Row],[8]:[19]],$I$5:$T$5,"Выкуп")</f>
        <v>28.2</v>
      </c>
      <c r="H1628" s="168">
        <f>SUMIFS(Таблица1[[#This Row],[8]:[19]],$I$5:$T$5,"Аренда")</f>
        <v>0</v>
      </c>
      <c r="I1628" s="169">
        <v>28.2</v>
      </c>
      <c r="J1628" s="169"/>
      <c r="K1628" s="169"/>
      <c r="L1628" s="169"/>
      <c r="M1628" s="169"/>
      <c r="N1628" s="169"/>
      <c r="O1628" s="169"/>
      <c r="P1628" s="169"/>
      <c r="Q1628" s="169"/>
      <c r="R1628" s="169"/>
      <c r="S1628" s="169"/>
      <c r="T1628" s="169"/>
      <c r="U1628" s="170"/>
      <c r="V1628" s="171"/>
    </row>
    <row r="1629" spans="1:22" hidden="1" outlineLevel="2" x14ac:dyDescent="0.25">
      <c r="A1629" s="186">
        <f>SUMIFS(МКД!$A$6:$A$389,МКД!$D$6:$D$389,Таблица1[[#This Row],[2]])</f>
        <v>323</v>
      </c>
      <c r="B1629" s="170"/>
      <c r="C1629" s="182" t="s">
        <v>639</v>
      </c>
      <c r="D1629" s="167" t="s">
        <v>1053</v>
      </c>
      <c r="E1629" s="167" t="s">
        <v>2752</v>
      </c>
      <c r="F1629" s="167">
        <v>1</v>
      </c>
      <c r="G1629" s="168">
        <f>SUMIFS(Таблица1[[#This Row],[8]:[19]],$I$5:$T$5,"Выкуп")</f>
        <v>124.2</v>
      </c>
      <c r="H1629" s="168">
        <f>SUMIFS(Таблица1[[#This Row],[8]:[19]],$I$5:$T$5,"Аренда")</f>
        <v>0</v>
      </c>
      <c r="I1629" s="169"/>
      <c r="J1629" s="169"/>
      <c r="K1629" s="169"/>
      <c r="L1629" s="169"/>
      <c r="M1629" s="278">
        <v>124.2</v>
      </c>
      <c r="N1629" s="169"/>
      <c r="O1629" s="169"/>
      <c r="P1629" s="169"/>
      <c r="Q1629" s="169"/>
      <c r="R1629" s="169"/>
      <c r="S1629" s="169"/>
      <c r="T1629" s="169"/>
      <c r="U1629" s="170"/>
      <c r="V1629" s="171"/>
    </row>
    <row r="1630" spans="1:22" ht="15" outlineLevel="1" collapsed="1" x14ac:dyDescent="0.25">
      <c r="A1630" s="186">
        <f>SUMIFS(МКД!$A$6:$A$389,МКД!$D$6:$D$389,Таблица1[[#This Row],[2]])</f>
        <v>324</v>
      </c>
      <c r="B1630" s="194">
        <f>SUMIFS(Таблица1[6],Таблица1[2],Таблица1[[#This Row],[2]])+SUMIFS(Таблица1[7],Таблица1[2],Таблица1[[#This Row],[2]])</f>
        <v>897.2</v>
      </c>
      <c r="C1630" s="185" t="s">
        <v>542</v>
      </c>
      <c r="D1630" s="196"/>
      <c r="E1630" s="196"/>
      <c r="F1630" s="196"/>
      <c r="G1630" s="168"/>
      <c r="H1630" s="197"/>
      <c r="I1630" s="196"/>
      <c r="J1630" s="196"/>
      <c r="K1630" s="196"/>
      <c r="L1630" s="196"/>
      <c r="M1630" s="196"/>
      <c r="N1630" s="196"/>
      <c r="O1630" s="196"/>
      <c r="P1630" s="196"/>
      <c r="Q1630" s="196"/>
      <c r="R1630" s="196"/>
      <c r="S1630" s="196"/>
      <c r="T1630" s="196"/>
      <c r="U1630" s="196"/>
      <c r="V1630" s="198"/>
    </row>
    <row r="1631" spans="1:22" hidden="1" outlineLevel="2" x14ac:dyDescent="0.25">
      <c r="A1631" s="186">
        <f>SUMIFS(МКД!$A$6:$A$389,МКД!$D$6:$D$389,Таблица1[[#This Row],[2]])</f>
        <v>324</v>
      </c>
      <c r="B1631" s="170"/>
      <c r="C1631" s="182" t="s">
        <v>542</v>
      </c>
      <c r="D1631" s="167" t="s">
        <v>2737</v>
      </c>
      <c r="E1631" s="167" t="s">
        <v>1806</v>
      </c>
      <c r="F1631" s="167">
        <v>1</v>
      </c>
      <c r="G1631" s="168">
        <f>SUMIFS(Таблица1[[#This Row],[8]:[19]],$I$5:$T$5,"Выкуп")</f>
        <v>77.8</v>
      </c>
      <c r="H1631" s="168">
        <f>SUMIFS(Таблица1[[#This Row],[8]:[19]],$I$5:$T$5,"Аренда")</f>
        <v>0</v>
      </c>
      <c r="I1631" s="169"/>
      <c r="J1631" s="169"/>
      <c r="K1631" s="169">
        <v>77.8</v>
      </c>
      <c r="L1631" s="169"/>
      <c r="M1631" s="169"/>
      <c r="N1631" s="169"/>
      <c r="O1631" s="169"/>
      <c r="P1631" s="169"/>
      <c r="Q1631" s="169"/>
      <c r="R1631" s="169"/>
      <c r="S1631" s="169"/>
      <c r="T1631" s="169"/>
      <c r="U1631" s="170"/>
      <c r="V1631" s="171"/>
    </row>
    <row r="1632" spans="1:22" hidden="1" outlineLevel="2" x14ac:dyDescent="0.25">
      <c r="A1632" s="186">
        <f>SUMIFS(МКД!$A$6:$A$389,МКД!$D$6:$D$389,Таблица1[[#This Row],[2]])</f>
        <v>324</v>
      </c>
      <c r="B1632" s="168"/>
      <c r="C1632" s="182" t="s">
        <v>542</v>
      </c>
      <c r="D1632" s="167" t="s">
        <v>345</v>
      </c>
      <c r="E1632" s="167" t="s">
        <v>1805</v>
      </c>
      <c r="F1632" s="167">
        <v>1</v>
      </c>
      <c r="G1632" s="168">
        <f>SUMIFS(Таблица1[[#This Row],[8]:[19]],$I$5:$T$5,"Выкуп")</f>
        <v>58.2</v>
      </c>
      <c r="H1632" s="168">
        <f>SUMIFS(Таблица1[[#This Row],[8]:[19]],$I$5:$T$5,"Аренда")</f>
        <v>0</v>
      </c>
      <c r="I1632" s="169"/>
      <c r="J1632" s="169"/>
      <c r="K1632" s="169">
        <v>58.2</v>
      </c>
      <c r="L1632" s="169"/>
      <c r="M1632" s="169"/>
      <c r="N1632" s="169"/>
      <c r="O1632" s="169"/>
      <c r="P1632" s="169"/>
      <c r="Q1632" s="169"/>
      <c r="R1632" s="169"/>
      <c r="S1632" s="169"/>
      <c r="T1632" s="169"/>
      <c r="U1632" s="170"/>
      <c r="V1632" s="171"/>
    </row>
    <row r="1633" spans="1:22" hidden="1" outlineLevel="2" x14ac:dyDescent="0.25">
      <c r="A1633" s="186">
        <f>SUMIFS(МКД!$A$6:$A$389,МКД!$D$6:$D$389,Таблица1[[#This Row],[2]])</f>
        <v>324</v>
      </c>
      <c r="B1633" s="168"/>
      <c r="C1633" s="182" t="s">
        <v>542</v>
      </c>
      <c r="D1633" s="167"/>
      <c r="E1633" s="167" t="s">
        <v>2441</v>
      </c>
      <c r="F1633" s="167">
        <v>1</v>
      </c>
      <c r="G1633" s="168">
        <f>SUMIFS(Таблица1[[#This Row],[8]:[19]],$I$5:$T$5,"Выкуп")</f>
        <v>0</v>
      </c>
      <c r="H1633" s="168">
        <f>SUMIFS(Таблица1[[#This Row],[8]:[19]],$I$5:$T$5,"Аренда")</f>
        <v>0</v>
      </c>
      <c r="I1633" s="169"/>
      <c r="J1633" s="169"/>
      <c r="K1633" s="169"/>
      <c r="L1633" s="169"/>
      <c r="M1633" s="169"/>
      <c r="N1633" s="169"/>
      <c r="O1633" s="167"/>
      <c r="P1633" s="169">
        <f>11.9*0</f>
        <v>0</v>
      </c>
      <c r="Q1633" s="169"/>
      <c r="R1633" s="169"/>
      <c r="S1633" s="169"/>
      <c r="T1633" s="169"/>
      <c r="U1633" s="170"/>
      <c r="V1633" s="171"/>
    </row>
    <row r="1634" spans="1:22" hidden="1" outlineLevel="2" x14ac:dyDescent="0.25">
      <c r="A1634" s="186">
        <f>SUMIFS(МКД!$A$6:$A$389,МКД!$D$6:$D$389,Таблица1[[#This Row],[2]])</f>
        <v>324</v>
      </c>
      <c r="B1634" s="168"/>
      <c r="C1634" s="182" t="s">
        <v>542</v>
      </c>
      <c r="D1634" s="167" t="s">
        <v>1719</v>
      </c>
      <c r="E1634" s="167" t="s">
        <v>2440</v>
      </c>
      <c r="F1634" s="167">
        <v>1</v>
      </c>
      <c r="G1634" s="168">
        <f>SUMIFS(Таблица1[[#This Row],[8]:[19]],$I$5:$T$5,"Выкуп")</f>
        <v>0</v>
      </c>
      <c r="H1634" s="168">
        <f>SUMIFS(Таблица1[[#This Row],[8]:[19]],$I$5:$T$5,"Аренда")</f>
        <v>13.1</v>
      </c>
      <c r="I1634" s="169"/>
      <c r="J1634" s="169"/>
      <c r="K1634" s="169"/>
      <c r="L1634" s="169"/>
      <c r="M1634" s="169"/>
      <c r="N1634" s="169"/>
      <c r="O1634" s="167"/>
      <c r="P1634" s="169">
        <f>13.1</f>
        <v>13.1</v>
      </c>
      <c r="Q1634" s="169"/>
      <c r="R1634" s="169"/>
      <c r="S1634" s="169"/>
      <c r="T1634" s="169"/>
      <c r="U1634" s="170"/>
      <c r="V1634" s="171"/>
    </row>
    <row r="1635" spans="1:22" hidden="1" outlineLevel="2" x14ac:dyDescent="0.25">
      <c r="A1635" s="186">
        <f>SUMIFS(МКД!$A$6:$A$389,МКД!$D$6:$D$389,Таблица1[[#This Row],[2]])</f>
        <v>324</v>
      </c>
      <c r="B1635" s="168"/>
      <c r="C1635" s="182" t="s">
        <v>542</v>
      </c>
      <c r="D1635" s="167" t="s">
        <v>1593</v>
      </c>
      <c r="E1635" s="273" t="s">
        <v>1776</v>
      </c>
      <c r="F1635" s="167">
        <v>2</v>
      </c>
      <c r="G1635" s="168">
        <f>SUMIFS(Таблица1[[#This Row],[8]:[19]],$I$5:$T$5,"Выкуп")</f>
        <v>49.4</v>
      </c>
      <c r="H1635" s="168">
        <f>SUMIFS(Таблица1[[#This Row],[8]:[19]],$I$5:$T$5,"Аренда")</f>
        <v>0</v>
      </c>
      <c r="I1635" s="169"/>
      <c r="J1635" s="169"/>
      <c r="K1635" s="169">
        <v>49.4</v>
      </c>
      <c r="L1635" s="169"/>
      <c r="M1635" s="169"/>
      <c r="N1635" s="169"/>
      <c r="O1635" s="169"/>
      <c r="P1635" s="169"/>
      <c r="Q1635" s="169"/>
      <c r="R1635" s="169"/>
      <c r="S1635" s="169"/>
      <c r="T1635" s="169"/>
      <c r="U1635" s="170"/>
      <c r="V1635" s="171"/>
    </row>
    <row r="1636" spans="1:22" hidden="1" outlineLevel="2" x14ac:dyDescent="0.25">
      <c r="A1636" s="186">
        <f>SUMIFS(МКД!$A$6:$A$389,МКД!$D$6:$D$389,Таблица1[[#This Row],[2]])</f>
        <v>324</v>
      </c>
      <c r="B1636" s="168"/>
      <c r="C1636" s="182" t="s">
        <v>542</v>
      </c>
      <c r="D1636" s="167" t="s">
        <v>1622</v>
      </c>
      <c r="E1636" s="167" t="s">
        <v>2442</v>
      </c>
      <c r="F1636" s="167">
        <v>2</v>
      </c>
      <c r="G1636" s="168">
        <f>SUMIFS(Таблица1[[#This Row],[8]:[19]],$I$5:$T$5,"Выкуп")</f>
        <v>73.7</v>
      </c>
      <c r="H1636" s="168">
        <f>SUMIFS(Таблица1[[#This Row],[8]:[19]],$I$5:$T$5,"Аренда")</f>
        <v>0</v>
      </c>
      <c r="I1636" s="169"/>
      <c r="J1636" s="169"/>
      <c r="K1636" s="169">
        <f>54+19.7</f>
        <v>73.7</v>
      </c>
      <c r="L1636" s="169"/>
      <c r="M1636" s="169"/>
      <c r="N1636" s="169"/>
      <c r="O1636" s="169"/>
      <c r="P1636" s="169"/>
      <c r="Q1636" s="169"/>
      <c r="R1636" s="169"/>
      <c r="S1636" s="169"/>
      <c r="T1636" s="169"/>
      <c r="U1636" s="170"/>
      <c r="V1636" s="171"/>
    </row>
    <row r="1637" spans="1:22" hidden="1" outlineLevel="2" x14ac:dyDescent="0.25">
      <c r="A1637" s="186">
        <f>SUMIFS(МКД!$A$6:$A$389,МКД!$D$6:$D$389,Таблица1[[#This Row],[2]])</f>
        <v>324</v>
      </c>
      <c r="B1637" s="168"/>
      <c r="C1637" s="182" t="s">
        <v>542</v>
      </c>
      <c r="D1637" s="167" t="s">
        <v>2546</v>
      </c>
      <c r="E1637" s="167" t="s">
        <v>1832</v>
      </c>
      <c r="F1637" s="167">
        <v>2</v>
      </c>
      <c r="G1637" s="168">
        <f>SUMIFS(Таблица1[[#This Row],[8]:[19]],$I$5:$T$5,"Выкуп")</f>
        <v>19.7</v>
      </c>
      <c r="H1637" s="168">
        <f>SUMIFS(Таблица1[[#This Row],[8]:[19]],$I$5:$T$5,"Аренда")</f>
        <v>0</v>
      </c>
      <c r="I1637" s="169"/>
      <c r="J1637" s="169"/>
      <c r="K1637" s="169">
        <f>49.5-29.8</f>
        <v>19.7</v>
      </c>
      <c r="L1637" s="169"/>
      <c r="M1637" s="169"/>
      <c r="N1637" s="169"/>
      <c r="O1637" s="169"/>
      <c r="P1637" s="169"/>
      <c r="Q1637" s="169"/>
      <c r="R1637" s="169"/>
      <c r="S1637" s="169"/>
      <c r="T1637" s="169"/>
      <c r="U1637" s="170"/>
      <c r="V1637" s="171"/>
    </row>
    <row r="1638" spans="1:22" hidden="1" outlineLevel="2" x14ac:dyDescent="0.25">
      <c r="A1638" s="186">
        <f>SUMIFS(МКД!$A$6:$A$389,МКД!$D$6:$D$389,Таблица1[[#This Row],[2]])</f>
        <v>324</v>
      </c>
      <c r="B1638" s="168"/>
      <c r="C1638" s="182" t="s">
        <v>542</v>
      </c>
      <c r="D1638" s="167" t="s">
        <v>2546</v>
      </c>
      <c r="E1638" s="167" t="s">
        <v>2548</v>
      </c>
      <c r="F1638" s="167">
        <v>2</v>
      </c>
      <c r="G1638" s="168">
        <f>SUMIFS(Таблица1[[#This Row],[8]:[19]],$I$5:$T$5,"Выкуп")</f>
        <v>14.5</v>
      </c>
      <c r="H1638" s="168">
        <f>SUMIFS(Таблица1[[#This Row],[8]:[19]],$I$5:$T$5,"Аренда")</f>
        <v>0</v>
      </c>
      <c r="I1638" s="169"/>
      <c r="J1638" s="169"/>
      <c r="K1638" s="169">
        <v>14.5</v>
      </c>
      <c r="L1638" s="169"/>
      <c r="M1638" s="169"/>
      <c r="N1638" s="169"/>
      <c r="O1638" s="169"/>
      <c r="P1638" s="169"/>
      <c r="Q1638" s="169"/>
      <c r="R1638" s="169"/>
      <c r="S1638" s="169"/>
      <c r="T1638" s="169"/>
      <c r="U1638" s="170"/>
      <c r="V1638" s="171"/>
    </row>
    <row r="1639" spans="1:22" hidden="1" outlineLevel="2" x14ac:dyDescent="0.25">
      <c r="A1639" s="186">
        <f>SUMIFS(МКД!$A$6:$A$389,МКД!$D$6:$D$389,Таблица1[[#This Row],[2]])</f>
        <v>324</v>
      </c>
      <c r="B1639" s="168"/>
      <c r="C1639" s="182" t="s">
        <v>542</v>
      </c>
      <c r="D1639" s="167" t="s">
        <v>2546</v>
      </c>
      <c r="E1639" s="167" t="s">
        <v>2547</v>
      </c>
      <c r="F1639" s="167">
        <v>2</v>
      </c>
      <c r="G1639" s="168">
        <f>SUMIFS(Таблица1[[#This Row],[8]:[19]],$I$5:$T$5,"Выкуп")</f>
        <v>15.3</v>
      </c>
      <c r="H1639" s="168">
        <f>SUMIFS(Таблица1[[#This Row],[8]:[19]],$I$5:$T$5,"Аренда")</f>
        <v>0</v>
      </c>
      <c r="I1639" s="169"/>
      <c r="J1639" s="169"/>
      <c r="K1639" s="169">
        <v>15.3</v>
      </c>
      <c r="L1639" s="169"/>
      <c r="M1639" s="169"/>
      <c r="N1639" s="169"/>
      <c r="O1639" s="169"/>
      <c r="P1639" s="169"/>
      <c r="Q1639" s="169"/>
      <c r="R1639" s="169"/>
      <c r="S1639" s="169"/>
      <c r="T1639" s="169"/>
      <c r="U1639" s="170"/>
      <c r="V1639" s="171"/>
    </row>
    <row r="1640" spans="1:22" hidden="1" outlineLevel="2" x14ac:dyDescent="0.25">
      <c r="A1640" s="186">
        <f>SUMIFS(МКД!$A$6:$A$389,МКД!$D$6:$D$389,Таблица1[[#This Row],[2]])</f>
        <v>324</v>
      </c>
      <c r="B1640" s="168"/>
      <c r="C1640" s="182" t="s">
        <v>542</v>
      </c>
      <c r="D1640" s="167" t="s">
        <v>20</v>
      </c>
      <c r="E1640" s="167" t="s">
        <v>2444</v>
      </c>
      <c r="F1640" s="167">
        <v>2</v>
      </c>
      <c r="G1640" s="168">
        <f>SUMIFS(Таблица1[[#This Row],[8]:[19]],$I$5:$T$5,"Выкуп")</f>
        <v>18.100000000000001</v>
      </c>
      <c r="H1640" s="168">
        <f>SUMIFS(Таблица1[[#This Row],[8]:[19]],$I$5:$T$5,"Аренда")</f>
        <v>0</v>
      </c>
      <c r="I1640" s="169"/>
      <c r="J1640" s="169"/>
      <c r="K1640" s="169">
        <v>18.100000000000001</v>
      </c>
      <c r="L1640" s="169"/>
      <c r="M1640" s="169"/>
      <c r="N1640" s="169"/>
      <c r="O1640" s="169"/>
      <c r="P1640" s="169"/>
      <c r="Q1640" s="169"/>
      <c r="R1640" s="169"/>
      <c r="S1640" s="169"/>
      <c r="T1640" s="169"/>
      <c r="U1640" s="170"/>
      <c r="V1640" s="171"/>
    </row>
    <row r="1641" spans="1:22" hidden="1" outlineLevel="2" x14ac:dyDescent="0.25">
      <c r="A1641" s="186">
        <f>SUMIFS(МКД!$A$6:$A$389,МКД!$D$6:$D$389,Таблица1[[#This Row],[2]])</f>
        <v>324</v>
      </c>
      <c r="B1641" s="168"/>
      <c r="C1641" s="182" t="s">
        <v>542</v>
      </c>
      <c r="D1641" s="167" t="s">
        <v>20</v>
      </c>
      <c r="E1641" s="167" t="s">
        <v>2443</v>
      </c>
      <c r="F1641" s="167">
        <v>2</v>
      </c>
      <c r="G1641" s="168">
        <f>SUMIFS(Таблица1[[#This Row],[8]:[19]],$I$5:$T$5,"Выкуп")</f>
        <v>49.9</v>
      </c>
      <c r="H1641" s="168">
        <f>SUMIFS(Таблица1[[#This Row],[8]:[19]],$I$5:$T$5,"Аренда")</f>
        <v>0</v>
      </c>
      <c r="I1641" s="169"/>
      <c r="J1641" s="169"/>
      <c r="K1641" s="169">
        <v>49.9</v>
      </c>
      <c r="L1641" s="169"/>
      <c r="M1641" s="169"/>
      <c r="N1641" s="169"/>
      <c r="O1641" s="169"/>
      <c r="P1641" s="169"/>
      <c r="Q1641" s="169"/>
      <c r="R1641" s="169"/>
      <c r="S1641" s="169"/>
      <c r="T1641" s="169"/>
      <c r="U1641" s="170"/>
      <c r="V1641" s="171"/>
    </row>
    <row r="1642" spans="1:22" hidden="1" outlineLevel="2" x14ac:dyDescent="0.25">
      <c r="A1642" s="186">
        <f>SUMIFS(МКД!$A$6:$A$389,МКД!$D$6:$D$389,Таблица1[[#This Row],[2]])</f>
        <v>324</v>
      </c>
      <c r="B1642" s="168"/>
      <c r="C1642" s="182" t="s">
        <v>542</v>
      </c>
      <c r="D1642" s="167" t="s">
        <v>2446</v>
      </c>
      <c r="E1642" s="167" t="s">
        <v>2445</v>
      </c>
      <c r="F1642" s="167">
        <v>1</v>
      </c>
      <c r="G1642" s="168">
        <f>SUMIFS(Таблица1[[#This Row],[8]:[19]],$I$5:$T$5,"Выкуп")</f>
        <v>59.3</v>
      </c>
      <c r="H1642" s="168">
        <f>SUMIFS(Таблица1[[#This Row],[8]:[19]],$I$5:$T$5,"Аренда")</f>
        <v>0</v>
      </c>
      <c r="I1642" s="169"/>
      <c r="J1642" s="169"/>
      <c r="K1642" s="169">
        <v>59.3</v>
      </c>
      <c r="L1642" s="169"/>
      <c r="M1642" s="169"/>
      <c r="N1642" s="169"/>
      <c r="O1642" s="169"/>
      <c r="P1642" s="169"/>
      <c r="Q1642" s="169"/>
      <c r="R1642" s="169"/>
      <c r="S1642" s="169"/>
      <c r="T1642" s="169"/>
      <c r="U1642" s="170"/>
      <c r="V1642" s="171"/>
    </row>
    <row r="1643" spans="1:22" hidden="1" outlineLevel="2" x14ac:dyDescent="0.25">
      <c r="A1643" s="186">
        <f>SUMIFS(МКД!$A$6:$A$389,МКД!$D$6:$D$389,Таблица1[[#This Row],[2]])</f>
        <v>324</v>
      </c>
      <c r="B1643" s="168"/>
      <c r="C1643" s="182" t="s">
        <v>542</v>
      </c>
      <c r="D1643" s="167" t="s">
        <v>2447</v>
      </c>
      <c r="E1643" s="167" t="s">
        <v>2448</v>
      </c>
      <c r="F1643" s="167">
        <v>1</v>
      </c>
      <c r="G1643" s="168">
        <f>SUMIFS(Таблица1[[#This Row],[8]:[19]],$I$5:$T$5,"Выкуп")</f>
        <v>59.3</v>
      </c>
      <c r="H1643" s="168">
        <f>SUMIFS(Таблица1[[#This Row],[8]:[19]],$I$5:$T$5,"Аренда")</f>
        <v>0</v>
      </c>
      <c r="I1643" s="169"/>
      <c r="J1643" s="169"/>
      <c r="K1643" s="169">
        <v>59.3</v>
      </c>
      <c r="L1643" s="169"/>
      <c r="M1643" s="169"/>
      <c r="N1643" s="169"/>
      <c r="O1643" s="169"/>
      <c r="P1643" s="169"/>
      <c r="Q1643" s="169"/>
      <c r="R1643" s="169"/>
      <c r="S1643" s="169"/>
      <c r="T1643" s="169"/>
      <c r="U1643" s="170"/>
      <c r="V1643" s="171"/>
    </row>
    <row r="1644" spans="1:22" hidden="1" outlineLevel="2" x14ac:dyDescent="0.25">
      <c r="A1644" s="186">
        <f>SUMIFS(МКД!$A$6:$A$389,МКД!$D$6:$D$389,Таблица1[[#This Row],[2]])</f>
        <v>324</v>
      </c>
      <c r="B1644" s="168"/>
      <c r="C1644" s="182" t="s">
        <v>542</v>
      </c>
      <c r="D1644" s="167" t="s">
        <v>3</v>
      </c>
      <c r="E1644" s="167" t="s">
        <v>1808</v>
      </c>
      <c r="F1644" s="167">
        <v>1</v>
      </c>
      <c r="G1644" s="168">
        <f>SUMIFS(Таблица1[[#This Row],[8]:[19]],$I$5:$T$5,"Выкуп")</f>
        <v>58.3</v>
      </c>
      <c r="H1644" s="168">
        <f>SUMIFS(Таблица1[[#This Row],[8]:[19]],$I$5:$T$5,"Аренда")</f>
        <v>0</v>
      </c>
      <c r="I1644" s="169"/>
      <c r="J1644" s="169"/>
      <c r="K1644" s="169">
        <v>58.3</v>
      </c>
      <c r="L1644" s="169"/>
      <c r="M1644" s="169"/>
      <c r="N1644" s="169"/>
      <c r="O1644" s="169"/>
      <c r="P1644" s="169"/>
      <c r="Q1644" s="169"/>
      <c r="R1644" s="169"/>
      <c r="S1644" s="169"/>
      <c r="T1644" s="169"/>
      <c r="U1644" s="170"/>
      <c r="V1644" s="171"/>
    </row>
    <row r="1645" spans="1:22" hidden="1" outlineLevel="2" x14ac:dyDescent="0.25">
      <c r="A1645" s="186">
        <f>SUMIFS(МКД!$A$6:$A$389,МКД!$D$6:$D$389,Таблица1[[#This Row],[2]])</f>
        <v>324</v>
      </c>
      <c r="B1645" s="168"/>
      <c r="C1645" s="182" t="s">
        <v>542</v>
      </c>
      <c r="D1645" s="167" t="s">
        <v>2449</v>
      </c>
      <c r="E1645" s="167" t="s">
        <v>1807</v>
      </c>
      <c r="F1645" s="167">
        <v>1</v>
      </c>
      <c r="G1645" s="168">
        <f>SUMIFS(Таблица1[[#This Row],[8]:[19]],$I$5:$T$5,"Выкуп")</f>
        <v>71.099999999999994</v>
      </c>
      <c r="H1645" s="168">
        <f>SUMIFS(Таблица1[[#This Row],[8]:[19]],$I$5:$T$5,"Аренда")</f>
        <v>0</v>
      </c>
      <c r="I1645" s="169"/>
      <c r="J1645" s="169"/>
      <c r="K1645" s="169">
        <v>71.099999999999994</v>
      </c>
      <c r="L1645" s="169"/>
      <c r="M1645" s="169"/>
      <c r="N1645" s="169"/>
      <c r="O1645" s="169"/>
      <c r="P1645" s="169"/>
      <c r="Q1645" s="169"/>
      <c r="R1645" s="169"/>
      <c r="S1645" s="169"/>
      <c r="T1645" s="169"/>
      <c r="U1645" s="170"/>
      <c r="V1645" s="171"/>
    </row>
    <row r="1646" spans="1:22" hidden="1" outlineLevel="2" x14ac:dyDescent="0.25">
      <c r="A1646" s="186">
        <f>SUMIFS(МКД!$A$6:$A$389,МКД!$D$6:$D$389,Таблица1[[#This Row],[2]])</f>
        <v>324</v>
      </c>
      <c r="B1646" s="168"/>
      <c r="C1646" s="182" t="s">
        <v>542</v>
      </c>
      <c r="D1646" s="167" t="s">
        <v>189</v>
      </c>
      <c r="E1646" s="167" t="s">
        <v>112</v>
      </c>
      <c r="F1646" s="167"/>
      <c r="G1646" s="168">
        <f>SUMIFS(Таблица1[[#This Row],[8]:[19]],$I$5:$T$5,"Выкуп")</f>
        <v>0</v>
      </c>
      <c r="H1646" s="168">
        <f>SUMIFS(Таблица1[[#This Row],[8]:[19]],$I$5:$T$5,"Аренда")</f>
        <v>42.4</v>
      </c>
      <c r="I1646" s="169"/>
      <c r="J1646" s="169"/>
      <c r="K1646" s="167"/>
      <c r="L1646" s="169">
        <v>42.4</v>
      </c>
      <c r="M1646" s="169"/>
      <c r="N1646" s="169"/>
      <c r="O1646" s="169"/>
      <c r="P1646" s="169"/>
      <c r="Q1646" s="169"/>
      <c r="R1646" s="169"/>
      <c r="S1646" s="169"/>
      <c r="T1646" s="169"/>
      <c r="U1646" s="170"/>
      <c r="V1646" s="171"/>
    </row>
    <row r="1647" spans="1:22" hidden="1" outlineLevel="2" x14ac:dyDescent="0.25">
      <c r="A1647" s="186">
        <f>SUMIFS(МКД!$A$6:$A$389,МКД!$D$6:$D$389,Таблица1[[#This Row],[2]])</f>
        <v>324</v>
      </c>
      <c r="B1647" s="168"/>
      <c r="C1647" s="182" t="s">
        <v>542</v>
      </c>
      <c r="D1647" s="167" t="s">
        <v>1394</v>
      </c>
      <c r="E1647" s="167" t="s">
        <v>2752</v>
      </c>
      <c r="F1647" s="167"/>
      <c r="G1647" s="320">
        <f>SUMIFS(Таблица1[[#This Row],[8]:[19]],$I$5:$T$5,"Выкуп")</f>
        <v>217.1</v>
      </c>
      <c r="H1647" s="168">
        <f>SUMIFS(Таблица1[[#This Row],[8]:[19]],$I$5:$T$5,"Аренда")</f>
        <v>0</v>
      </c>
      <c r="I1647" s="169"/>
      <c r="J1647" s="169"/>
      <c r="K1647" s="167"/>
      <c r="L1647" s="169"/>
      <c r="M1647" s="278">
        <f>111.5+105.6</f>
        <v>217.1</v>
      </c>
      <c r="N1647" s="169"/>
      <c r="O1647" s="169"/>
      <c r="P1647" s="169"/>
      <c r="Q1647" s="169"/>
      <c r="R1647" s="169"/>
      <c r="S1647" s="169"/>
      <c r="T1647" s="169"/>
      <c r="U1647" s="170"/>
      <c r="V1647" s="171"/>
    </row>
    <row r="1648" spans="1:22" ht="15" outlineLevel="1" collapsed="1" x14ac:dyDescent="0.25">
      <c r="A1648" s="186">
        <f>SUMIFS(МКД!$A$6:$A$389,МКД!$D$6:$D$389,Таблица1[[#This Row],[2]])</f>
        <v>325</v>
      </c>
      <c r="B1648" s="194">
        <f>SUMIFS(Таблица1[6],Таблица1[2],Таблица1[[#This Row],[2]])+SUMIFS(Таблица1[7],Таблица1[2],Таблица1[[#This Row],[2]])</f>
        <v>310.5</v>
      </c>
      <c r="C1648" s="185" t="s">
        <v>543</v>
      </c>
      <c r="D1648" s="196"/>
      <c r="E1648" s="196"/>
      <c r="F1648" s="196"/>
      <c r="G1648" s="168"/>
      <c r="H1648" s="197"/>
      <c r="I1648" s="196"/>
      <c r="J1648" s="196"/>
      <c r="K1648" s="196"/>
      <c r="L1648" s="196"/>
      <c r="M1648" s="196"/>
      <c r="N1648" s="196"/>
      <c r="O1648" s="196"/>
      <c r="P1648" s="196"/>
      <c r="Q1648" s="196"/>
      <c r="R1648" s="196"/>
      <c r="S1648" s="196"/>
      <c r="T1648" s="196"/>
      <c r="U1648" s="196"/>
      <c r="V1648" s="198"/>
    </row>
    <row r="1649" spans="1:22" hidden="1" outlineLevel="2" x14ac:dyDescent="0.25">
      <c r="A1649" s="186">
        <f>SUMIFS(МКД!$A$6:$A$389,МКД!$D$6:$D$389,Таблица1[[#This Row],[2]])</f>
        <v>325</v>
      </c>
      <c r="B1649" s="170"/>
      <c r="C1649" s="182" t="s">
        <v>543</v>
      </c>
      <c r="D1649" s="167" t="s">
        <v>1053</v>
      </c>
      <c r="E1649" s="167" t="s">
        <v>222</v>
      </c>
      <c r="F1649" s="167"/>
      <c r="G1649" s="168">
        <f>SUMIFS(Таблица1[[#This Row],[8]:[19]],$I$5:$T$5,"Выкуп")</f>
        <v>148.1</v>
      </c>
      <c r="H1649" s="168">
        <f>SUMIFS(Таблица1[[#This Row],[8]:[19]],$I$5:$T$5,"Аренда")</f>
        <v>0</v>
      </c>
      <c r="I1649" s="169"/>
      <c r="J1649" s="169"/>
      <c r="K1649" s="169">
        <v>148.1</v>
      </c>
      <c r="L1649" s="169"/>
      <c r="M1649" s="169"/>
      <c r="N1649" s="169"/>
      <c r="O1649" s="169"/>
      <c r="P1649" s="169"/>
      <c r="Q1649" s="169"/>
      <c r="R1649" s="169"/>
      <c r="S1649" s="169"/>
      <c r="T1649" s="169"/>
      <c r="U1649" s="170"/>
      <c r="V1649" s="171"/>
    </row>
    <row r="1650" spans="1:22" hidden="1" outlineLevel="2" x14ac:dyDescent="0.25">
      <c r="A1650" s="186">
        <f>SUMIFS(МКД!$A$6:$A$389,МКД!$D$6:$D$389,Таблица1[[#This Row],[2]])</f>
        <v>325</v>
      </c>
      <c r="B1650" s="170"/>
      <c r="C1650" s="182" t="s">
        <v>543</v>
      </c>
      <c r="D1650" s="167" t="s">
        <v>1053</v>
      </c>
      <c r="E1650" s="319" t="s">
        <v>2634</v>
      </c>
      <c r="F1650" s="167"/>
      <c r="G1650" s="168">
        <f>SUMIFS(Таблица1[[#This Row],[8]:[19]],$I$5:$T$5,"Выкуп")</f>
        <v>7.0999999999999979</v>
      </c>
      <c r="H1650" s="168">
        <f>SUMIFS(Таблица1[[#This Row],[8]:[19]],$I$5:$T$5,"Аренда")</f>
        <v>0</v>
      </c>
      <c r="I1650" s="278">
        <f>27.7-I1651</f>
        <v>7.0999999999999979</v>
      </c>
      <c r="J1650" s="169"/>
      <c r="K1650" s="169"/>
      <c r="L1650" s="169"/>
      <c r="M1650" s="169"/>
      <c r="N1650" s="169"/>
      <c r="O1650" s="169"/>
      <c r="P1650" s="169"/>
      <c r="Q1650" s="169"/>
      <c r="R1650" s="169"/>
      <c r="S1650" s="169"/>
      <c r="T1650" s="169"/>
      <c r="U1650" s="170"/>
      <c r="V1650" s="171"/>
    </row>
    <row r="1651" spans="1:22" hidden="1" outlineLevel="2" x14ac:dyDescent="0.25">
      <c r="A1651" s="186">
        <f>SUMIFS(МКД!$A$6:$A$389,МКД!$D$6:$D$389,Таблица1[[#This Row],[2]])</f>
        <v>325</v>
      </c>
      <c r="B1651" s="170"/>
      <c r="C1651" s="182" t="s">
        <v>543</v>
      </c>
      <c r="D1651" s="167" t="s">
        <v>2630</v>
      </c>
      <c r="E1651" s="167" t="s">
        <v>2636</v>
      </c>
      <c r="F1651" s="167"/>
      <c r="G1651" s="168">
        <f>SUMIFS(Таблица1[[#This Row],[8]:[19]],$I$5:$T$5,"Выкуп")</f>
        <v>20.6</v>
      </c>
      <c r="H1651" s="168">
        <f>SUMIFS(Таблица1[[#This Row],[8]:[19]],$I$5:$T$5,"Аренда")</f>
        <v>0</v>
      </c>
      <c r="I1651" s="169">
        <v>20.6</v>
      </c>
      <c r="J1651" s="169"/>
      <c r="K1651" s="169"/>
      <c r="L1651" s="169"/>
      <c r="M1651" s="169"/>
      <c r="N1651" s="169"/>
      <c r="O1651" s="169"/>
      <c r="P1651" s="169"/>
      <c r="Q1651" s="169"/>
      <c r="R1651" s="169"/>
      <c r="S1651" s="169"/>
      <c r="T1651" s="169"/>
      <c r="U1651" s="170"/>
      <c r="V1651" s="171"/>
    </row>
    <row r="1652" spans="1:22" hidden="1" outlineLevel="2" x14ac:dyDescent="0.25">
      <c r="A1652" s="186">
        <f>SUMIFS(МКД!$A$6:$A$389,МКД!$D$6:$D$389,Таблица1[[#This Row],[2]])</f>
        <v>325</v>
      </c>
      <c r="B1652" s="170"/>
      <c r="C1652" s="182" t="s">
        <v>543</v>
      </c>
      <c r="D1652" s="167" t="s">
        <v>1053</v>
      </c>
      <c r="E1652" s="167" t="s">
        <v>2793</v>
      </c>
      <c r="F1652" s="167"/>
      <c r="G1652" s="168">
        <f>SUMIFS(Таблица1[[#This Row],[8]:[19]],$I$5:$T$5,"Выкуп")</f>
        <v>134.69999999999999</v>
      </c>
      <c r="H1652" s="168">
        <f>SUMIFS(Таблица1[[#This Row],[8]:[19]],$I$5:$T$5,"Аренда")</f>
        <v>0</v>
      </c>
      <c r="I1652" s="169"/>
      <c r="J1652" s="169"/>
      <c r="K1652" s="169"/>
      <c r="L1652" s="169"/>
      <c r="M1652" s="169">
        <v>134.69999999999999</v>
      </c>
      <c r="N1652" s="169"/>
      <c r="O1652" s="169"/>
      <c r="P1652" s="169"/>
      <c r="Q1652" s="169"/>
      <c r="R1652" s="169"/>
      <c r="S1652" s="169"/>
      <c r="T1652" s="169"/>
      <c r="U1652" s="170"/>
      <c r="V1652" s="171"/>
    </row>
    <row r="1653" spans="1:22" ht="15" outlineLevel="1" collapsed="1" x14ac:dyDescent="0.25">
      <c r="A1653" s="186">
        <f>SUMIFS(МКД!$A$6:$A$389,МКД!$D$6:$D$389,Таблица1[[#This Row],[2]])</f>
        <v>326</v>
      </c>
      <c r="B1653" s="194">
        <f>SUMIFS(Таблица1[6],Таблица1[2],Таблица1[[#This Row],[2]])+SUMIFS(Таблица1[7],Таблица1[2],Таблица1[[#This Row],[2]])</f>
        <v>1489.1999999999998</v>
      </c>
      <c r="C1653" s="185" t="s">
        <v>544</v>
      </c>
      <c r="D1653" s="196"/>
      <c r="E1653" s="196"/>
      <c r="F1653" s="196"/>
      <c r="G1653" s="168"/>
      <c r="H1653" s="197"/>
      <c r="I1653" s="196"/>
      <c r="J1653" s="196"/>
      <c r="K1653" s="196"/>
      <c r="L1653" s="196"/>
      <c r="M1653" s="196"/>
      <c r="N1653" s="196"/>
      <c r="O1653" s="196"/>
      <c r="P1653" s="196"/>
      <c r="Q1653" s="196"/>
      <c r="R1653" s="196"/>
      <c r="S1653" s="196"/>
      <c r="T1653" s="196"/>
      <c r="U1653" s="196"/>
      <c r="V1653" s="198"/>
    </row>
    <row r="1654" spans="1:22" hidden="1" outlineLevel="2" x14ac:dyDescent="0.25">
      <c r="A1654" s="186">
        <f>SUMIFS(МКД!$A$6:$A$389,МКД!$D$6:$D$389,Таблица1[[#This Row],[2]])</f>
        <v>326</v>
      </c>
      <c r="B1654" s="170"/>
      <c r="C1654" s="182" t="s">
        <v>544</v>
      </c>
      <c r="D1654" s="167" t="s">
        <v>2306</v>
      </c>
      <c r="E1654" s="167" t="s">
        <v>2316</v>
      </c>
      <c r="F1654" s="167">
        <v>1</v>
      </c>
      <c r="G1654" s="168">
        <f>SUMIFS(Таблица1[[#This Row],[8]:[19]],$I$5:$T$5,"Выкуп")</f>
        <v>91.8</v>
      </c>
      <c r="H1654" s="168">
        <f>SUMIFS(Таблица1[[#This Row],[8]:[19]],$I$5:$T$5,"Аренда")</f>
        <v>0</v>
      </c>
      <c r="I1654" s="169">
        <v>91.8</v>
      </c>
      <c r="J1654" s="169"/>
      <c r="K1654" s="169"/>
      <c r="L1654" s="169"/>
      <c r="M1654" s="169"/>
      <c r="N1654" s="169"/>
      <c r="O1654" s="169"/>
      <c r="P1654" s="169"/>
      <c r="Q1654" s="169"/>
      <c r="R1654" s="169"/>
      <c r="S1654" s="169"/>
      <c r="T1654" s="169"/>
      <c r="U1654" s="170"/>
      <c r="V1654" s="171"/>
    </row>
    <row r="1655" spans="1:22" hidden="1" outlineLevel="2" x14ac:dyDescent="0.25">
      <c r="A1655" s="186">
        <f>SUMIFS(МКД!$A$6:$A$389,МКД!$D$6:$D$389,Таблица1[[#This Row],[2]])</f>
        <v>326</v>
      </c>
      <c r="B1655" s="168"/>
      <c r="C1655" s="182" t="s">
        <v>544</v>
      </c>
      <c r="D1655" s="167" t="s">
        <v>346</v>
      </c>
      <c r="E1655" s="167" t="s">
        <v>2307</v>
      </c>
      <c r="F1655" s="167">
        <v>1</v>
      </c>
      <c r="G1655" s="168">
        <f>SUMIFS(Таблица1[[#This Row],[8]:[19]],$I$5:$T$5,"Выкуп")</f>
        <v>223.3</v>
      </c>
      <c r="H1655" s="168">
        <f>SUMIFS(Таблица1[[#This Row],[8]:[19]],$I$5:$T$5,"Аренда")</f>
        <v>0</v>
      </c>
      <c r="I1655" s="169"/>
      <c r="J1655" s="169"/>
      <c r="K1655" s="169">
        <v>223.3</v>
      </c>
      <c r="L1655" s="169"/>
      <c r="M1655" s="169"/>
      <c r="N1655" s="169"/>
      <c r="O1655" s="169"/>
      <c r="P1655" s="169"/>
      <c r="Q1655" s="169"/>
      <c r="R1655" s="169"/>
      <c r="S1655" s="169"/>
      <c r="T1655" s="169"/>
      <c r="U1655" s="170"/>
      <c r="V1655" s="171"/>
    </row>
    <row r="1656" spans="1:22" hidden="1" outlineLevel="2" x14ac:dyDescent="0.25">
      <c r="A1656" s="186">
        <f>SUMIFS(МКД!$A$6:$A$389,МКД!$D$6:$D$389,Таблица1[[#This Row],[2]])</f>
        <v>326</v>
      </c>
      <c r="B1656" s="168"/>
      <c r="C1656" s="182" t="s">
        <v>544</v>
      </c>
      <c r="D1656" s="167" t="s">
        <v>2812</v>
      </c>
      <c r="E1656" s="167" t="s">
        <v>2308</v>
      </c>
      <c r="F1656" s="167">
        <v>1</v>
      </c>
      <c r="G1656" s="168">
        <f>SUMIFS(Таблица1[[#This Row],[8]:[19]],$I$5:$T$5,"Выкуп")</f>
        <v>119.2</v>
      </c>
      <c r="H1656" s="168">
        <f>SUMIFS(Таблица1[[#This Row],[8]:[19]],$I$5:$T$5,"Аренда")</f>
        <v>0</v>
      </c>
      <c r="I1656" s="169">
        <v>119.2</v>
      </c>
      <c r="J1656" s="169"/>
      <c r="K1656" s="169"/>
      <c r="L1656" s="169"/>
      <c r="M1656" s="169"/>
      <c r="N1656" s="169"/>
      <c r="O1656" s="169"/>
      <c r="P1656" s="169"/>
      <c r="Q1656" s="169"/>
      <c r="R1656" s="169"/>
      <c r="S1656" s="169"/>
      <c r="T1656" s="169"/>
      <c r="U1656" s="170"/>
      <c r="V1656" s="171"/>
    </row>
    <row r="1657" spans="1:22" hidden="1" outlineLevel="2" x14ac:dyDescent="0.25">
      <c r="A1657" s="186">
        <f>SUMIFS(МКД!$A$6:$A$389,МКД!$D$6:$D$389,Таблица1[[#This Row],[2]])</f>
        <v>326</v>
      </c>
      <c r="B1657" s="168"/>
      <c r="C1657" s="182" t="s">
        <v>544</v>
      </c>
      <c r="D1657" s="167" t="s">
        <v>2310</v>
      </c>
      <c r="E1657" s="167" t="s">
        <v>2309</v>
      </c>
      <c r="F1657" s="167">
        <v>1</v>
      </c>
      <c r="G1657" s="168">
        <f>SUMIFS(Таблица1[[#This Row],[8]:[19]],$I$5:$T$5,"Выкуп")</f>
        <v>112.3</v>
      </c>
      <c r="H1657" s="168">
        <f>SUMIFS(Таблица1[[#This Row],[8]:[19]],$I$5:$T$5,"Аренда")</f>
        <v>0</v>
      </c>
      <c r="I1657" s="169">
        <v>112.3</v>
      </c>
      <c r="J1657" s="169"/>
      <c r="K1657" s="169"/>
      <c r="L1657" s="169"/>
      <c r="M1657" s="169"/>
      <c r="N1657" s="169"/>
      <c r="O1657" s="169"/>
      <c r="P1657" s="169"/>
      <c r="Q1657" s="169"/>
      <c r="R1657" s="169"/>
      <c r="S1657" s="169"/>
      <c r="T1657" s="169"/>
      <c r="U1657" s="170"/>
      <c r="V1657" s="171"/>
    </row>
    <row r="1658" spans="1:22" hidden="1" outlineLevel="2" x14ac:dyDescent="0.25">
      <c r="A1658" s="186">
        <f>SUMIFS(МКД!$A$6:$A$389,МКД!$D$6:$D$389,Таблица1[[#This Row],[2]])</f>
        <v>326</v>
      </c>
      <c r="B1658" s="168"/>
      <c r="C1658" s="182" t="s">
        <v>544</v>
      </c>
      <c r="D1658" s="167" t="s">
        <v>2310</v>
      </c>
      <c r="E1658" s="167" t="s">
        <v>2311</v>
      </c>
      <c r="F1658" s="167">
        <v>1</v>
      </c>
      <c r="G1658" s="168">
        <f>SUMIFS(Таблица1[[#This Row],[8]:[19]],$I$5:$T$5,"Выкуп")</f>
        <v>0</v>
      </c>
      <c r="H1658" s="168">
        <f>SUMIFS(Таблица1[[#This Row],[8]:[19]],$I$5:$T$5,"Аренда")</f>
        <v>10</v>
      </c>
      <c r="I1658" s="169"/>
      <c r="J1658" s="169"/>
      <c r="K1658" s="169"/>
      <c r="L1658" s="169"/>
      <c r="M1658" s="169"/>
      <c r="N1658" s="169"/>
      <c r="O1658" s="169"/>
      <c r="P1658" s="169">
        <v>10</v>
      </c>
      <c r="Q1658" s="169"/>
      <c r="R1658" s="169"/>
      <c r="S1658" s="169"/>
      <c r="T1658" s="169"/>
      <c r="U1658" s="170"/>
      <c r="V1658" s="171"/>
    </row>
    <row r="1659" spans="1:22" hidden="1" outlineLevel="2" x14ac:dyDescent="0.25">
      <c r="A1659" s="186">
        <f>SUMIFS(МКД!$A$6:$A$389,МКД!$D$6:$D$389,Таблица1[[#This Row],[2]])</f>
        <v>326</v>
      </c>
      <c r="B1659" s="168"/>
      <c r="C1659" s="182" t="s">
        <v>544</v>
      </c>
      <c r="D1659" s="167" t="s">
        <v>1992</v>
      </c>
      <c r="E1659" s="167" t="s">
        <v>2317</v>
      </c>
      <c r="F1659" s="167">
        <v>1</v>
      </c>
      <c r="G1659" s="168">
        <f>SUMIFS(Таблица1[[#This Row],[8]:[19]],$I$5:$T$5,"Выкуп")</f>
        <v>57.5</v>
      </c>
      <c r="H1659" s="168">
        <f>SUMIFS(Таблица1[[#This Row],[8]:[19]],$I$5:$T$5,"Аренда")</f>
        <v>0</v>
      </c>
      <c r="I1659" s="169"/>
      <c r="J1659" s="169"/>
      <c r="K1659" s="169">
        <v>57.5</v>
      </c>
      <c r="L1659" s="169"/>
      <c r="M1659" s="169"/>
      <c r="N1659" s="169"/>
      <c r="O1659" s="169"/>
      <c r="P1659" s="169"/>
      <c r="Q1659" s="169"/>
      <c r="R1659" s="169"/>
      <c r="S1659" s="169"/>
      <c r="T1659" s="169"/>
      <c r="U1659" s="170"/>
      <c r="V1659" s="171"/>
    </row>
    <row r="1660" spans="1:22" hidden="1" outlineLevel="2" x14ac:dyDescent="0.25">
      <c r="A1660" s="186">
        <f>SUMIFS(МКД!$A$6:$A$389,МКД!$D$6:$D$389,Таблица1[[#This Row],[2]])</f>
        <v>326</v>
      </c>
      <c r="B1660" s="168"/>
      <c r="C1660" s="182" t="s">
        <v>544</v>
      </c>
      <c r="D1660" s="167" t="s">
        <v>2619</v>
      </c>
      <c r="E1660" s="167" t="s">
        <v>2312</v>
      </c>
      <c r="F1660" s="167">
        <v>1</v>
      </c>
      <c r="G1660" s="168">
        <f>SUMIFS(Таблица1[[#This Row],[8]:[19]],$I$5:$T$5,"Выкуп")</f>
        <v>56</v>
      </c>
      <c r="H1660" s="168">
        <f>SUMIFS(Таблица1[[#This Row],[8]:[19]],$I$5:$T$5,"Аренда")</f>
        <v>0</v>
      </c>
      <c r="I1660" s="169"/>
      <c r="J1660" s="169"/>
      <c r="K1660" s="169">
        <v>56</v>
      </c>
      <c r="L1660" s="169"/>
      <c r="M1660" s="169"/>
      <c r="N1660" s="169"/>
      <c r="O1660" s="169"/>
      <c r="P1660" s="169"/>
      <c r="Q1660" s="169"/>
      <c r="R1660" s="169"/>
      <c r="S1660" s="169"/>
      <c r="T1660" s="169"/>
      <c r="U1660" s="170"/>
      <c r="V1660" s="171"/>
    </row>
    <row r="1661" spans="1:22" hidden="1" outlineLevel="2" x14ac:dyDescent="0.25">
      <c r="A1661" s="186">
        <f>SUMIFS(МКД!$A$6:$A$389,МКД!$D$6:$D$389,Таблица1[[#This Row],[2]])</f>
        <v>326</v>
      </c>
      <c r="B1661" s="168"/>
      <c r="C1661" s="182" t="s">
        <v>544</v>
      </c>
      <c r="D1661" s="167" t="s">
        <v>1426</v>
      </c>
      <c r="E1661" s="167" t="s">
        <v>216</v>
      </c>
      <c r="F1661" s="167"/>
      <c r="G1661" s="168">
        <f>SUMIFS(Таблица1[[#This Row],[8]:[19]],$I$5:$T$5,"Выкуп")</f>
        <v>79.8</v>
      </c>
      <c r="H1661" s="168">
        <f>SUMIFS(Таблица1[[#This Row],[8]:[19]],$I$5:$T$5,"Аренда")</f>
        <v>0</v>
      </c>
      <c r="I1661" s="169">
        <v>79.8</v>
      </c>
      <c r="J1661" s="169"/>
      <c r="K1661" s="169"/>
      <c r="L1661" s="169"/>
      <c r="M1661" s="169"/>
      <c r="N1661" s="169"/>
      <c r="O1661" s="169"/>
      <c r="P1661" s="169"/>
      <c r="Q1661" s="169"/>
      <c r="R1661" s="169"/>
      <c r="S1661" s="169"/>
      <c r="T1661" s="169"/>
      <c r="U1661" s="170"/>
      <c r="V1661" s="171"/>
    </row>
    <row r="1662" spans="1:22" hidden="1" outlineLevel="2" x14ac:dyDescent="0.25">
      <c r="A1662" s="186">
        <f>SUMIFS(МКД!$A$6:$A$389,МКД!$D$6:$D$389,Таблица1[[#This Row],[2]])</f>
        <v>326</v>
      </c>
      <c r="B1662" s="168"/>
      <c r="C1662" s="182" t="s">
        <v>544</v>
      </c>
      <c r="D1662" s="167" t="s">
        <v>2314</v>
      </c>
      <c r="E1662" s="167" t="s">
        <v>2313</v>
      </c>
      <c r="F1662" s="167">
        <v>1</v>
      </c>
      <c r="G1662" s="168">
        <f>SUMIFS(Таблица1[[#This Row],[8]:[19]],$I$5:$T$5,"Выкуп")</f>
        <v>74.599999999999994</v>
      </c>
      <c r="H1662" s="168">
        <f>SUMIFS(Таблица1[[#This Row],[8]:[19]],$I$5:$T$5,"Аренда")</f>
        <v>0</v>
      </c>
      <c r="I1662" s="169">
        <v>74.599999999999994</v>
      </c>
      <c r="J1662" s="169"/>
      <c r="K1662" s="169"/>
      <c r="L1662" s="169"/>
      <c r="M1662" s="169"/>
      <c r="N1662" s="169"/>
      <c r="O1662" s="169"/>
      <c r="P1662" s="169"/>
      <c r="Q1662" s="169"/>
      <c r="R1662" s="169"/>
      <c r="S1662" s="169"/>
      <c r="T1662" s="169"/>
      <c r="U1662" s="170"/>
      <c r="V1662" s="171"/>
    </row>
    <row r="1663" spans="1:22" hidden="1" outlineLevel="2" x14ac:dyDescent="0.25">
      <c r="A1663" s="186">
        <f>SUMIFS(МКД!$A$6:$A$389,МКД!$D$6:$D$389,Таблица1[[#This Row],[2]])</f>
        <v>326</v>
      </c>
      <c r="B1663" s="168"/>
      <c r="C1663" s="182" t="s">
        <v>544</v>
      </c>
      <c r="D1663" s="167" t="s">
        <v>1593</v>
      </c>
      <c r="E1663" s="273" t="s">
        <v>1777</v>
      </c>
      <c r="F1663" s="167">
        <v>1</v>
      </c>
      <c r="G1663" s="168">
        <f>SUMIFS(Таблица1[[#This Row],[8]:[19]],$I$5:$T$5,"Выкуп")</f>
        <v>82.9</v>
      </c>
      <c r="H1663" s="168">
        <f>SUMIFS(Таблица1[[#This Row],[8]:[19]],$I$5:$T$5,"Аренда")</f>
        <v>0</v>
      </c>
      <c r="I1663" s="169"/>
      <c r="J1663" s="169"/>
      <c r="K1663" s="169">
        <v>82.9</v>
      </c>
      <c r="L1663" s="169"/>
      <c r="M1663" s="169"/>
      <c r="N1663" s="169"/>
      <c r="O1663" s="169"/>
      <c r="P1663" s="169"/>
      <c r="Q1663" s="169"/>
      <c r="R1663" s="169"/>
      <c r="S1663" s="169"/>
      <c r="T1663" s="169"/>
      <c r="U1663" s="170"/>
      <c r="V1663" s="171"/>
    </row>
    <row r="1664" spans="1:22" hidden="1" outlineLevel="2" x14ac:dyDescent="0.25">
      <c r="A1664" s="186">
        <f>SUMIFS(МКД!$A$6:$A$389,МКД!$D$6:$D$389,Таблица1[[#This Row],[2]])</f>
        <v>326</v>
      </c>
      <c r="B1664" s="168"/>
      <c r="C1664" s="182" t="s">
        <v>544</v>
      </c>
      <c r="D1664" s="167" t="s">
        <v>1053</v>
      </c>
      <c r="E1664" s="167" t="s">
        <v>1949</v>
      </c>
      <c r="F1664" s="167">
        <v>1</v>
      </c>
      <c r="G1664" s="168">
        <f>SUMIFS(Таблица1[[#This Row],[8]:[19]],$I$5:$T$5,"Выкуп")</f>
        <v>30.3</v>
      </c>
      <c r="H1664" s="168">
        <f>SUMIFS(Таблица1[[#This Row],[8]:[19]],$I$5:$T$5,"Аренда")</f>
        <v>0</v>
      </c>
      <c r="I1664" s="169">
        <v>30.3</v>
      </c>
      <c r="J1664" s="169"/>
      <c r="K1664" s="169"/>
      <c r="L1664" s="169"/>
      <c r="M1664" s="169"/>
      <c r="N1664" s="169"/>
      <c r="O1664" s="169"/>
      <c r="P1664" s="169"/>
      <c r="Q1664" s="169"/>
      <c r="R1664" s="169"/>
      <c r="S1664" s="169"/>
      <c r="T1664" s="169"/>
      <c r="U1664" s="170"/>
      <c r="V1664" s="171"/>
    </row>
    <row r="1665" spans="1:22" hidden="1" outlineLevel="2" x14ac:dyDescent="0.25">
      <c r="A1665" s="186">
        <f>SUMIFS(МКД!$A$6:$A$389,МКД!$D$6:$D$389,Таблица1[[#This Row],[2]])</f>
        <v>326</v>
      </c>
      <c r="B1665" s="168"/>
      <c r="C1665" s="182" t="s">
        <v>544</v>
      </c>
      <c r="D1665" s="167" t="s">
        <v>1972</v>
      </c>
      <c r="E1665" s="167" t="s">
        <v>1973</v>
      </c>
      <c r="F1665" s="167">
        <v>1</v>
      </c>
      <c r="G1665" s="168">
        <f>SUMIFS(Таблица1[[#This Row],[8]:[19]],$I$5:$T$5,"Выкуп")</f>
        <v>142</v>
      </c>
      <c r="H1665" s="168">
        <f>SUMIFS(Таблица1[[#This Row],[8]:[19]],$I$5:$T$5,"Аренда")</f>
        <v>0</v>
      </c>
      <c r="I1665" s="169">
        <v>142</v>
      </c>
      <c r="J1665" s="169"/>
      <c r="K1665" s="169"/>
      <c r="L1665" s="169"/>
      <c r="M1665" s="169"/>
      <c r="N1665" s="169"/>
      <c r="O1665" s="169"/>
      <c r="P1665" s="169"/>
      <c r="Q1665" s="169"/>
      <c r="R1665" s="169"/>
      <c r="S1665" s="169"/>
      <c r="T1665" s="169"/>
      <c r="U1665" s="170"/>
      <c r="V1665" s="171"/>
    </row>
    <row r="1666" spans="1:22" hidden="1" outlineLevel="2" x14ac:dyDescent="0.25">
      <c r="A1666" s="186">
        <f>SUMIFS(МКД!$A$6:$A$389,МКД!$D$6:$D$389,Таблица1[[#This Row],[2]])</f>
        <v>326</v>
      </c>
      <c r="B1666" s="168"/>
      <c r="C1666" s="182" t="s">
        <v>544</v>
      </c>
      <c r="D1666" s="167" t="s">
        <v>2049</v>
      </c>
      <c r="E1666" s="167" t="s">
        <v>2315</v>
      </c>
      <c r="F1666" s="167">
        <v>1</v>
      </c>
      <c r="G1666" s="168">
        <f>SUMIFS(Таблица1[[#This Row],[8]:[19]],$I$5:$T$5,"Выкуп")</f>
        <v>250.9</v>
      </c>
      <c r="H1666" s="168">
        <f>SUMIFS(Таблица1[[#This Row],[8]:[19]],$I$5:$T$5,"Аренда")</f>
        <v>0</v>
      </c>
      <c r="I1666" s="169"/>
      <c r="J1666" s="169"/>
      <c r="K1666" s="169">
        <v>250.9</v>
      </c>
      <c r="L1666" s="169"/>
      <c r="M1666" s="169"/>
      <c r="N1666" s="169"/>
      <c r="O1666" s="169"/>
      <c r="P1666" s="169"/>
      <c r="Q1666" s="169"/>
      <c r="R1666" s="169"/>
      <c r="S1666" s="169"/>
      <c r="T1666" s="169"/>
      <c r="U1666" s="170"/>
      <c r="V1666" s="171"/>
    </row>
    <row r="1667" spans="1:22" hidden="1" outlineLevel="2" x14ac:dyDescent="0.25">
      <c r="A1667" s="186">
        <f>SUMIFS(МКД!$A$6:$A$389,МКД!$D$6:$D$389,Таблица1[[#This Row],[2]])</f>
        <v>326</v>
      </c>
      <c r="B1667" s="168"/>
      <c r="C1667" s="182" t="s">
        <v>544</v>
      </c>
      <c r="D1667" s="167" t="s">
        <v>1053</v>
      </c>
      <c r="E1667" s="167" t="s">
        <v>2752</v>
      </c>
      <c r="F1667" s="167">
        <v>1</v>
      </c>
      <c r="G1667" s="168">
        <f>SUMIFS(Таблица1[[#This Row],[8]:[19]],$I$5:$T$5,"Выкуп")</f>
        <v>158.6</v>
      </c>
      <c r="H1667" s="168">
        <f>SUMIFS(Таблица1[[#This Row],[8]:[19]],$I$5:$T$5,"Аренда")</f>
        <v>0</v>
      </c>
      <c r="I1667" s="169"/>
      <c r="J1667" s="169"/>
      <c r="K1667" s="169"/>
      <c r="L1667" s="169"/>
      <c r="M1667" s="278">
        <v>158.6</v>
      </c>
      <c r="N1667" s="169"/>
      <c r="O1667" s="169"/>
      <c r="P1667" s="169"/>
      <c r="Q1667" s="169"/>
      <c r="R1667" s="169"/>
      <c r="S1667" s="169"/>
      <c r="T1667" s="169"/>
      <c r="U1667" s="170"/>
      <c r="V1667" s="171"/>
    </row>
    <row r="1668" spans="1:22" ht="15" outlineLevel="1" collapsed="1" x14ac:dyDescent="0.25">
      <c r="A1668" s="186">
        <f>SUMIFS(МКД!$A$6:$A$389,МКД!$D$6:$D$389,Таблица1[[#This Row],[2]])</f>
        <v>327</v>
      </c>
      <c r="B1668" s="194">
        <f>SUMIFS(Таблица1[6],Таблица1[2],Таблица1[[#This Row],[2]])+SUMIFS(Таблица1[7],Таблица1[2],Таблица1[[#This Row],[2]])</f>
        <v>962.2</v>
      </c>
      <c r="C1668" s="185" t="s">
        <v>1013</v>
      </c>
      <c r="D1668" s="196"/>
      <c r="E1668" s="196"/>
      <c r="F1668" s="196"/>
      <c r="G1668" s="168"/>
      <c r="H1668" s="197"/>
      <c r="I1668" s="196"/>
      <c r="J1668" s="196"/>
      <c r="K1668" s="196"/>
      <c r="L1668" s="196"/>
      <c r="M1668" s="196"/>
      <c r="N1668" s="196"/>
      <c r="O1668" s="196"/>
      <c r="P1668" s="196"/>
      <c r="Q1668" s="196"/>
      <c r="R1668" s="196"/>
      <c r="S1668" s="196"/>
      <c r="T1668" s="196"/>
      <c r="U1668" s="196"/>
      <c r="V1668" s="198"/>
    </row>
    <row r="1669" spans="1:22" hidden="1" outlineLevel="2" x14ac:dyDescent="0.25">
      <c r="A1669" s="186">
        <f>SUMIFS(МКД!$A$6:$A$389,МКД!$D$6:$D$389,Таблица1[[#This Row],[2]])</f>
        <v>327</v>
      </c>
      <c r="B1669" s="170"/>
      <c r="C1669" s="182" t="s">
        <v>1013</v>
      </c>
      <c r="D1669" s="167" t="s">
        <v>247</v>
      </c>
      <c r="E1669" s="167" t="s">
        <v>2456</v>
      </c>
      <c r="F1669" s="167">
        <v>1</v>
      </c>
      <c r="G1669" s="168">
        <f>SUMIFS(Таблица1[[#This Row],[8]:[19]],$I$5:$T$5,"Выкуп")</f>
        <v>449</v>
      </c>
      <c r="H1669" s="168">
        <f>SUMIFS(Таблица1[[#This Row],[8]:[19]],$I$5:$T$5,"Аренда")</f>
        <v>0</v>
      </c>
      <c r="I1669" s="169"/>
      <c r="J1669" s="169"/>
      <c r="K1669" s="278">
        <v>449</v>
      </c>
      <c r="L1669" s="169"/>
      <c r="M1669" s="169"/>
      <c r="N1669" s="169"/>
      <c r="O1669" s="169"/>
      <c r="P1669" s="169"/>
      <c r="Q1669" s="169"/>
      <c r="R1669" s="169"/>
      <c r="S1669" s="169"/>
      <c r="T1669" s="169"/>
      <c r="U1669" s="170"/>
      <c r="V1669" s="171"/>
    </row>
    <row r="1670" spans="1:22" hidden="1" outlineLevel="2" x14ac:dyDescent="0.25">
      <c r="A1670" s="186">
        <f>SUMIFS(МКД!$A$6:$A$389,МКД!$D$6:$D$389,Таблица1[[#This Row],[2]])</f>
        <v>327</v>
      </c>
      <c r="B1670" s="170"/>
      <c r="C1670" s="182" t="s">
        <v>1013</v>
      </c>
      <c r="D1670" s="167" t="s">
        <v>1593</v>
      </c>
      <c r="E1670" s="273" t="s">
        <v>1735</v>
      </c>
      <c r="F1670" s="167">
        <v>1</v>
      </c>
      <c r="G1670" s="168">
        <f>SUMIFS(Таблица1[[#This Row],[8]:[19]],$I$5:$T$5,"Выкуп")</f>
        <v>121.9</v>
      </c>
      <c r="H1670" s="168">
        <f>SUMIFS(Таблица1[[#This Row],[8]:[19]],$I$5:$T$5,"Аренда")</f>
        <v>0</v>
      </c>
      <c r="I1670" s="169"/>
      <c r="J1670" s="169"/>
      <c r="K1670" s="169">
        <v>121.9</v>
      </c>
      <c r="L1670" s="169"/>
      <c r="M1670" s="169"/>
      <c r="N1670" s="169"/>
      <c r="O1670" s="169"/>
      <c r="P1670" s="169"/>
      <c r="Q1670" s="169"/>
      <c r="R1670" s="169"/>
      <c r="S1670" s="169"/>
      <c r="T1670" s="169"/>
      <c r="U1670" s="170"/>
      <c r="V1670" s="171"/>
    </row>
    <row r="1671" spans="1:22" hidden="1" outlineLevel="2" x14ac:dyDescent="0.25">
      <c r="A1671" s="186">
        <f>SUMIFS(МКД!$A$6:$A$389,МКД!$D$6:$D$389,Таблица1[[#This Row],[2]])</f>
        <v>327</v>
      </c>
      <c r="B1671" s="170"/>
      <c r="C1671" s="182" t="s">
        <v>1013</v>
      </c>
      <c r="D1671" s="167" t="s">
        <v>1037</v>
      </c>
      <c r="E1671" s="167" t="s">
        <v>2452</v>
      </c>
      <c r="F1671" s="167"/>
      <c r="G1671" s="168">
        <f>SUMIFS(Таблица1[[#This Row],[8]:[19]],$I$5:$T$5,"Выкуп")</f>
        <v>56.7</v>
      </c>
      <c r="H1671" s="168">
        <f>SUMIFS(Таблица1[[#This Row],[8]:[19]],$I$5:$T$5,"Аренда")</f>
        <v>0</v>
      </c>
      <c r="I1671" s="169"/>
      <c r="J1671" s="169"/>
      <c r="K1671" s="278">
        <v>56.7</v>
      </c>
      <c r="L1671" s="169"/>
      <c r="M1671" s="169"/>
      <c r="N1671" s="169"/>
      <c r="O1671" s="169"/>
      <c r="P1671" s="169"/>
      <c r="Q1671" s="169"/>
      <c r="R1671" s="169"/>
      <c r="S1671" s="169"/>
      <c r="T1671" s="169"/>
      <c r="U1671" s="170"/>
      <c r="V1671" s="171"/>
    </row>
    <row r="1672" spans="1:22" hidden="1" outlineLevel="2" x14ac:dyDescent="0.25">
      <c r="A1672" s="186">
        <f>SUMIFS(МКД!$A$6:$A$389,МКД!$D$6:$D$389,Таблица1[[#This Row],[2]])</f>
        <v>327</v>
      </c>
      <c r="B1672" s="168"/>
      <c r="C1672" s="182" t="s">
        <v>1013</v>
      </c>
      <c r="D1672" s="167" t="s">
        <v>2450</v>
      </c>
      <c r="E1672" s="167" t="s">
        <v>2453</v>
      </c>
      <c r="F1672" s="167">
        <v>1</v>
      </c>
      <c r="G1672" s="168">
        <f>SUMIFS(Таблица1[[#This Row],[8]:[19]],$I$5:$T$5,"Выкуп")</f>
        <v>68.900000000000006</v>
      </c>
      <c r="H1672" s="168">
        <f>SUMIFS(Таблица1[[#This Row],[8]:[19]],$I$5:$T$5,"Аренда")</f>
        <v>0</v>
      </c>
      <c r="I1672" s="169"/>
      <c r="J1672" s="169"/>
      <c r="K1672" s="278">
        <v>68.900000000000006</v>
      </c>
      <c r="L1672" s="169"/>
      <c r="M1672" s="169"/>
      <c r="N1672" s="169"/>
      <c r="O1672" s="169"/>
      <c r="P1672" s="169"/>
      <c r="Q1672" s="169"/>
      <c r="R1672" s="169"/>
      <c r="S1672" s="169"/>
      <c r="T1672" s="169"/>
      <c r="U1672" s="170"/>
      <c r="V1672" s="171"/>
    </row>
    <row r="1673" spans="1:22" hidden="1" outlineLevel="2" x14ac:dyDescent="0.25">
      <c r="A1673" s="186">
        <f>SUMIFS(МКД!$A$6:$A$389,МКД!$D$6:$D$389,Таблица1[[#This Row],[2]])</f>
        <v>327</v>
      </c>
      <c r="B1673" s="168"/>
      <c r="C1673" s="182" t="s">
        <v>1013</v>
      </c>
      <c r="D1673" s="167" t="s">
        <v>2621</v>
      </c>
      <c r="E1673" s="167" t="s">
        <v>1382</v>
      </c>
      <c r="F1673" s="167">
        <v>1</v>
      </c>
      <c r="G1673" s="168">
        <f>SUMIFS(Таблица1[[#This Row],[8]:[19]],$I$5:$T$5,"Выкуп")</f>
        <v>70</v>
      </c>
      <c r="H1673" s="168">
        <f>SUMIFS(Таблица1[[#This Row],[8]:[19]],$I$5:$T$5,"Аренда")</f>
        <v>0</v>
      </c>
      <c r="I1673" s="169">
        <v>70</v>
      </c>
      <c r="J1673" s="169"/>
      <c r="K1673" s="169"/>
      <c r="L1673" s="169"/>
      <c r="M1673" s="169"/>
      <c r="N1673" s="169"/>
      <c r="O1673" s="169"/>
      <c r="P1673" s="169"/>
      <c r="Q1673" s="169"/>
      <c r="R1673" s="169"/>
      <c r="S1673" s="169"/>
      <c r="T1673" s="169"/>
      <c r="U1673" s="170"/>
      <c r="V1673" s="171"/>
    </row>
    <row r="1674" spans="1:22" hidden="1" outlineLevel="2" x14ac:dyDescent="0.25">
      <c r="A1674" s="186">
        <f>SUMIFS(МКД!$A$6:$A$389,МКД!$D$6:$D$389,Таблица1[[#This Row],[2]])</f>
        <v>327</v>
      </c>
      <c r="B1674" s="168"/>
      <c r="C1674" s="182" t="s">
        <v>1013</v>
      </c>
      <c r="D1674" s="167" t="s">
        <v>1394</v>
      </c>
      <c r="E1674" s="167" t="s">
        <v>2455</v>
      </c>
      <c r="F1674" s="167">
        <v>1</v>
      </c>
      <c r="G1674" s="168">
        <f>SUMIFS(Таблица1[[#This Row],[8]:[19]],$I$5:$T$5,"Выкуп")</f>
        <v>195.7</v>
      </c>
      <c r="H1674" s="168">
        <f>SUMIFS(Таблица1[[#This Row],[8]:[19]],$I$5:$T$5,"Аренда")</f>
        <v>0</v>
      </c>
      <c r="I1674" s="169"/>
      <c r="J1674" s="169"/>
      <c r="K1674" s="169"/>
      <c r="L1674" s="169"/>
      <c r="M1674" s="278">
        <f>127.6+68.1</f>
        <v>195.7</v>
      </c>
      <c r="N1674" s="169"/>
      <c r="O1674" s="169"/>
      <c r="P1674" s="169"/>
      <c r="Q1674" s="169"/>
      <c r="R1674" s="169"/>
      <c r="S1674" s="169"/>
      <c r="T1674" s="169"/>
      <c r="U1674" s="170"/>
      <c r="V1674" s="171"/>
    </row>
    <row r="1675" spans="1:22" ht="15" outlineLevel="1" collapsed="1" x14ac:dyDescent="0.25">
      <c r="A1675" s="186">
        <f>SUMIFS(МКД!$A$6:$A$389,МКД!$D$6:$D$389,Таблица1[[#This Row],[2]])</f>
        <v>292</v>
      </c>
      <c r="B1675" s="194">
        <f>SUMIFS(Таблица1[6],Таблица1[2],Таблица1[[#This Row],[2]])+SUMIFS(Таблица1[7],Таблица1[2],Таблица1[[#This Row],[2]])</f>
        <v>873.30000000000007</v>
      </c>
      <c r="C1675" s="185" t="s">
        <v>545</v>
      </c>
      <c r="D1675" s="196"/>
      <c r="E1675" s="196"/>
      <c r="F1675" s="196"/>
      <c r="G1675" s="168"/>
      <c r="H1675" s="197"/>
      <c r="I1675" s="196"/>
      <c r="J1675" s="196"/>
      <c r="K1675" s="196"/>
      <c r="L1675" s="196"/>
      <c r="M1675" s="196"/>
      <c r="N1675" s="196"/>
      <c r="O1675" s="196"/>
      <c r="P1675" s="196"/>
      <c r="Q1675" s="196"/>
      <c r="R1675" s="196"/>
      <c r="S1675" s="196"/>
      <c r="T1675" s="196"/>
      <c r="U1675" s="196"/>
      <c r="V1675" s="198"/>
    </row>
    <row r="1676" spans="1:22" hidden="1" outlineLevel="2" x14ac:dyDescent="0.25">
      <c r="A1676" s="186">
        <f>SUMIFS(МКД!$A$6:$A$389,МКД!$D$6:$D$389,Таблица1[[#This Row],[2]])</f>
        <v>292</v>
      </c>
      <c r="B1676" s="170"/>
      <c r="C1676" s="182" t="s">
        <v>545</v>
      </c>
      <c r="D1676" s="167" t="s">
        <v>1528</v>
      </c>
      <c r="E1676" s="167" t="s">
        <v>957</v>
      </c>
      <c r="F1676" s="167">
        <v>1</v>
      </c>
      <c r="G1676" s="168">
        <f>SUMIFS(Таблица1[[#This Row],[8]:[19]],$I$5:$T$5,"Выкуп")</f>
        <v>347.7</v>
      </c>
      <c r="H1676" s="168">
        <f>SUMIFS(Таблица1[[#This Row],[8]:[19]],$I$5:$T$5,"Аренда")</f>
        <v>0</v>
      </c>
      <c r="I1676" s="169">
        <v>347.7</v>
      </c>
      <c r="J1676" s="169"/>
      <c r="K1676" s="169"/>
      <c r="L1676" s="169"/>
      <c r="M1676" s="169"/>
      <c r="N1676" s="169"/>
      <c r="O1676" s="169"/>
      <c r="P1676" s="169"/>
      <c r="Q1676" s="169"/>
      <c r="R1676" s="169"/>
      <c r="S1676" s="169"/>
      <c r="T1676" s="169"/>
      <c r="U1676" s="170"/>
      <c r="V1676" s="171"/>
    </row>
    <row r="1677" spans="1:22" hidden="1" outlineLevel="2" x14ac:dyDescent="0.25">
      <c r="A1677" s="186">
        <f>SUMIFS(МКД!$A$6:$A$389,МКД!$D$6:$D$389,Таблица1[[#This Row],[2]])</f>
        <v>292</v>
      </c>
      <c r="B1677" s="168"/>
      <c r="C1677" s="182" t="s">
        <v>545</v>
      </c>
      <c r="D1677" s="167" t="s">
        <v>1608</v>
      </c>
      <c r="E1677" s="167" t="s">
        <v>764</v>
      </c>
      <c r="F1677" s="167">
        <v>1</v>
      </c>
      <c r="G1677" s="168">
        <f>SUMIFS(Таблица1[[#This Row],[8]:[19]],$I$5:$T$5,"Выкуп")</f>
        <v>141.30000000000001</v>
      </c>
      <c r="H1677" s="168">
        <f>SUMIFS(Таблица1[[#This Row],[8]:[19]],$I$5:$T$5,"Аренда")</f>
        <v>0</v>
      </c>
      <c r="I1677" s="169">
        <v>141.30000000000001</v>
      </c>
      <c r="J1677" s="169"/>
      <c r="K1677" s="169"/>
      <c r="L1677" s="169"/>
      <c r="M1677" s="169"/>
      <c r="N1677" s="169"/>
      <c r="O1677" s="169"/>
      <c r="P1677" s="169"/>
      <c r="Q1677" s="169"/>
      <c r="R1677" s="169"/>
      <c r="S1677" s="169"/>
      <c r="T1677" s="169"/>
      <c r="U1677" s="170"/>
      <c r="V1677" s="171"/>
    </row>
    <row r="1678" spans="1:22" hidden="1" outlineLevel="2" x14ac:dyDescent="0.25">
      <c r="A1678" s="186">
        <f>SUMIFS(МКД!$A$6:$A$389,МКД!$D$6:$D$389,Таблица1[[#This Row],[2]])</f>
        <v>292</v>
      </c>
      <c r="B1678" s="168"/>
      <c r="C1678" s="182" t="s">
        <v>545</v>
      </c>
      <c r="D1678" s="167" t="s">
        <v>2729</v>
      </c>
      <c r="E1678" s="167" t="s">
        <v>1607</v>
      </c>
      <c r="F1678" s="167">
        <v>1</v>
      </c>
      <c r="G1678" s="168">
        <f>SUMIFS(Таблица1[[#This Row],[8]:[19]],$I$5:$T$5,"Выкуп")</f>
        <v>183.2</v>
      </c>
      <c r="H1678" s="168">
        <f>SUMIFS(Таблица1[[#This Row],[8]:[19]],$I$5:$T$5,"Аренда")</f>
        <v>0</v>
      </c>
      <c r="I1678" s="169">
        <v>183.2</v>
      </c>
      <c r="J1678" s="169"/>
      <c r="K1678" s="169"/>
      <c r="L1678" s="169"/>
      <c r="M1678" s="169"/>
      <c r="N1678" s="169"/>
      <c r="O1678" s="169"/>
      <c r="P1678" s="169"/>
      <c r="Q1678" s="169"/>
      <c r="R1678" s="169"/>
      <c r="S1678" s="169"/>
      <c r="T1678" s="169"/>
      <c r="U1678" s="170"/>
      <c r="V1678" s="171"/>
    </row>
    <row r="1679" spans="1:22" hidden="1" outlineLevel="2" x14ac:dyDescent="0.25">
      <c r="A1679" s="186">
        <f>SUMIFS(МКД!$A$6:$A$389,МКД!$D$6:$D$389,Таблица1[[#This Row],[2]])</f>
        <v>292</v>
      </c>
      <c r="B1679" s="168"/>
      <c r="C1679" s="182" t="s">
        <v>545</v>
      </c>
      <c r="D1679" s="167" t="s">
        <v>1053</v>
      </c>
      <c r="E1679" s="167" t="s">
        <v>2793</v>
      </c>
      <c r="F1679" s="167">
        <v>1</v>
      </c>
      <c r="G1679" s="168">
        <f>SUMIFS(Таблица1[[#This Row],[8]:[19]],$I$5:$T$5,"Выкуп")</f>
        <v>201.1</v>
      </c>
      <c r="H1679" s="168">
        <f>SUMIFS(Таблица1[[#This Row],[8]:[19]],$I$5:$T$5,"Аренда")</f>
        <v>0</v>
      </c>
      <c r="I1679" s="169"/>
      <c r="J1679" s="169"/>
      <c r="K1679" s="169"/>
      <c r="L1679" s="169"/>
      <c r="M1679" s="278">
        <v>201.1</v>
      </c>
      <c r="N1679" s="169"/>
      <c r="O1679" s="169"/>
      <c r="P1679" s="169"/>
      <c r="Q1679" s="169"/>
      <c r="R1679" s="169"/>
      <c r="S1679" s="169"/>
      <c r="T1679" s="169"/>
      <c r="U1679" s="170"/>
      <c r="V1679" s="171"/>
    </row>
    <row r="1680" spans="1:22" ht="15" outlineLevel="1" collapsed="1" x14ac:dyDescent="0.25">
      <c r="A1680" s="186">
        <f>SUMIFS(МКД!$A$6:$A$389,МКД!$D$6:$D$389,Таблица1[[#This Row],[2]])</f>
        <v>293</v>
      </c>
      <c r="B1680" s="194">
        <f>SUMIFS(Таблица1[6],Таблица1[2],Таблица1[[#This Row],[2]])+SUMIFS(Таблица1[7],Таблица1[2],Таблица1[[#This Row],[2]])</f>
        <v>751.2</v>
      </c>
      <c r="C1680" s="185" t="s">
        <v>640</v>
      </c>
      <c r="D1680" s="196"/>
      <c r="E1680" s="196"/>
      <c r="F1680" s="196"/>
      <c r="G1680" s="168"/>
      <c r="H1680" s="197"/>
      <c r="I1680" s="196"/>
      <c r="J1680" s="196"/>
      <c r="K1680" s="196"/>
      <c r="L1680" s="196"/>
      <c r="M1680" s="196"/>
      <c r="N1680" s="196"/>
      <c r="O1680" s="196"/>
      <c r="P1680" s="196"/>
      <c r="Q1680" s="196"/>
      <c r="R1680" s="196"/>
      <c r="S1680" s="196"/>
      <c r="T1680" s="196"/>
      <c r="U1680" s="196"/>
      <c r="V1680" s="198"/>
    </row>
    <row r="1681" spans="1:22" hidden="1" outlineLevel="2" x14ac:dyDescent="0.25">
      <c r="A1681" s="186">
        <f>SUMIFS(МКД!$A$6:$A$389,МКД!$D$6:$D$389,Таблица1[[#This Row],[2]])</f>
        <v>293</v>
      </c>
      <c r="B1681" s="170"/>
      <c r="C1681" s="182" t="s">
        <v>640</v>
      </c>
      <c r="D1681" s="167" t="s">
        <v>2339</v>
      </c>
      <c r="E1681" s="167" t="s">
        <v>828</v>
      </c>
      <c r="F1681" s="167">
        <v>1</v>
      </c>
      <c r="G1681" s="168">
        <f>SUMIFS(Таблица1[[#This Row],[8]:[19]],$I$5:$T$5,"Выкуп")</f>
        <v>160.30000000000001</v>
      </c>
      <c r="H1681" s="168">
        <f>SUMIFS(Таблица1[[#This Row],[8]:[19]],$I$5:$T$5,"Аренда")</f>
        <v>0</v>
      </c>
      <c r="I1681" s="169"/>
      <c r="J1681" s="169"/>
      <c r="K1681" s="169">
        <v>160.30000000000001</v>
      </c>
      <c r="L1681" s="169"/>
      <c r="M1681" s="169"/>
      <c r="N1681" s="169"/>
      <c r="O1681" s="169"/>
      <c r="P1681" s="169"/>
      <c r="Q1681" s="169"/>
      <c r="R1681" s="169"/>
      <c r="S1681" s="169"/>
      <c r="T1681" s="169"/>
      <c r="U1681" s="170"/>
      <c r="V1681" s="171"/>
    </row>
    <row r="1682" spans="1:22" hidden="1" outlineLevel="2" x14ac:dyDescent="0.25">
      <c r="A1682" s="186">
        <f>SUMIFS(МКД!$A$6:$A$389,МКД!$D$6:$D$389,Таблица1[[#This Row],[2]])</f>
        <v>293</v>
      </c>
      <c r="B1682" s="170"/>
      <c r="C1682" s="182" t="s">
        <v>640</v>
      </c>
      <c r="D1682" s="167" t="s">
        <v>1593</v>
      </c>
      <c r="E1682" s="273" t="s">
        <v>1729</v>
      </c>
      <c r="F1682" s="167">
        <v>1</v>
      </c>
      <c r="G1682" s="168">
        <f>SUMIFS(Таблица1[[#This Row],[8]:[19]],$I$5:$T$5,"Выкуп")</f>
        <v>72.5</v>
      </c>
      <c r="H1682" s="168">
        <f>SUMIFS(Таблица1[[#This Row],[8]:[19]],$I$5:$T$5,"Аренда")</f>
        <v>0</v>
      </c>
      <c r="I1682" s="169"/>
      <c r="J1682" s="169"/>
      <c r="K1682" s="169">
        <v>72.5</v>
      </c>
      <c r="L1682" s="169"/>
      <c r="M1682" s="169"/>
      <c r="N1682" s="169"/>
      <c r="O1682" s="169"/>
      <c r="P1682" s="169"/>
      <c r="Q1682" s="169"/>
      <c r="R1682" s="169"/>
      <c r="S1682" s="169"/>
      <c r="T1682" s="169"/>
      <c r="U1682" s="170"/>
      <c r="V1682" s="171"/>
    </row>
    <row r="1683" spans="1:22" hidden="1" outlineLevel="2" x14ac:dyDescent="0.25">
      <c r="A1683" s="186">
        <f>SUMIFS(МКД!$A$6:$A$389,МКД!$D$6:$D$389,Таблица1[[#This Row],[2]])</f>
        <v>293</v>
      </c>
      <c r="B1683" s="170"/>
      <c r="C1683" s="182" t="s">
        <v>640</v>
      </c>
      <c r="D1683" s="167" t="s">
        <v>1071</v>
      </c>
      <c r="E1683" s="167" t="s">
        <v>1073</v>
      </c>
      <c r="F1683" s="167"/>
      <c r="G1683" s="168">
        <f>SUMIFS(Таблица1[[#This Row],[8]:[19]],$I$5:$T$5,"Выкуп")</f>
        <v>56.4</v>
      </c>
      <c r="H1683" s="168">
        <f>SUMIFS(Таблица1[[#This Row],[8]:[19]],$I$5:$T$5,"Аренда")</f>
        <v>0</v>
      </c>
      <c r="I1683" s="169">
        <v>56.4</v>
      </c>
      <c r="J1683" s="169"/>
      <c r="K1683" s="169"/>
      <c r="L1683" s="169"/>
      <c r="M1683" s="169"/>
      <c r="N1683" s="169"/>
      <c r="O1683" s="169"/>
      <c r="P1683" s="169"/>
      <c r="Q1683" s="169"/>
      <c r="R1683" s="169"/>
      <c r="S1683" s="169"/>
      <c r="T1683" s="169"/>
      <c r="U1683" s="170"/>
      <c r="V1683" s="171"/>
    </row>
    <row r="1684" spans="1:22" hidden="1" outlineLevel="2" x14ac:dyDescent="0.25">
      <c r="A1684" s="186">
        <f>SUMIFS(МКД!$A$6:$A$389,МКД!$D$6:$D$389,Таблица1[[#This Row],[2]])</f>
        <v>293</v>
      </c>
      <c r="B1684" s="168"/>
      <c r="C1684" s="182" t="s">
        <v>640</v>
      </c>
      <c r="D1684" s="167" t="s">
        <v>2232</v>
      </c>
      <c r="E1684" s="167" t="s">
        <v>2342</v>
      </c>
      <c r="F1684" s="167">
        <v>1</v>
      </c>
      <c r="G1684" s="168">
        <f>SUMIFS(Таблица1[[#This Row],[8]:[19]],$I$5:$T$5,"Выкуп")</f>
        <v>50.6</v>
      </c>
      <c r="H1684" s="168">
        <f>SUMIFS(Таблица1[[#This Row],[8]:[19]],$I$5:$T$5,"Аренда")</f>
        <v>0</v>
      </c>
      <c r="I1684" s="169">
        <v>50.6</v>
      </c>
      <c r="J1684" s="169"/>
      <c r="K1684" s="169"/>
      <c r="L1684" s="169"/>
      <c r="M1684" s="169"/>
      <c r="N1684" s="169"/>
      <c r="O1684" s="169"/>
      <c r="P1684" s="169"/>
      <c r="Q1684" s="169"/>
      <c r="R1684" s="169"/>
      <c r="S1684" s="169"/>
      <c r="T1684" s="169"/>
      <c r="U1684" s="170"/>
      <c r="V1684" s="171"/>
    </row>
    <row r="1685" spans="1:22" hidden="1" outlineLevel="2" x14ac:dyDescent="0.25">
      <c r="A1685" s="186">
        <f>SUMIFS(МКД!$A$6:$A$389,МКД!$D$6:$D$389,Таблица1[[#This Row],[2]])</f>
        <v>293</v>
      </c>
      <c r="B1685" s="168"/>
      <c r="C1685" s="182" t="s">
        <v>640</v>
      </c>
      <c r="D1685" s="167" t="s">
        <v>2341</v>
      </c>
      <c r="E1685" s="167" t="s">
        <v>2340</v>
      </c>
      <c r="F1685" s="167">
        <v>1</v>
      </c>
      <c r="G1685" s="168">
        <f>SUMIFS(Таблица1[[#This Row],[8]:[19]],$I$5:$T$5,"Выкуп")</f>
        <v>38.5</v>
      </c>
      <c r="H1685" s="168">
        <f>SUMIFS(Таблица1[[#This Row],[8]:[19]],$I$5:$T$5,"Аренда")</f>
        <v>0</v>
      </c>
      <c r="I1685" s="167"/>
      <c r="J1685" s="167"/>
      <c r="K1685" s="169">
        <v>38.5</v>
      </c>
      <c r="L1685" s="169"/>
      <c r="M1685" s="169"/>
      <c r="N1685" s="169"/>
      <c r="O1685" s="169"/>
      <c r="P1685" s="169"/>
      <c r="Q1685" s="169"/>
      <c r="R1685" s="169"/>
      <c r="S1685" s="169"/>
      <c r="T1685" s="169"/>
      <c r="U1685" s="170"/>
      <c r="V1685" s="171"/>
    </row>
    <row r="1686" spans="1:22" hidden="1" outlineLevel="2" x14ac:dyDescent="0.25">
      <c r="A1686" s="186">
        <f>SUMIFS(МКД!$A$6:$A$389,МКД!$D$6:$D$389,Таблица1[[#This Row],[2]])</f>
        <v>293</v>
      </c>
      <c r="B1686" s="168"/>
      <c r="C1686" s="182" t="s">
        <v>640</v>
      </c>
      <c r="D1686" s="167" t="s">
        <v>19</v>
      </c>
      <c r="E1686" s="167" t="s">
        <v>2343</v>
      </c>
      <c r="F1686" s="167">
        <v>1</v>
      </c>
      <c r="G1686" s="168">
        <f>SUMIFS(Таблица1[[#This Row],[8]:[19]],$I$5:$T$5,"Выкуп")</f>
        <v>57.8</v>
      </c>
      <c r="H1686" s="168">
        <f>SUMIFS(Таблица1[[#This Row],[8]:[19]],$I$5:$T$5,"Аренда")</f>
        <v>0</v>
      </c>
      <c r="I1686" s="169">
        <v>57.8</v>
      </c>
      <c r="J1686" s="169"/>
      <c r="K1686" s="169"/>
      <c r="L1686" s="169"/>
      <c r="M1686" s="169"/>
      <c r="N1686" s="169"/>
      <c r="O1686" s="169"/>
      <c r="P1686" s="169"/>
      <c r="Q1686" s="169"/>
      <c r="R1686" s="169"/>
      <c r="S1686" s="169"/>
      <c r="T1686" s="169"/>
      <c r="U1686" s="170"/>
      <c r="V1686" s="171"/>
    </row>
    <row r="1687" spans="1:22" hidden="1" outlineLevel="2" x14ac:dyDescent="0.25">
      <c r="A1687" s="186">
        <f>SUMIFS(МКД!$A$6:$A$389,МКД!$D$6:$D$389,Таблица1[[#This Row],[2]])</f>
        <v>293</v>
      </c>
      <c r="B1687" s="168"/>
      <c r="C1687" s="182" t="s">
        <v>640</v>
      </c>
      <c r="D1687" s="167" t="s">
        <v>1674</v>
      </c>
      <c r="E1687" s="167" t="s">
        <v>1412</v>
      </c>
      <c r="F1687" s="167">
        <v>1</v>
      </c>
      <c r="G1687" s="168">
        <f>SUMIFS(Таблица1[[#This Row],[8]:[19]],$I$5:$T$5,"Выкуп")</f>
        <v>72.400000000000006</v>
      </c>
      <c r="H1687" s="168">
        <f>SUMIFS(Таблица1[[#This Row],[8]:[19]],$I$5:$T$5,"Аренда")</f>
        <v>0</v>
      </c>
      <c r="I1687" s="169">
        <v>72.400000000000006</v>
      </c>
      <c r="J1687" s="169"/>
      <c r="K1687" s="169"/>
      <c r="L1687" s="169"/>
      <c r="M1687" s="169"/>
      <c r="N1687" s="169"/>
      <c r="O1687" s="169"/>
      <c r="P1687" s="169"/>
      <c r="Q1687" s="169"/>
      <c r="R1687" s="169"/>
      <c r="S1687" s="169"/>
      <c r="T1687" s="169"/>
      <c r="U1687" s="170"/>
      <c r="V1687" s="171"/>
    </row>
    <row r="1688" spans="1:22" hidden="1" outlineLevel="2" x14ac:dyDescent="0.25">
      <c r="A1688" s="186">
        <f>SUMIFS(МКД!$A$6:$A$389,МКД!$D$6:$D$389,Таблица1[[#This Row],[2]])</f>
        <v>293</v>
      </c>
      <c r="B1688" s="168"/>
      <c r="C1688" s="182" t="s">
        <v>640</v>
      </c>
      <c r="D1688" s="167"/>
      <c r="E1688" s="167" t="s">
        <v>1893</v>
      </c>
      <c r="F1688" s="167">
        <v>1</v>
      </c>
      <c r="G1688" s="168">
        <f>SUMIFS(Таблица1[[#This Row],[8]:[19]],$I$5:$T$5,"Выкуп")</f>
        <v>0</v>
      </c>
      <c r="H1688" s="168">
        <f>SUMIFS(Таблица1[[#This Row],[8]:[19]],$I$5:$T$5,"Аренда")</f>
        <v>0</v>
      </c>
      <c r="I1688" s="169"/>
      <c r="J1688" s="169"/>
      <c r="K1688" s="169"/>
      <c r="L1688" s="169"/>
      <c r="M1688" s="169"/>
      <c r="N1688" s="169"/>
      <c r="O1688" s="167"/>
      <c r="P1688" s="169"/>
      <c r="Q1688" s="169"/>
      <c r="R1688" s="169"/>
      <c r="S1688" s="169"/>
      <c r="T1688" s="169"/>
      <c r="U1688" s="170"/>
      <c r="V1688" s="171"/>
    </row>
    <row r="1689" spans="1:22" hidden="1" outlineLevel="2" x14ac:dyDescent="0.25">
      <c r="A1689" s="186">
        <f>SUMIFS(МКД!$A$6:$A$389,МКД!$D$6:$D$389,Таблица1[[#This Row],[2]])</f>
        <v>293</v>
      </c>
      <c r="B1689" s="168"/>
      <c r="C1689" s="182" t="s">
        <v>640</v>
      </c>
      <c r="D1689" s="167" t="s">
        <v>1053</v>
      </c>
      <c r="E1689" s="167" t="s">
        <v>2828</v>
      </c>
      <c r="F1689" s="167">
        <v>1</v>
      </c>
      <c r="G1689" s="168">
        <f>SUMIFS(Таблица1[[#This Row],[8]:[19]],$I$5:$T$5,"Выкуп")</f>
        <v>242.7</v>
      </c>
      <c r="H1689" s="168">
        <f>SUMIFS(Таблица1[[#This Row],[8]:[19]],$I$5:$T$5,"Аренда")</f>
        <v>0</v>
      </c>
      <c r="I1689" s="169"/>
      <c r="J1689" s="169"/>
      <c r="K1689" s="169"/>
      <c r="L1689" s="169"/>
      <c r="M1689" s="169">
        <v>242.7</v>
      </c>
      <c r="N1689" s="169"/>
      <c r="O1689" s="169"/>
      <c r="P1689" s="169"/>
      <c r="Q1689" s="169"/>
      <c r="R1689" s="169"/>
      <c r="S1689" s="169"/>
      <c r="T1689" s="169"/>
      <c r="U1689" s="170"/>
      <c r="V1689" s="171"/>
    </row>
    <row r="1690" spans="1:22" ht="15" outlineLevel="1" collapsed="1" x14ac:dyDescent="0.25">
      <c r="A1690" s="186">
        <f>SUMIFS(МКД!$A$6:$A$389,МКД!$D$6:$D$389,Таблица1[[#This Row],[2]])</f>
        <v>294</v>
      </c>
      <c r="B1690" s="194">
        <f>SUMIFS(Таблица1[6],Таблица1[2],Таблица1[[#This Row],[2]])+SUMIFS(Таблица1[7],Таблица1[2],Таблица1[[#This Row],[2]])</f>
        <v>3005.6</v>
      </c>
      <c r="C1690" s="185" t="s">
        <v>546</v>
      </c>
      <c r="D1690" s="196"/>
      <c r="E1690" s="196"/>
      <c r="F1690" s="196"/>
      <c r="G1690" s="168"/>
      <c r="H1690" s="197"/>
      <c r="I1690" s="196"/>
      <c r="J1690" s="196"/>
      <c r="K1690" s="196"/>
      <c r="L1690" s="196"/>
      <c r="M1690" s="196"/>
      <c r="N1690" s="196"/>
      <c r="O1690" s="196"/>
      <c r="P1690" s="196"/>
      <c r="Q1690" s="196"/>
      <c r="R1690" s="196"/>
      <c r="S1690" s="196"/>
      <c r="T1690" s="196"/>
      <c r="U1690" s="196"/>
      <c r="V1690" s="198"/>
    </row>
    <row r="1691" spans="1:22" hidden="1" outlineLevel="2" x14ac:dyDescent="0.25">
      <c r="A1691" s="186">
        <f>SUMIFS(МКД!$A$6:$A$389,МКД!$D$6:$D$389,Таблица1[[#This Row],[2]])</f>
        <v>294</v>
      </c>
      <c r="B1691" s="170"/>
      <c r="C1691" s="182" t="s">
        <v>546</v>
      </c>
      <c r="D1691" s="167" t="s">
        <v>1022</v>
      </c>
      <c r="E1691" s="167" t="s">
        <v>2344</v>
      </c>
      <c r="F1691" s="167">
        <v>1</v>
      </c>
      <c r="G1691" s="168">
        <f>SUMIFS(Таблица1[[#This Row],[8]:[19]],$I$5:$T$5,"Выкуп")</f>
        <v>160.89999999999998</v>
      </c>
      <c r="H1691" s="168">
        <f>SUMIFS(Таблица1[[#This Row],[8]:[19]],$I$5:$T$5,"Аренда")</f>
        <v>0</v>
      </c>
      <c r="I1691" s="169">
        <v>138.19999999999999</v>
      </c>
      <c r="J1691" s="169"/>
      <c r="K1691" s="169">
        <v>22.7</v>
      </c>
      <c r="L1691" s="169"/>
      <c r="M1691" s="169"/>
      <c r="N1691" s="169"/>
      <c r="O1691" s="169"/>
      <c r="P1691" s="169"/>
      <c r="Q1691" s="169"/>
      <c r="R1691" s="169"/>
      <c r="S1691" s="169"/>
      <c r="T1691" s="169"/>
      <c r="U1691" s="170"/>
      <c r="V1691" s="171"/>
    </row>
    <row r="1692" spans="1:22" hidden="1" outlineLevel="2" x14ac:dyDescent="0.25">
      <c r="A1692" s="186">
        <f>SUMIFS(МКД!$A$6:$A$389,МКД!$D$6:$D$389,Таблица1[[#This Row],[2]])</f>
        <v>294</v>
      </c>
      <c r="B1692" s="168"/>
      <c r="C1692" s="182" t="s">
        <v>546</v>
      </c>
      <c r="D1692" s="167" t="s">
        <v>803</v>
      </c>
      <c r="E1692" s="167" t="s">
        <v>1981</v>
      </c>
      <c r="F1692" s="167">
        <v>2</v>
      </c>
      <c r="G1692" s="168">
        <f>SUMIFS(Таблица1[[#This Row],[8]:[19]],$I$5:$T$5,"Выкуп")</f>
        <v>223.79999999999998</v>
      </c>
      <c r="H1692" s="168">
        <f>SUMIFS(Таблица1[[#This Row],[8]:[19]],$I$5:$T$5,"Аренда")</f>
        <v>0</v>
      </c>
      <c r="I1692" s="169">
        <v>60.6</v>
      </c>
      <c r="J1692" s="169"/>
      <c r="K1692" s="169">
        <v>163.19999999999999</v>
      </c>
      <c r="L1692" s="169"/>
      <c r="M1692" s="169"/>
      <c r="N1692" s="169"/>
      <c r="O1692" s="169"/>
      <c r="P1692" s="169"/>
      <c r="Q1692" s="169"/>
      <c r="R1692" s="169"/>
      <c r="S1692" s="169"/>
      <c r="T1692" s="169"/>
      <c r="U1692" s="170"/>
      <c r="V1692" s="171"/>
    </row>
    <row r="1693" spans="1:22" hidden="1" outlineLevel="2" x14ac:dyDescent="0.25">
      <c r="A1693" s="186">
        <f>SUMIFS(МКД!$A$6:$A$389,МКД!$D$6:$D$389,Таблица1[[#This Row],[2]])</f>
        <v>294</v>
      </c>
      <c r="B1693" s="168"/>
      <c r="C1693" s="182" t="s">
        <v>546</v>
      </c>
      <c r="D1693" s="167" t="s">
        <v>803</v>
      </c>
      <c r="E1693" s="167" t="s">
        <v>1485</v>
      </c>
      <c r="F1693" s="167">
        <v>1</v>
      </c>
      <c r="G1693" s="168">
        <f>SUMIFS(Таблица1[[#This Row],[8]:[19]],$I$5:$T$5,"Выкуп")</f>
        <v>166.9</v>
      </c>
      <c r="H1693" s="168">
        <f>SUMIFS(Таблица1[[#This Row],[8]:[19]],$I$5:$T$5,"Аренда")</f>
        <v>0</v>
      </c>
      <c r="I1693" s="169">
        <v>166.9</v>
      </c>
      <c r="J1693" s="169"/>
      <c r="K1693" s="169"/>
      <c r="L1693" s="169"/>
      <c r="M1693" s="169"/>
      <c r="N1693" s="169"/>
      <c r="O1693" s="169"/>
      <c r="P1693" s="169"/>
      <c r="Q1693" s="169"/>
      <c r="R1693" s="169"/>
      <c r="S1693" s="169"/>
      <c r="T1693" s="169"/>
      <c r="U1693" s="170"/>
      <c r="V1693" s="171"/>
    </row>
    <row r="1694" spans="1:22" hidden="1" outlineLevel="2" x14ac:dyDescent="0.25">
      <c r="A1694" s="186">
        <f>SUMIFS(МКД!$A$6:$A$389,МКД!$D$6:$D$389,Таблица1[[#This Row],[2]])</f>
        <v>294</v>
      </c>
      <c r="B1694" s="168"/>
      <c r="C1694" s="182" t="s">
        <v>546</v>
      </c>
      <c r="D1694" s="167" t="s">
        <v>803</v>
      </c>
      <c r="E1694" s="167" t="s">
        <v>2345</v>
      </c>
      <c r="F1694" s="167">
        <v>2</v>
      </c>
      <c r="G1694" s="168">
        <f>SUMIFS(Таблица1[[#This Row],[8]:[19]],$I$5:$T$5,"Выкуп")</f>
        <v>0</v>
      </c>
      <c r="H1694" s="168">
        <f>SUMIFS(Таблица1[[#This Row],[8]:[19]],$I$5:$T$5,"Аренда")</f>
        <v>17.100000000000001</v>
      </c>
      <c r="I1694" s="169"/>
      <c r="J1694" s="169"/>
      <c r="K1694" s="169"/>
      <c r="L1694" s="169"/>
      <c r="M1694" s="169"/>
      <c r="N1694" s="169"/>
      <c r="O1694" s="167"/>
      <c r="P1694" s="169">
        <v>17.100000000000001</v>
      </c>
      <c r="Q1694" s="169"/>
      <c r="R1694" s="169"/>
      <c r="S1694" s="169"/>
      <c r="T1694" s="169"/>
      <c r="U1694" s="170"/>
      <c r="V1694" s="171"/>
    </row>
    <row r="1695" spans="1:22" hidden="1" outlineLevel="2" x14ac:dyDescent="0.25">
      <c r="A1695" s="186">
        <f>SUMIFS(МКД!$A$6:$A$389,МКД!$D$6:$D$389,Таблица1[[#This Row],[2]])</f>
        <v>294</v>
      </c>
      <c r="B1695" s="168"/>
      <c r="C1695" s="182" t="s">
        <v>546</v>
      </c>
      <c r="D1695" s="167" t="s">
        <v>1995</v>
      </c>
      <c r="E1695" s="167" t="s">
        <v>2000</v>
      </c>
      <c r="F1695" s="167">
        <v>1</v>
      </c>
      <c r="G1695" s="168">
        <f>SUMIFS(Таблица1[[#This Row],[8]:[19]],$I$5:$T$5,"Выкуп")</f>
        <v>76.2</v>
      </c>
      <c r="H1695" s="168">
        <f>SUMIFS(Таблица1[[#This Row],[8]:[19]],$I$5:$T$5,"Аренда")</f>
        <v>0</v>
      </c>
      <c r="I1695" s="169">
        <v>76.2</v>
      </c>
      <c r="J1695" s="169"/>
      <c r="K1695" s="169"/>
      <c r="L1695" s="169"/>
      <c r="M1695" s="169"/>
      <c r="N1695" s="169"/>
      <c r="O1695" s="169"/>
      <c r="P1695" s="169"/>
      <c r="Q1695" s="169"/>
      <c r="R1695" s="169"/>
      <c r="S1695" s="169"/>
      <c r="T1695" s="169"/>
      <c r="U1695" s="170"/>
      <c r="V1695" s="171"/>
    </row>
    <row r="1696" spans="1:22" hidden="1" outlineLevel="2" x14ac:dyDescent="0.25">
      <c r="A1696" s="186">
        <f>SUMIFS(МКД!$A$6:$A$389,МКД!$D$6:$D$389,Таблица1[[#This Row],[2]])</f>
        <v>294</v>
      </c>
      <c r="B1696" s="168"/>
      <c r="C1696" s="182" t="s">
        <v>546</v>
      </c>
      <c r="D1696" s="167" t="s">
        <v>337</v>
      </c>
      <c r="E1696" s="167" t="s">
        <v>1996</v>
      </c>
      <c r="F1696" s="167">
        <v>1</v>
      </c>
      <c r="G1696" s="168">
        <f>SUMIFS(Таблица1[[#This Row],[8]:[19]],$I$5:$T$5,"Выкуп")</f>
        <v>137.4</v>
      </c>
      <c r="H1696" s="168">
        <f>SUMIFS(Таблица1[[#This Row],[8]:[19]],$I$5:$T$5,"Аренда")</f>
        <v>0</v>
      </c>
      <c r="I1696" s="169">
        <v>137.4</v>
      </c>
      <c r="J1696" s="169"/>
      <c r="K1696" s="169"/>
      <c r="L1696" s="169"/>
      <c r="M1696" s="169"/>
      <c r="N1696" s="169"/>
      <c r="O1696" s="169"/>
      <c r="P1696" s="169"/>
      <c r="Q1696" s="169"/>
      <c r="R1696" s="169"/>
      <c r="S1696" s="169"/>
      <c r="T1696" s="169"/>
      <c r="U1696" s="170"/>
      <c r="V1696" s="171"/>
    </row>
    <row r="1697" spans="1:22" hidden="1" outlineLevel="2" x14ac:dyDescent="0.25">
      <c r="A1697" s="186">
        <f>SUMIFS(МКД!$A$6:$A$389,МКД!$D$6:$D$389,Таблица1[[#This Row],[2]])</f>
        <v>294</v>
      </c>
      <c r="B1697" s="168"/>
      <c r="C1697" s="182" t="s">
        <v>546</v>
      </c>
      <c r="D1697" s="167" t="s">
        <v>2042</v>
      </c>
      <c r="E1697" s="167" t="s">
        <v>1427</v>
      </c>
      <c r="F1697" s="167">
        <v>2</v>
      </c>
      <c r="G1697" s="168">
        <f>SUMIFS(Таблица1[[#This Row],[8]:[19]],$I$5:$T$5,"Выкуп")</f>
        <v>133</v>
      </c>
      <c r="H1697" s="168">
        <f>SUMIFS(Таблица1[[#This Row],[8]:[19]],$I$5:$T$5,"Аренда")</f>
        <v>0</v>
      </c>
      <c r="I1697" s="169"/>
      <c r="J1697" s="169"/>
      <c r="K1697" s="169">
        <v>133</v>
      </c>
      <c r="L1697" s="169"/>
      <c r="M1697" s="169"/>
      <c r="N1697" s="169"/>
      <c r="O1697" s="169"/>
      <c r="P1697" s="169"/>
      <c r="Q1697" s="169"/>
      <c r="R1697" s="169"/>
      <c r="S1697" s="169"/>
      <c r="T1697" s="169"/>
      <c r="U1697" s="170"/>
      <c r="V1697" s="171"/>
    </row>
    <row r="1698" spans="1:22" hidden="1" outlineLevel="2" x14ac:dyDescent="0.25">
      <c r="A1698" s="186">
        <f>SUMIFS(МКД!$A$6:$A$389,МКД!$D$6:$D$389,Таблица1[[#This Row],[2]])</f>
        <v>294</v>
      </c>
      <c r="B1698" s="168"/>
      <c r="C1698" s="182" t="s">
        <v>546</v>
      </c>
      <c r="D1698" s="167" t="s">
        <v>1609</v>
      </c>
      <c r="E1698" s="167" t="s">
        <v>347</v>
      </c>
      <c r="F1698" s="167">
        <v>2</v>
      </c>
      <c r="G1698" s="168">
        <f>SUMIFS(Таблица1[[#This Row],[8]:[19]],$I$5:$T$5,"Выкуп")</f>
        <v>199.3</v>
      </c>
      <c r="H1698" s="168">
        <f>SUMIFS(Таблица1[[#This Row],[8]:[19]],$I$5:$T$5,"Аренда")</f>
        <v>0</v>
      </c>
      <c r="I1698" s="169">
        <v>85</v>
      </c>
      <c r="J1698" s="169"/>
      <c r="K1698" s="169">
        <v>114.3</v>
      </c>
      <c r="L1698" s="169"/>
      <c r="M1698" s="169"/>
      <c r="N1698" s="169"/>
      <c r="O1698" s="169"/>
      <c r="P1698" s="169"/>
      <c r="Q1698" s="169"/>
      <c r="R1698" s="169"/>
      <c r="S1698" s="169"/>
      <c r="T1698" s="169"/>
      <c r="U1698" s="170"/>
      <c r="V1698" s="171"/>
    </row>
    <row r="1699" spans="1:22" hidden="1" outlineLevel="2" x14ac:dyDescent="0.25">
      <c r="A1699" s="186">
        <f>SUMIFS(МКД!$A$6:$A$389,МКД!$D$6:$D$389,Таблица1[[#This Row],[2]])</f>
        <v>294</v>
      </c>
      <c r="B1699" s="168"/>
      <c r="C1699" s="182" t="s">
        <v>546</v>
      </c>
      <c r="D1699" s="167" t="s">
        <v>1855</v>
      </c>
      <c r="E1699" s="167" t="s">
        <v>899</v>
      </c>
      <c r="F1699" s="167">
        <v>2</v>
      </c>
      <c r="G1699" s="168">
        <f>SUMIFS(Таблица1[[#This Row],[8]:[19]],$I$5:$T$5,"Выкуп")</f>
        <v>214.3</v>
      </c>
      <c r="H1699" s="168">
        <f>SUMIFS(Таблица1[[#This Row],[8]:[19]],$I$5:$T$5,"Аренда")</f>
        <v>0</v>
      </c>
      <c r="I1699" s="169"/>
      <c r="J1699" s="169"/>
      <c r="K1699" s="169">
        <v>214.3</v>
      </c>
      <c r="L1699" s="169"/>
      <c r="M1699" s="169"/>
      <c r="N1699" s="169"/>
      <c r="O1699" s="169"/>
      <c r="P1699" s="169"/>
      <c r="Q1699" s="169"/>
      <c r="R1699" s="169"/>
      <c r="S1699" s="169"/>
      <c r="T1699" s="169"/>
      <c r="U1699" s="170"/>
      <c r="V1699" s="171"/>
    </row>
    <row r="1700" spans="1:22" hidden="1" outlineLevel="2" x14ac:dyDescent="0.25">
      <c r="A1700" s="186">
        <f>SUMIFS(МКД!$A$6:$A$389,МКД!$D$6:$D$389,Таблица1[[#This Row],[2]])</f>
        <v>294</v>
      </c>
      <c r="B1700" s="168"/>
      <c r="C1700" s="182" t="s">
        <v>546</v>
      </c>
      <c r="D1700" s="167" t="s">
        <v>1609</v>
      </c>
      <c r="E1700" s="167" t="s">
        <v>1023</v>
      </c>
      <c r="F1700" s="167">
        <v>2</v>
      </c>
      <c r="G1700" s="168">
        <f>SUMIFS(Таблица1[[#This Row],[8]:[19]],$I$5:$T$5,"Выкуп")</f>
        <v>173.2</v>
      </c>
      <c r="H1700" s="168">
        <f>SUMIFS(Таблица1[[#This Row],[8]:[19]],$I$5:$T$5,"Аренда")</f>
        <v>0</v>
      </c>
      <c r="I1700" s="169">
        <v>113.2</v>
      </c>
      <c r="J1700" s="169"/>
      <c r="K1700" s="169">
        <v>60</v>
      </c>
      <c r="L1700" s="169"/>
      <c r="M1700" s="169"/>
      <c r="N1700" s="169"/>
      <c r="O1700" s="169"/>
      <c r="P1700" s="169"/>
      <c r="Q1700" s="169"/>
      <c r="R1700" s="169"/>
      <c r="S1700" s="169"/>
      <c r="T1700" s="169"/>
      <c r="U1700" s="170"/>
      <c r="V1700" s="171"/>
    </row>
    <row r="1701" spans="1:22" hidden="1" outlineLevel="2" x14ac:dyDescent="0.25">
      <c r="A1701" s="186">
        <f>SUMIFS(МКД!$A$6:$A$389,МКД!$D$6:$D$389,Таблица1[[#This Row],[2]])</f>
        <v>294</v>
      </c>
      <c r="B1701" s="168"/>
      <c r="C1701" s="182" t="s">
        <v>546</v>
      </c>
      <c r="D1701" s="167" t="s">
        <v>1855</v>
      </c>
      <c r="E1701" s="167" t="s">
        <v>1024</v>
      </c>
      <c r="F1701" s="167">
        <v>2</v>
      </c>
      <c r="G1701" s="168">
        <f>SUMIFS(Таблица1[[#This Row],[8]:[19]],$I$5:$T$5,"Выкуп")</f>
        <v>46.9</v>
      </c>
      <c r="H1701" s="168">
        <f>SUMIFS(Таблица1[[#This Row],[8]:[19]],$I$5:$T$5,"Аренда")</f>
        <v>0</v>
      </c>
      <c r="I1701" s="169"/>
      <c r="J1701" s="169"/>
      <c r="K1701" s="169">
        <v>46.9</v>
      </c>
      <c r="L1701" s="169"/>
      <c r="M1701" s="169"/>
      <c r="N1701" s="169"/>
      <c r="O1701" s="169"/>
      <c r="P1701" s="169"/>
      <c r="Q1701" s="169"/>
      <c r="R1701" s="169"/>
      <c r="S1701" s="169"/>
      <c r="T1701" s="169"/>
      <c r="U1701" s="170"/>
      <c r="V1701" s="171"/>
    </row>
    <row r="1702" spans="1:22" hidden="1" outlineLevel="2" x14ac:dyDescent="0.25">
      <c r="A1702" s="186">
        <f>SUMIFS(МКД!$A$6:$A$389,МКД!$D$6:$D$389,Таблица1[[#This Row],[2]])</f>
        <v>294</v>
      </c>
      <c r="B1702" s="168"/>
      <c r="C1702" s="182" t="s">
        <v>546</v>
      </c>
      <c r="D1702" s="167" t="s">
        <v>10</v>
      </c>
      <c r="E1702" s="167" t="s">
        <v>2346</v>
      </c>
      <c r="F1702" s="167">
        <v>2</v>
      </c>
      <c r="G1702" s="168">
        <f>SUMIFS(Таблица1[[#This Row],[8]:[19]],$I$5:$T$5,"Выкуп")</f>
        <v>280.39999999999998</v>
      </c>
      <c r="H1702" s="168">
        <f>SUMIFS(Таблица1[[#This Row],[8]:[19]],$I$5:$T$5,"Аренда")</f>
        <v>0</v>
      </c>
      <c r="I1702" s="169">
        <v>223</v>
      </c>
      <c r="J1702" s="169"/>
      <c r="K1702" s="169">
        <v>57.4</v>
      </c>
      <c r="L1702" s="169"/>
      <c r="M1702" s="169"/>
      <c r="N1702" s="169"/>
      <c r="O1702" s="169"/>
      <c r="P1702" s="169"/>
      <c r="Q1702" s="169"/>
      <c r="R1702" s="169"/>
      <c r="S1702" s="169"/>
      <c r="T1702" s="169"/>
      <c r="U1702" s="170"/>
      <c r="V1702" s="171"/>
    </row>
    <row r="1703" spans="1:22" hidden="1" outlineLevel="2" x14ac:dyDescent="0.25">
      <c r="A1703" s="186">
        <f>SUMIFS(МКД!$A$6:$A$389,МКД!$D$6:$D$389,Таблица1[[#This Row],[2]])</f>
        <v>294</v>
      </c>
      <c r="B1703" s="168"/>
      <c r="C1703" s="182" t="s">
        <v>546</v>
      </c>
      <c r="D1703" s="167" t="s">
        <v>10</v>
      </c>
      <c r="E1703" s="167" t="s">
        <v>2347</v>
      </c>
      <c r="F1703" s="167">
        <v>2</v>
      </c>
      <c r="G1703" s="168">
        <f>SUMIFS(Таблица1[[#This Row],[8]:[19]],$I$5:$T$5,"Выкуп")</f>
        <v>0</v>
      </c>
      <c r="H1703" s="168">
        <f>SUMIFS(Таблица1[[#This Row],[8]:[19]],$I$5:$T$5,"Аренда")</f>
        <v>12.5</v>
      </c>
      <c r="I1703" s="169"/>
      <c r="J1703" s="169"/>
      <c r="K1703" s="169"/>
      <c r="L1703" s="169"/>
      <c r="M1703" s="169"/>
      <c r="N1703" s="169"/>
      <c r="O1703" s="167"/>
      <c r="P1703" s="169">
        <v>12.5</v>
      </c>
      <c r="Q1703" s="169"/>
      <c r="R1703" s="169"/>
      <c r="S1703" s="169"/>
      <c r="T1703" s="169"/>
      <c r="U1703" s="170"/>
      <c r="V1703" s="171"/>
    </row>
    <row r="1704" spans="1:22" hidden="1" outlineLevel="2" x14ac:dyDescent="0.25">
      <c r="A1704" s="186">
        <f>SUMIFS(МКД!$A$6:$A$389,МКД!$D$6:$D$389,Таблица1[[#This Row],[2]])</f>
        <v>294</v>
      </c>
      <c r="B1704" s="168"/>
      <c r="C1704" s="182" t="s">
        <v>546</v>
      </c>
      <c r="D1704" s="167" t="s">
        <v>2348</v>
      </c>
      <c r="E1704" s="167" t="s">
        <v>1997</v>
      </c>
      <c r="F1704" s="167">
        <v>1</v>
      </c>
      <c r="G1704" s="168">
        <f>SUMIFS(Таблица1[[#This Row],[8]:[19]],$I$5:$T$5,"Выкуп")</f>
        <v>51.8</v>
      </c>
      <c r="H1704" s="168">
        <f>SUMIFS(Таблица1[[#This Row],[8]:[19]],$I$5:$T$5,"Аренда")</f>
        <v>0</v>
      </c>
      <c r="I1704" s="169">
        <v>51.8</v>
      </c>
      <c r="J1704" s="169"/>
      <c r="K1704" s="169"/>
      <c r="L1704" s="169"/>
      <c r="M1704" s="169"/>
      <c r="N1704" s="169"/>
      <c r="O1704" s="169"/>
      <c r="P1704" s="169"/>
      <c r="Q1704" s="169"/>
      <c r="R1704" s="169"/>
      <c r="S1704" s="169"/>
      <c r="T1704" s="169"/>
      <c r="U1704" s="170"/>
      <c r="V1704" s="171"/>
    </row>
    <row r="1705" spans="1:22" hidden="1" outlineLevel="2" x14ac:dyDescent="0.25">
      <c r="A1705" s="186">
        <f>SUMIFS(МКД!$A$6:$A$389,МКД!$D$6:$D$389,Таблица1[[#This Row],[2]])</f>
        <v>294</v>
      </c>
      <c r="B1705" s="168"/>
      <c r="C1705" s="182" t="s">
        <v>546</v>
      </c>
      <c r="D1705" s="167" t="s">
        <v>1998</v>
      </c>
      <c r="E1705" s="167" t="s">
        <v>1999</v>
      </c>
      <c r="F1705" s="167">
        <v>2</v>
      </c>
      <c r="G1705" s="168">
        <f>SUMIFS(Таблица1[[#This Row],[8]:[19]],$I$5:$T$5,"Выкуп")</f>
        <v>149.30000000000001</v>
      </c>
      <c r="H1705" s="168">
        <f>SUMIFS(Таблица1[[#This Row],[8]:[19]],$I$5:$T$5,"Аренда")</f>
        <v>0</v>
      </c>
      <c r="I1705" s="169">
        <v>149.30000000000001</v>
      </c>
      <c r="J1705" s="169"/>
      <c r="K1705" s="169"/>
      <c r="L1705" s="169"/>
      <c r="M1705" s="169"/>
      <c r="N1705" s="169"/>
      <c r="O1705" s="169"/>
      <c r="P1705" s="169"/>
      <c r="Q1705" s="169"/>
      <c r="R1705" s="169"/>
      <c r="S1705" s="169"/>
      <c r="T1705" s="169"/>
      <c r="U1705" s="170"/>
      <c r="V1705" s="171"/>
    </row>
    <row r="1706" spans="1:22" hidden="1" outlineLevel="2" x14ac:dyDescent="0.25">
      <c r="A1706" s="186">
        <f>SUMIFS(МКД!$A$6:$A$389,МКД!$D$6:$D$389,Таблица1[[#This Row],[2]])</f>
        <v>294</v>
      </c>
      <c r="B1706" s="168"/>
      <c r="C1706" s="182" t="s">
        <v>546</v>
      </c>
      <c r="D1706" s="167" t="s">
        <v>2001</v>
      </c>
      <c r="E1706" s="167" t="s">
        <v>1551</v>
      </c>
      <c r="F1706" s="167">
        <v>1</v>
      </c>
      <c r="G1706" s="168">
        <f>SUMIFS(Таблица1[[#This Row],[8]:[19]],$I$5:$T$5,"Выкуп")</f>
        <v>207.6</v>
      </c>
      <c r="H1706" s="168">
        <f>SUMIFS(Таблица1[[#This Row],[8]:[19]],$I$5:$T$5,"Аренда")</f>
        <v>0</v>
      </c>
      <c r="I1706" s="169"/>
      <c r="J1706" s="169"/>
      <c r="K1706" s="169">
        <v>207.6</v>
      </c>
      <c r="L1706" s="169"/>
      <c r="M1706" s="169"/>
      <c r="N1706" s="169"/>
      <c r="O1706" s="169"/>
      <c r="P1706" s="169"/>
      <c r="Q1706" s="169"/>
      <c r="R1706" s="169"/>
      <c r="S1706" s="169"/>
      <c r="T1706" s="169"/>
      <c r="U1706" s="170"/>
      <c r="V1706" s="171"/>
    </row>
    <row r="1707" spans="1:22" hidden="1" outlineLevel="2" x14ac:dyDescent="0.25">
      <c r="A1707" s="186">
        <f>SUMIFS(МКД!$A$6:$A$389,МКД!$D$6:$D$389,Таблица1[[#This Row],[2]])</f>
        <v>294</v>
      </c>
      <c r="B1707" s="168"/>
      <c r="C1707" s="182" t="s">
        <v>546</v>
      </c>
      <c r="D1707" s="167" t="s">
        <v>2703</v>
      </c>
      <c r="E1707" s="167" t="s">
        <v>1552</v>
      </c>
      <c r="F1707" s="167">
        <v>1</v>
      </c>
      <c r="G1707" s="168">
        <f>SUMIFS(Таблица1[[#This Row],[8]:[19]],$I$5:$T$5,"Выкуп")</f>
        <v>77.5</v>
      </c>
      <c r="H1707" s="168">
        <f>SUMIFS(Таблица1[[#This Row],[8]:[19]],$I$5:$T$5,"Аренда")</f>
        <v>0</v>
      </c>
      <c r="I1707" s="169">
        <v>77.5</v>
      </c>
      <c r="J1707" s="169"/>
      <c r="K1707" s="169"/>
      <c r="L1707" s="169"/>
      <c r="M1707" s="169"/>
      <c r="N1707" s="169"/>
      <c r="O1707" s="169"/>
      <c r="P1707" s="169"/>
      <c r="Q1707" s="169"/>
      <c r="R1707" s="169"/>
      <c r="S1707" s="169"/>
      <c r="T1707" s="169"/>
      <c r="U1707" s="170"/>
      <c r="V1707" s="171"/>
    </row>
    <row r="1708" spans="1:22" hidden="1" outlineLevel="2" x14ac:dyDescent="0.25">
      <c r="A1708" s="186">
        <f>SUMIFS(МКД!$A$6:$A$389,МКД!$D$6:$D$389,Таблица1[[#This Row],[2]])</f>
        <v>294</v>
      </c>
      <c r="B1708" s="168"/>
      <c r="C1708" s="182" t="s">
        <v>546</v>
      </c>
      <c r="D1708" s="271" t="s">
        <v>1675</v>
      </c>
      <c r="E1708" s="167" t="s">
        <v>1676</v>
      </c>
      <c r="F1708" s="167">
        <v>2</v>
      </c>
      <c r="G1708" s="168">
        <f>SUMIFS(Таблица1[[#This Row],[8]:[19]],$I$5:$T$5,"Выкуп")</f>
        <v>0</v>
      </c>
      <c r="H1708" s="168">
        <f>SUMIFS(Таблица1[[#This Row],[8]:[19]],$I$5:$T$5,"Аренда")</f>
        <v>0</v>
      </c>
      <c r="I1708" s="169">
        <f>80.8*0</f>
        <v>0</v>
      </c>
      <c r="J1708" s="169"/>
      <c r="K1708" s="169"/>
      <c r="L1708" s="169"/>
      <c r="M1708" s="169"/>
      <c r="N1708" s="169"/>
      <c r="O1708" s="169"/>
      <c r="P1708" s="169"/>
      <c r="Q1708" s="169"/>
      <c r="R1708" s="169"/>
      <c r="S1708" s="169"/>
      <c r="T1708" s="169"/>
      <c r="U1708" s="170"/>
      <c r="V1708" s="171"/>
    </row>
    <row r="1709" spans="1:22" hidden="1" outlineLevel="2" x14ac:dyDescent="0.25">
      <c r="A1709" s="186">
        <f>SUMIFS(МКД!$A$6:$A$389,МКД!$D$6:$D$389,Таблица1[[#This Row],[2]])</f>
        <v>294</v>
      </c>
      <c r="B1709" s="168"/>
      <c r="C1709" s="182" t="s">
        <v>546</v>
      </c>
      <c r="D1709" s="167" t="s">
        <v>1394</v>
      </c>
      <c r="E1709" s="167" t="s">
        <v>2752</v>
      </c>
      <c r="F1709" s="167">
        <v>1</v>
      </c>
      <c r="G1709" s="168">
        <f>SUMIFS(Таблица1[[#This Row],[8]:[19]],$I$5:$T$5,"Выкуп")</f>
        <v>677.5</v>
      </c>
      <c r="H1709" s="168">
        <f>SUMIFS(Таблица1[[#This Row],[8]:[19]],$I$5:$T$5,"Аренда")</f>
        <v>0</v>
      </c>
      <c r="I1709" s="169"/>
      <c r="J1709" s="169"/>
      <c r="K1709" s="169"/>
      <c r="L1709" s="169"/>
      <c r="M1709" s="169">
        <f>175.9+202.1+299.5</f>
        <v>677.5</v>
      </c>
      <c r="N1709" s="169"/>
      <c r="O1709" s="169"/>
      <c r="P1709" s="169"/>
      <c r="Q1709" s="169"/>
      <c r="R1709" s="169"/>
      <c r="S1709" s="169"/>
      <c r="T1709" s="169"/>
      <c r="U1709" s="170"/>
      <c r="V1709" s="171"/>
    </row>
    <row r="1710" spans="1:22" ht="15" outlineLevel="1" collapsed="1" x14ac:dyDescent="0.25">
      <c r="A1710" s="186">
        <f>SUMIFS(МКД!$A$6:$A$389,МКД!$D$6:$D$389,Таблица1[[#This Row],[2]])</f>
        <v>295</v>
      </c>
      <c r="B1710" s="194">
        <f>SUMIFS(Таблица1[6],Таблица1[2],Таблица1[[#This Row],[2]])+SUMIFS(Таблица1[7],Таблица1[2],Таблица1[[#This Row],[2]])</f>
        <v>1406.9999999999995</v>
      </c>
      <c r="C1710" s="185" t="s">
        <v>641</v>
      </c>
      <c r="D1710" s="196"/>
      <c r="E1710" s="196"/>
      <c r="F1710" s="196"/>
      <c r="G1710" s="168"/>
      <c r="H1710" s="197"/>
      <c r="I1710" s="196"/>
      <c r="J1710" s="196"/>
      <c r="K1710" s="196"/>
      <c r="L1710" s="196"/>
      <c r="M1710" s="196"/>
      <c r="N1710" s="196"/>
      <c r="O1710" s="196"/>
      <c r="P1710" s="196"/>
      <c r="Q1710" s="196"/>
      <c r="R1710" s="196"/>
      <c r="S1710" s="196"/>
      <c r="T1710" s="196"/>
      <c r="U1710" s="196"/>
      <c r="V1710" s="198"/>
    </row>
    <row r="1711" spans="1:22" hidden="1" outlineLevel="2" x14ac:dyDescent="0.25">
      <c r="A1711" s="186">
        <f>SUMIFS(МКД!$A$6:$A$389,МКД!$D$6:$D$389,Таблица1[[#This Row],[2]])</f>
        <v>295</v>
      </c>
      <c r="B1711" s="170"/>
      <c r="C1711" s="182" t="s">
        <v>641</v>
      </c>
      <c r="D1711" s="167" t="s">
        <v>21</v>
      </c>
      <c r="E1711" s="167" t="s">
        <v>2352</v>
      </c>
      <c r="F1711" s="167">
        <v>2</v>
      </c>
      <c r="G1711" s="168">
        <f>SUMIFS(Таблица1[[#This Row],[8]:[19]],$I$5:$T$5,"Выкуп")</f>
        <v>34.9</v>
      </c>
      <c r="H1711" s="168">
        <f>SUMIFS(Таблица1[[#This Row],[8]:[19]],$I$5:$T$5,"Аренда")</f>
        <v>0</v>
      </c>
      <c r="I1711" s="169">
        <v>34.9</v>
      </c>
      <c r="J1711" s="169"/>
      <c r="K1711" s="169"/>
      <c r="L1711" s="169"/>
      <c r="M1711" s="169"/>
      <c r="N1711" s="169"/>
      <c r="O1711" s="169"/>
      <c r="P1711" s="169"/>
      <c r="Q1711" s="169"/>
      <c r="R1711" s="169"/>
      <c r="S1711" s="169"/>
      <c r="T1711" s="169"/>
      <c r="U1711" s="170"/>
      <c r="V1711" s="171"/>
    </row>
    <row r="1712" spans="1:22" hidden="1" outlineLevel="2" x14ac:dyDescent="0.25">
      <c r="A1712" s="186">
        <f>SUMIFS(МКД!$A$6:$A$389,МКД!$D$6:$D$389,Таблица1[[#This Row],[2]])</f>
        <v>295</v>
      </c>
      <c r="B1712" s="168"/>
      <c r="C1712" s="182" t="s">
        <v>641</v>
      </c>
      <c r="D1712" s="167" t="s">
        <v>21</v>
      </c>
      <c r="E1712" s="167" t="s">
        <v>2351</v>
      </c>
      <c r="F1712" s="167">
        <v>2</v>
      </c>
      <c r="G1712" s="168">
        <f>SUMIFS(Таблица1[[#This Row],[8]:[19]],$I$5:$T$5,"Выкуп")</f>
        <v>51.9</v>
      </c>
      <c r="H1712" s="168">
        <f>SUMIFS(Таблица1[[#This Row],[8]:[19]],$I$5:$T$5,"Аренда")</f>
        <v>0</v>
      </c>
      <c r="I1712" s="169">
        <v>51.9</v>
      </c>
      <c r="J1712" s="169"/>
      <c r="K1712" s="169"/>
      <c r="L1712" s="169"/>
      <c r="M1712" s="169"/>
      <c r="N1712" s="169"/>
      <c r="O1712" s="169"/>
      <c r="P1712" s="169"/>
      <c r="Q1712" s="169"/>
      <c r="R1712" s="169"/>
      <c r="S1712" s="169"/>
      <c r="T1712" s="169"/>
      <c r="U1712" s="170"/>
      <c r="V1712" s="171"/>
    </row>
    <row r="1713" spans="1:22" hidden="1" outlineLevel="2" x14ac:dyDescent="0.25">
      <c r="A1713" s="186">
        <f>SUMIFS(МКД!$A$6:$A$389,МКД!$D$6:$D$389,Таблица1[[#This Row],[2]])</f>
        <v>295</v>
      </c>
      <c r="B1713" s="168"/>
      <c r="C1713" s="182" t="s">
        <v>641</v>
      </c>
      <c r="D1713" s="167" t="s">
        <v>2745</v>
      </c>
      <c r="E1713" s="167" t="s">
        <v>1964</v>
      </c>
      <c r="F1713" s="167">
        <v>2</v>
      </c>
      <c r="G1713" s="168">
        <f>SUMIFS(Таблица1[[#This Row],[8]:[19]],$I$5:$T$5,"Выкуп")</f>
        <v>324</v>
      </c>
      <c r="H1713" s="168">
        <f>SUMIFS(Таблица1[[#This Row],[8]:[19]],$I$5:$T$5,"Аренда")</f>
        <v>0</v>
      </c>
      <c r="I1713" s="169">
        <v>324</v>
      </c>
      <c r="J1713" s="169"/>
      <c r="K1713" s="169"/>
      <c r="L1713" s="169"/>
      <c r="M1713" s="169"/>
      <c r="N1713" s="169"/>
      <c r="O1713" s="169"/>
      <c r="P1713" s="169"/>
      <c r="Q1713" s="169"/>
      <c r="R1713" s="169"/>
      <c r="S1713" s="169"/>
      <c r="T1713" s="169"/>
      <c r="U1713" s="170"/>
      <c r="V1713" s="171"/>
    </row>
    <row r="1714" spans="1:22" hidden="1" outlineLevel="2" x14ac:dyDescent="0.25">
      <c r="A1714" s="186">
        <f>SUMIFS(МКД!$A$6:$A$389,МКД!$D$6:$D$389,Таблица1[[#This Row],[2]])</f>
        <v>295</v>
      </c>
      <c r="B1714" s="168"/>
      <c r="C1714" s="182" t="s">
        <v>641</v>
      </c>
      <c r="D1714" s="167"/>
      <c r="E1714" s="167" t="s">
        <v>2349</v>
      </c>
      <c r="F1714" s="167">
        <v>1</v>
      </c>
      <c r="G1714" s="168">
        <f>SUMIFS(Таблица1[[#This Row],[8]:[19]],$I$5:$T$5,"Выкуп")</f>
        <v>0</v>
      </c>
      <c r="H1714" s="168">
        <f>SUMIFS(Таблица1[[#This Row],[8]:[19]],$I$5:$T$5,"Аренда")</f>
        <v>0</v>
      </c>
      <c r="I1714" s="169"/>
      <c r="J1714" s="169"/>
      <c r="K1714" s="169"/>
      <c r="L1714" s="169"/>
      <c r="M1714" s="169"/>
      <c r="N1714" s="169"/>
      <c r="O1714" s="169"/>
      <c r="P1714" s="169"/>
      <c r="Q1714" s="169"/>
      <c r="R1714" s="169"/>
      <c r="S1714" s="169"/>
      <c r="T1714" s="169"/>
      <c r="U1714" s="170"/>
      <c r="V1714" s="171"/>
    </row>
    <row r="1715" spans="1:22" hidden="1" outlineLevel="2" x14ac:dyDescent="0.25">
      <c r="A1715" s="186">
        <f>SUMIFS(МКД!$A$6:$A$389,МКД!$D$6:$D$389,Таблица1[[#This Row],[2]])</f>
        <v>295</v>
      </c>
      <c r="B1715" s="168"/>
      <c r="C1715" s="182" t="s">
        <v>641</v>
      </c>
      <c r="D1715" s="167" t="s">
        <v>2824</v>
      </c>
      <c r="E1715" s="167" t="s">
        <v>2825</v>
      </c>
      <c r="F1715" s="167">
        <v>2</v>
      </c>
      <c r="G1715" s="168">
        <f>SUMIFS(Таблица1[[#This Row],[8]:[19]],$I$5:$T$5,"Выкуп")</f>
        <v>11.15</v>
      </c>
      <c r="H1715" s="168">
        <f>SUMIFS(Таблица1[[#This Row],[8]:[19]],$I$5:$T$5,"Аренда")</f>
        <v>0</v>
      </c>
      <c r="I1715" s="169"/>
      <c r="J1715" s="169"/>
      <c r="K1715" s="169">
        <v>11.15</v>
      </c>
      <c r="L1715" s="169"/>
      <c r="M1715" s="169"/>
      <c r="N1715" s="169"/>
      <c r="O1715" s="169"/>
      <c r="P1715" s="169"/>
      <c r="Q1715" s="169"/>
      <c r="R1715" s="169"/>
      <c r="S1715" s="169"/>
      <c r="T1715" s="169"/>
      <c r="U1715" s="170"/>
      <c r="V1715" s="171"/>
    </row>
    <row r="1716" spans="1:22" hidden="1" outlineLevel="2" x14ac:dyDescent="0.25">
      <c r="A1716" s="186">
        <f>SUMIFS(МКД!$A$6:$A$389,МКД!$D$6:$D$389,Таблица1[[#This Row],[2]])</f>
        <v>295</v>
      </c>
      <c r="B1716" s="168"/>
      <c r="C1716" s="182" t="s">
        <v>641</v>
      </c>
      <c r="D1716" s="167" t="s">
        <v>2826</v>
      </c>
      <c r="E1716" s="167" t="s">
        <v>2825</v>
      </c>
      <c r="F1716" s="167">
        <v>2</v>
      </c>
      <c r="G1716" s="168">
        <f>SUMIFS(Таблица1[[#This Row],[8]:[19]],$I$5:$T$5,"Выкуп")</f>
        <v>11.15</v>
      </c>
      <c r="H1716" s="168">
        <f>SUMIFS(Таблица1[[#This Row],[8]:[19]],$I$5:$T$5,"Аренда")</f>
        <v>0</v>
      </c>
      <c r="I1716" s="169"/>
      <c r="J1716" s="169"/>
      <c r="K1716" s="169">
        <v>11.15</v>
      </c>
      <c r="L1716" s="169"/>
      <c r="M1716" s="169"/>
      <c r="N1716" s="169"/>
      <c r="O1716" s="169"/>
      <c r="P1716" s="169"/>
      <c r="Q1716" s="169"/>
      <c r="R1716" s="169"/>
      <c r="S1716" s="169"/>
      <c r="T1716" s="169"/>
      <c r="U1716" s="170"/>
      <c r="V1716" s="171"/>
    </row>
    <row r="1717" spans="1:22" hidden="1" outlineLevel="2" x14ac:dyDescent="0.25">
      <c r="A1717" s="186">
        <f>SUMIFS(МКД!$A$6:$A$389,МКД!$D$6:$D$389,Таблица1[[#This Row],[2]])</f>
        <v>295</v>
      </c>
      <c r="B1717" s="168"/>
      <c r="C1717" s="182" t="s">
        <v>641</v>
      </c>
      <c r="D1717" s="167" t="s">
        <v>967</v>
      </c>
      <c r="E1717" s="167" t="s">
        <v>2350</v>
      </c>
      <c r="F1717" s="167">
        <v>1.2</v>
      </c>
      <c r="G1717" s="168">
        <f>SUMIFS(Таблица1[[#This Row],[8]:[19]],$I$5:$T$5,"Выкуп")</f>
        <v>599.79999999999995</v>
      </c>
      <c r="H1717" s="168">
        <f>SUMIFS(Таблица1[[#This Row],[8]:[19]],$I$5:$T$5,"Аренда")</f>
        <v>0</v>
      </c>
      <c r="I1717" s="169">
        <v>317.5</v>
      </c>
      <c r="J1717" s="169"/>
      <c r="K1717" s="169">
        <v>282.3</v>
      </c>
      <c r="L1717" s="169"/>
      <c r="M1717" s="169"/>
      <c r="N1717" s="169"/>
      <c r="O1717" s="169"/>
      <c r="P1717" s="169"/>
      <c r="Q1717" s="169"/>
      <c r="R1717" s="169"/>
      <c r="S1717" s="169"/>
      <c r="T1717" s="169"/>
      <c r="U1717" s="170"/>
      <c r="V1717" s="171"/>
    </row>
    <row r="1718" spans="1:22" hidden="1" outlineLevel="2" x14ac:dyDescent="0.25">
      <c r="A1718" s="186">
        <f>SUMIFS(МКД!$A$6:$A$389,МКД!$D$6:$D$389,Таблица1[[#This Row],[2]])</f>
        <v>295</v>
      </c>
      <c r="B1718" s="168"/>
      <c r="C1718" s="182" t="s">
        <v>641</v>
      </c>
      <c r="D1718" s="167" t="s">
        <v>1583</v>
      </c>
      <c r="E1718" s="167" t="s">
        <v>1584</v>
      </c>
      <c r="F1718" s="167">
        <v>2</v>
      </c>
      <c r="G1718" s="168">
        <f>SUMIFS(Таблица1[[#This Row],[8]:[19]],$I$5:$T$5,"Выкуп")</f>
        <v>44.1</v>
      </c>
      <c r="H1718" s="168">
        <f>SUMIFS(Таблица1[[#This Row],[8]:[19]],$I$5:$T$5,"Аренда")</f>
        <v>0</v>
      </c>
      <c r="I1718" s="169"/>
      <c r="J1718" s="169"/>
      <c r="K1718" s="169">
        <v>44.1</v>
      </c>
      <c r="L1718" s="169"/>
      <c r="M1718" s="169"/>
      <c r="N1718" s="169"/>
      <c r="O1718" s="169"/>
      <c r="P1718" s="169"/>
      <c r="Q1718" s="169"/>
      <c r="R1718" s="169"/>
      <c r="S1718" s="169"/>
      <c r="T1718" s="169"/>
      <c r="U1718" s="170"/>
      <c r="V1718" s="171"/>
    </row>
    <row r="1719" spans="1:22" hidden="1" outlineLevel="2" x14ac:dyDescent="0.25">
      <c r="A1719" s="186">
        <f>SUMIFS(МКД!$A$6:$A$389,МКД!$D$6:$D$389,Таблица1[[#This Row],[2]])</f>
        <v>295</v>
      </c>
      <c r="B1719" s="168"/>
      <c r="C1719" s="182" t="s">
        <v>641</v>
      </c>
      <c r="D1719" s="167" t="s">
        <v>2549</v>
      </c>
      <c r="E1719" s="167" t="s">
        <v>2581</v>
      </c>
      <c r="F1719" s="167">
        <v>2</v>
      </c>
      <c r="G1719" s="168">
        <f>SUMIFS(Таблица1[[#This Row],[8]:[19]],$I$5:$T$5,"Выкуп")</f>
        <v>39.35</v>
      </c>
      <c r="H1719" s="168">
        <f>SUMIFS(Таблица1[[#This Row],[8]:[19]],$I$5:$T$5,"Аренда")</f>
        <v>0</v>
      </c>
      <c r="I1719" s="169">
        <f>78.7/2</f>
        <v>39.35</v>
      </c>
      <c r="J1719" s="169"/>
      <c r="K1719" s="169"/>
      <c r="L1719" s="169"/>
      <c r="M1719" s="169"/>
      <c r="N1719" s="169"/>
      <c r="O1719" s="169"/>
      <c r="P1719" s="169"/>
      <c r="Q1719" s="169"/>
      <c r="R1719" s="169"/>
      <c r="S1719" s="169"/>
      <c r="T1719" s="169"/>
      <c r="U1719" s="170"/>
      <c r="V1719" s="171"/>
    </row>
    <row r="1720" spans="1:22" hidden="1" outlineLevel="2" x14ac:dyDescent="0.25">
      <c r="A1720" s="186">
        <f>SUMIFS(МКД!$A$6:$A$389,МКД!$D$6:$D$389,Таблица1[[#This Row],[2]])</f>
        <v>295</v>
      </c>
      <c r="B1720" s="168"/>
      <c r="C1720" s="182" t="s">
        <v>641</v>
      </c>
      <c r="D1720" s="167" t="s">
        <v>2583</v>
      </c>
      <c r="E1720" s="167" t="s">
        <v>2582</v>
      </c>
      <c r="F1720" s="167">
        <v>2</v>
      </c>
      <c r="G1720" s="168">
        <f>SUMIFS(Таблица1[[#This Row],[8]:[19]],$I$5:$T$5,"Выкуп")</f>
        <v>39.35</v>
      </c>
      <c r="H1720" s="168">
        <f>SUMIFS(Таблица1[[#This Row],[8]:[19]],$I$5:$T$5,"Аренда")</f>
        <v>0</v>
      </c>
      <c r="I1720" s="169">
        <f>78.7/2</f>
        <v>39.35</v>
      </c>
      <c r="J1720" s="169"/>
      <c r="K1720" s="169"/>
      <c r="L1720" s="169"/>
      <c r="M1720" s="169"/>
      <c r="N1720" s="169"/>
      <c r="O1720" s="169"/>
      <c r="P1720" s="169"/>
      <c r="Q1720" s="169"/>
      <c r="R1720" s="169"/>
      <c r="S1720" s="169"/>
      <c r="T1720" s="169"/>
      <c r="U1720" s="170"/>
      <c r="V1720" s="171"/>
    </row>
    <row r="1721" spans="1:22" hidden="1" outlineLevel="2" x14ac:dyDescent="0.25">
      <c r="A1721" s="186">
        <f>SUMIFS(МКД!$A$6:$A$389,МКД!$D$6:$D$389,Таблица1[[#This Row],[2]])</f>
        <v>295</v>
      </c>
      <c r="B1721" s="168"/>
      <c r="C1721" s="182" t="s">
        <v>641</v>
      </c>
      <c r="D1721" s="167" t="s">
        <v>1394</v>
      </c>
      <c r="E1721" s="167" t="s">
        <v>2754</v>
      </c>
      <c r="F1721" s="167">
        <v>2</v>
      </c>
      <c r="G1721" s="168">
        <f>SUMIFS(Таблица1[[#This Row],[8]:[19]],$I$5:$T$5,"Выкуп")</f>
        <v>126.7</v>
      </c>
      <c r="H1721" s="168">
        <f>SUMIFS(Таблица1[[#This Row],[8]:[19]],$I$5:$T$5,"Аренда")</f>
        <v>0</v>
      </c>
      <c r="I1721" s="169"/>
      <c r="J1721" s="169"/>
      <c r="K1721" s="169"/>
      <c r="L1721" s="169"/>
      <c r="M1721" s="278">
        <v>126.7</v>
      </c>
      <c r="N1721" s="169"/>
      <c r="O1721" s="169"/>
      <c r="P1721" s="169"/>
      <c r="Q1721" s="169"/>
      <c r="R1721" s="169"/>
      <c r="S1721" s="169"/>
      <c r="T1721" s="169"/>
      <c r="U1721" s="170"/>
      <c r="V1721" s="171"/>
    </row>
    <row r="1722" spans="1:22" hidden="1" outlineLevel="2" x14ac:dyDescent="0.25">
      <c r="A1722" s="186">
        <f>SUMIFS(МКД!$A$6:$A$389,МКД!$D$6:$D$389,Таблица1[[#This Row],[2]])</f>
        <v>295</v>
      </c>
      <c r="B1722" s="168"/>
      <c r="C1722" s="182" t="s">
        <v>641</v>
      </c>
      <c r="D1722" s="167" t="s">
        <v>1053</v>
      </c>
      <c r="E1722" s="167" t="s">
        <v>2827</v>
      </c>
      <c r="F1722" s="167">
        <v>2</v>
      </c>
      <c r="G1722" s="168">
        <f>SUMIFS(Таблица1[[#This Row],[8]:[19]],$I$5:$T$5,"Выкуп")</f>
        <v>124.6</v>
      </c>
      <c r="H1722" s="168">
        <f>SUMIFS(Таблица1[[#This Row],[8]:[19]],$I$5:$T$5,"Аренда")</f>
        <v>0</v>
      </c>
      <c r="I1722" s="169"/>
      <c r="J1722" s="169"/>
      <c r="K1722" s="169"/>
      <c r="L1722" s="169"/>
      <c r="M1722" s="278">
        <v>124.6</v>
      </c>
      <c r="N1722" s="169"/>
      <c r="O1722" s="169"/>
      <c r="P1722" s="169"/>
      <c r="Q1722" s="169"/>
      <c r="R1722" s="169"/>
      <c r="S1722" s="169"/>
      <c r="T1722" s="169"/>
      <c r="U1722" s="170"/>
      <c r="V1722" s="171"/>
    </row>
    <row r="1723" spans="1:22" ht="15" outlineLevel="1" collapsed="1" x14ac:dyDescent="0.25">
      <c r="A1723" s="186">
        <f>SUMIFS(МКД!$A$6:$A$389,МКД!$D$6:$D$389,Таблица1[[#This Row],[2]])</f>
        <v>296</v>
      </c>
      <c r="B1723" s="194">
        <f>SUMIFS(Таблица1[6],Таблица1[2],Таблица1[[#This Row],[2]])+SUMIFS(Таблица1[7],Таблица1[2],Таблица1[[#This Row],[2]])</f>
        <v>1421.8999999999999</v>
      </c>
      <c r="C1723" s="185" t="s">
        <v>655</v>
      </c>
      <c r="D1723" s="196"/>
      <c r="E1723" s="196"/>
      <c r="F1723" s="196"/>
      <c r="G1723" s="168"/>
      <c r="H1723" s="197"/>
      <c r="I1723" s="196"/>
      <c r="J1723" s="196"/>
      <c r="K1723" s="196"/>
      <c r="L1723" s="196"/>
      <c r="M1723" s="196"/>
      <c r="N1723" s="196"/>
      <c r="O1723" s="196"/>
      <c r="P1723" s="196"/>
      <c r="Q1723" s="196"/>
      <c r="R1723" s="196"/>
      <c r="S1723" s="196"/>
      <c r="T1723" s="196"/>
      <c r="U1723" s="196"/>
      <c r="V1723" s="198"/>
    </row>
    <row r="1724" spans="1:22" hidden="1" outlineLevel="2" x14ac:dyDescent="0.25">
      <c r="A1724" s="186">
        <f>SUMIFS(МКД!$A$6:$A$389,МКД!$D$6:$D$389,Таблица1[[#This Row],[2]])</f>
        <v>296</v>
      </c>
      <c r="B1724" s="170"/>
      <c r="C1724" s="182" t="s">
        <v>655</v>
      </c>
      <c r="D1724" s="167" t="s">
        <v>804</v>
      </c>
      <c r="E1724" s="167" t="s">
        <v>2355</v>
      </c>
      <c r="F1724" s="167">
        <v>1.2</v>
      </c>
      <c r="G1724" s="168">
        <f>SUMIFS(Таблица1[[#This Row],[8]:[19]],$I$5:$T$5,"Выкуп")</f>
        <v>240.1</v>
      </c>
      <c r="H1724" s="168">
        <f>SUMIFS(Таблица1[[#This Row],[8]:[19]],$I$5:$T$5,"Аренда")</f>
        <v>0</v>
      </c>
      <c r="I1724" s="169">
        <v>240.1</v>
      </c>
      <c r="J1724" s="169"/>
      <c r="K1724" s="169"/>
      <c r="L1724" s="169"/>
      <c r="M1724" s="169"/>
      <c r="N1724" s="169"/>
      <c r="O1724" s="169"/>
      <c r="P1724" s="169"/>
      <c r="Q1724" s="169"/>
      <c r="R1724" s="169"/>
      <c r="S1724" s="169"/>
      <c r="T1724" s="169"/>
      <c r="U1724" s="170"/>
      <c r="V1724" s="171"/>
    </row>
    <row r="1725" spans="1:22" hidden="1" outlineLevel="2" x14ac:dyDescent="0.25">
      <c r="A1725" s="186">
        <f>SUMIFS(МКД!$A$6:$A$389,МКД!$D$6:$D$389,Таблица1[[#This Row],[2]])</f>
        <v>296</v>
      </c>
      <c r="B1725" s="168"/>
      <c r="C1725" s="182" t="s">
        <v>655</v>
      </c>
      <c r="D1725" s="167" t="s">
        <v>2356</v>
      </c>
      <c r="E1725" s="167" t="s">
        <v>1976</v>
      </c>
      <c r="F1725" s="167">
        <v>3</v>
      </c>
      <c r="G1725" s="168">
        <f>SUMIFS(Таблица1[[#This Row],[8]:[19]],$I$5:$T$5,"Выкуп")</f>
        <v>101.5</v>
      </c>
      <c r="H1725" s="168">
        <f>SUMIFS(Таблица1[[#This Row],[8]:[19]],$I$5:$T$5,"Аренда")</f>
        <v>0</v>
      </c>
      <c r="I1725" s="169">
        <f>143.1-41.6</f>
        <v>101.5</v>
      </c>
      <c r="J1725" s="169"/>
      <c r="K1725" s="169"/>
      <c r="L1725" s="169"/>
      <c r="M1725" s="169"/>
      <c r="N1725" s="169"/>
      <c r="O1725" s="169"/>
      <c r="P1725" s="169"/>
      <c r="Q1725" s="169"/>
      <c r="R1725" s="169"/>
      <c r="S1725" s="169"/>
      <c r="T1725" s="169"/>
      <c r="U1725" s="170"/>
      <c r="V1725" s="171"/>
    </row>
    <row r="1726" spans="1:22" hidden="1" outlineLevel="2" x14ac:dyDescent="0.25">
      <c r="A1726" s="186">
        <f>SUMIFS(МКД!$A$6:$A$389,МКД!$D$6:$D$389,Таблица1[[#This Row],[2]])</f>
        <v>296</v>
      </c>
      <c r="B1726" s="168"/>
      <c r="C1726" s="182" t="s">
        <v>655</v>
      </c>
      <c r="D1726" s="167" t="s">
        <v>1992</v>
      </c>
      <c r="E1726" s="167" t="s">
        <v>1565</v>
      </c>
      <c r="F1726" s="167">
        <v>1</v>
      </c>
      <c r="G1726" s="168">
        <f>SUMIFS(Таблица1[[#This Row],[8]:[19]],$I$5:$T$5,"Выкуп")</f>
        <v>68.2</v>
      </c>
      <c r="H1726" s="168">
        <f>SUMIFS(Таблица1[[#This Row],[8]:[19]],$I$5:$T$5,"Аренда")</f>
        <v>0</v>
      </c>
      <c r="I1726" s="169">
        <v>68.2</v>
      </c>
      <c r="J1726" s="169"/>
      <c r="K1726" s="169"/>
      <c r="L1726" s="169"/>
      <c r="M1726" s="169"/>
      <c r="N1726" s="169"/>
      <c r="O1726" s="169"/>
      <c r="P1726" s="169"/>
      <c r="Q1726" s="169"/>
      <c r="R1726" s="169"/>
      <c r="S1726" s="169"/>
      <c r="T1726" s="169"/>
      <c r="U1726" s="170"/>
      <c r="V1726" s="171"/>
    </row>
    <row r="1727" spans="1:22" hidden="1" outlineLevel="2" x14ac:dyDescent="0.25">
      <c r="A1727" s="186">
        <f>SUMIFS(МКД!$A$6:$A$389,МКД!$D$6:$D$389,Таблица1[[#This Row],[2]])</f>
        <v>296</v>
      </c>
      <c r="B1727" s="168"/>
      <c r="C1727" s="182" t="s">
        <v>655</v>
      </c>
      <c r="D1727" s="167" t="s">
        <v>1660</v>
      </c>
      <c r="E1727" s="167" t="s">
        <v>1659</v>
      </c>
      <c r="F1727" s="167">
        <v>2</v>
      </c>
      <c r="G1727" s="168">
        <f>SUMIFS(Таблица1[[#This Row],[8]:[19]],$I$5:$T$5,"Выкуп")</f>
        <v>57.5</v>
      </c>
      <c r="H1727" s="168">
        <f>SUMIFS(Таблица1[[#This Row],[8]:[19]],$I$5:$T$5,"Аренда")</f>
        <v>0</v>
      </c>
      <c r="I1727" s="169">
        <v>57.5</v>
      </c>
      <c r="J1727" s="169"/>
      <c r="K1727" s="169"/>
      <c r="L1727" s="169"/>
      <c r="M1727" s="169"/>
      <c r="N1727" s="169"/>
      <c r="O1727" s="169"/>
      <c r="P1727" s="169"/>
      <c r="Q1727" s="169"/>
      <c r="R1727" s="169"/>
      <c r="S1727" s="169"/>
      <c r="T1727" s="169"/>
      <c r="U1727" s="170"/>
      <c r="V1727" s="171"/>
    </row>
    <row r="1728" spans="1:22" hidden="1" outlineLevel="2" x14ac:dyDescent="0.25">
      <c r="A1728" s="186">
        <f>SUMIFS(МКД!$A$6:$A$389,МКД!$D$6:$D$389,Таблица1[[#This Row],[2]])</f>
        <v>296</v>
      </c>
      <c r="B1728" s="168"/>
      <c r="C1728" s="182" t="s">
        <v>655</v>
      </c>
      <c r="D1728" s="167" t="s">
        <v>2668</v>
      </c>
      <c r="E1728" s="167" t="s">
        <v>2362</v>
      </c>
      <c r="F1728" s="167">
        <v>3</v>
      </c>
      <c r="G1728" s="168">
        <f>SUMIFS(Таблица1[[#This Row],[8]:[19]],$I$5:$T$5,"Выкуп")</f>
        <v>42.9</v>
      </c>
      <c r="H1728" s="168">
        <f>SUMIFS(Таблица1[[#This Row],[8]:[19]],$I$5:$T$5,"Аренда")</f>
        <v>0</v>
      </c>
      <c r="I1728" s="169">
        <v>42.9</v>
      </c>
      <c r="J1728" s="169"/>
      <c r="K1728" s="169"/>
      <c r="L1728" s="169"/>
      <c r="M1728" s="169"/>
      <c r="N1728" s="169"/>
      <c r="O1728" s="169"/>
      <c r="P1728" s="169"/>
      <c r="Q1728" s="169"/>
      <c r="R1728" s="169"/>
      <c r="S1728" s="169"/>
      <c r="T1728" s="169"/>
      <c r="U1728" s="170"/>
      <c r="V1728" s="171"/>
    </row>
    <row r="1729" spans="1:22" hidden="1" outlineLevel="2" x14ac:dyDescent="0.25">
      <c r="A1729" s="186">
        <f>SUMIFS(МКД!$A$6:$A$389,МКД!$D$6:$D$389,Таблица1[[#This Row],[2]])</f>
        <v>296</v>
      </c>
      <c r="B1729" s="168"/>
      <c r="C1729" s="182" t="s">
        <v>655</v>
      </c>
      <c r="D1729" s="167" t="s">
        <v>2368</v>
      </c>
      <c r="E1729" s="167" t="s">
        <v>1501</v>
      </c>
      <c r="F1729" s="167">
        <v>4</v>
      </c>
      <c r="G1729" s="168">
        <f>SUMIFS(Таблица1[[#This Row],[8]:[19]],$I$5:$T$5,"Выкуп")</f>
        <v>155.80000000000001</v>
      </c>
      <c r="H1729" s="168">
        <f>SUMIFS(Таблица1[[#This Row],[8]:[19]],$I$5:$T$5,"Аренда")</f>
        <v>0</v>
      </c>
      <c r="I1729" s="169"/>
      <c r="J1729" s="169"/>
      <c r="K1729" s="169">
        <v>155.80000000000001</v>
      </c>
      <c r="L1729" s="169"/>
      <c r="M1729" s="169"/>
      <c r="N1729" s="169"/>
      <c r="O1729" s="169"/>
      <c r="P1729" s="169"/>
      <c r="Q1729" s="169"/>
      <c r="R1729" s="169"/>
      <c r="S1729" s="169"/>
      <c r="T1729" s="169"/>
      <c r="U1729" s="170"/>
      <c r="V1729" s="171"/>
    </row>
    <row r="1730" spans="1:22" hidden="1" outlineLevel="2" x14ac:dyDescent="0.25">
      <c r="A1730" s="186">
        <f>SUMIFS(МКД!$A$6:$A$389,МКД!$D$6:$D$389,Таблица1[[#This Row],[2]])</f>
        <v>296</v>
      </c>
      <c r="B1730" s="168"/>
      <c r="C1730" s="182" t="s">
        <v>655</v>
      </c>
      <c r="D1730" s="167" t="s">
        <v>2366</v>
      </c>
      <c r="E1730" s="167" t="s">
        <v>2367</v>
      </c>
      <c r="F1730" s="167">
        <v>4</v>
      </c>
      <c r="G1730" s="168">
        <f>SUMIFS(Таблица1[[#This Row],[8]:[19]],$I$5:$T$5,"Выкуп")</f>
        <v>45.5</v>
      </c>
      <c r="H1730" s="168">
        <f>SUMIFS(Таблица1[[#This Row],[8]:[19]],$I$5:$T$5,"Аренда")</f>
        <v>0</v>
      </c>
      <c r="I1730" s="169">
        <v>45.5</v>
      </c>
      <c r="J1730" s="169"/>
      <c r="K1730" s="169"/>
      <c r="L1730" s="169"/>
      <c r="M1730" s="169"/>
      <c r="N1730" s="169"/>
      <c r="O1730" s="169"/>
      <c r="P1730" s="169"/>
      <c r="Q1730" s="169"/>
      <c r="R1730" s="169"/>
      <c r="S1730" s="169"/>
      <c r="T1730" s="169"/>
      <c r="U1730" s="170"/>
      <c r="V1730" s="171"/>
    </row>
    <row r="1731" spans="1:22" hidden="1" outlineLevel="2" x14ac:dyDescent="0.25">
      <c r="A1731" s="186">
        <f>SUMIFS(МКД!$A$6:$A$389,МКД!$D$6:$D$389,Таблица1[[#This Row],[2]])</f>
        <v>296</v>
      </c>
      <c r="B1731" s="168"/>
      <c r="C1731" s="182" t="s">
        <v>655</v>
      </c>
      <c r="D1731" s="167" t="s">
        <v>22</v>
      </c>
      <c r="E1731" s="167" t="s">
        <v>2357</v>
      </c>
      <c r="F1731" s="167">
        <v>3</v>
      </c>
      <c r="G1731" s="168">
        <f>SUMIFS(Таблица1[[#This Row],[8]:[19]],$I$5:$T$5,"Выкуп")</f>
        <v>41.9</v>
      </c>
      <c r="H1731" s="168">
        <f>SUMIFS(Таблица1[[#This Row],[8]:[19]],$I$5:$T$5,"Аренда")</f>
        <v>0</v>
      </c>
      <c r="I1731" s="169">
        <v>41.9</v>
      </c>
      <c r="J1731" s="169"/>
      <c r="K1731" s="169"/>
      <c r="L1731" s="169"/>
      <c r="M1731" s="169"/>
      <c r="N1731" s="169"/>
      <c r="O1731" s="169"/>
      <c r="P1731" s="169"/>
      <c r="Q1731" s="169"/>
      <c r="R1731" s="169"/>
      <c r="S1731" s="169"/>
      <c r="T1731" s="169"/>
      <c r="U1731" s="170"/>
      <c r="V1731" s="171"/>
    </row>
    <row r="1732" spans="1:22" hidden="1" outlineLevel="2" x14ac:dyDescent="0.25">
      <c r="A1732" s="186">
        <f>SUMIFS(МКД!$A$6:$A$389,МКД!$D$6:$D$389,Таблица1[[#This Row],[2]])</f>
        <v>296</v>
      </c>
      <c r="B1732" s="168"/>
      <c r="C1732" s="182" t="s">
        <v>655</v>
      </c>
      <c r="D1732" s="167" t="s">
        <v>1974</v>
      </c>
      <c r="E1732" s="167" t="s">
        <v>1975</v>
      </c>
      <c r="F1732" s="167">
        <v>3</v>
      </c>
      <c r="G1732" s="168">
        <f>SUMIFS(Таблица1[[#This Row],[8]:[19]],$I$5:$T$5,"Выкуп")</f>
        <v>41.6</v>
      </c>
      <c r="H1732" s="168">
        <f>SUMIFS(Таблица1[[#This Row],[8]:[19]],$I$5:$T$5,"Аренда")</f>
        <v>0</v>
      </c>
      <c r="I1732" s="169">
        <v>41.6</v>
      </c>
      <c r="J1732" s="169"/>
      <c r="K1732" s="169"/>
      <c r="L1732" s="169"/>
      <c r="M1732" s="169"/>
      <c r="N1732" s="169"/>
      <c r="O1732" s="169"/>
      <c r="P1732" s="169"/>
      <c r="Q1732" s="169"/>
      <c r="R1732" s="169"/>
      <c r="S1732" s="169"/>
      <c r="T1732" s="169"/>
      <c r="U1732" s="170"/>
      <c r="V1732" s="171"/>
    </row>
    <row r="1733" spans="1:22" hidden="1" outlineLevel="2" x14ac:dyDescent="0.25">
      <c r="A1733" s="186">
        <f>SUMIFS(МКД!$A$6:$A$389,МКД!$D$6:$D$389,Таблица1[[#This Row],[2]])</f>
        <v>296</v>
      </c>
      <c r="B1733" s="168"/>
      <c r="C1733" s="182" t="s">
        <v>655</v>
      </c>
      <c r="D1733" s="167" t="s">
        <v>1628</v>
      </c>
      <c r="E1733" s="167" t="s">
        <v>2359</v>
      </c>
      <c r="F1733" s="167">
        <v>3</v>
      </c>
      <c r="G1733" s="168">
        <f>SUMIFS(Таблица1[[#This Row],[8]:[19]],$I$5:$T$5,"Выкуп")</f>
        <v>44.3</v>
      </c>
      <c r="H1733" s="168">
        <f>SUMIFS(Таблица1[[#This Row],[8]:[19]],$I$5:$T$5,"Аренда")</f>
        <v>0</v>
      </c>
      <c r="I1733" s="169">
        <v>44.3</v>
      </c>
      <c r="J1733" s="169"/>
      <c r="K1733" s="169"/>
      <c r="L1733" s="169"/>
      <c r="M1733" s="169"/>
      <c r="N1733" s="169"/>
      <c r="O1733" s="169"/>
      <c r="P1733" s="169"/>
      <c r="Q1733" s="169"/>
      <c r="R1733" s="169"/>
      <c r="S1733" s="169"/>
      <c r="T1733" s="169"/>
      <c r="U1733" s="170"/>
      <c r="V1733" s="171"/>
    </row>
    <row r="1734" spans="1:22" hidden="1" outlineLevel="2" x14ac:dyDescent="0.25">
      <c r="A1734" s="186">
        <f>SUMIFS(МКД!$A$6:$A$389,МКД!$D$6:$D$389,Таблица1[[#This Row],[2]])</f>
        <v>296</v>
      </c>
      <c r="B1734" s="168"/>
      <c r="C1734" s="182" t="s">
        <v>655</v>
      </c>
      <c r="D1734" s="167" t="s">
        <v>25</v>
      </c>
      <c r="E1734" s="167" t="s">
        <v>2365</v>
      </c>
      <c r="F1734" s="167">
        <v>3</v>
      </c>
      <c r="G1734" s="168">
        <f>SUMIFS(Таблица1[[#This Row],[8]:[19]],$I$5:$T$5,"Выкуп")</f>
        <v>45.1</v>
      </c>
      <c r="H1734" s="168">
        <f>SUMIFS(Таблица1[[#This Row],[8]:[19]],$I$5:$T$5,"Аренда")</f>
        <v>0</v>
      </c>
      <c r="I1734" s="169">
        <v>45.1</v>
      </c>
      <c r="J1734" s="169"/>
      <c r="K1734" s="169"/>
      <c r="L1734" s="169"/>
      <c r="M1734" s="169"/>
      <c r="N1734" s="169"/>
      <c r="O1734" s="169"/>
      <c r="P1734" s="169"/>
      <c r="Q1734" s="169"/>
      <c r="R1734" s="169"/>
      <c r="S1734" s="169"/>
      <c r="T1734" s="169"/>
      <c r="U1734" s="170"/>
      <c r="V1734" s="171"/>
    </row>
    <row r="1735" spans="1:22" hidden="1" outlineLevel="2" x14ac:dyDescent="0.25">
      <c r="A1735" s="186">
        <f>SUMIFS(МКД!$A$6:$A$389,МКД!$D$6:$D$389,Таблица1[[#This Row],[2]])</f>
        <v>296</v>
      </c>
      <c r="B1735" s="168"/>
      <c r="C1735" s="182" t="s">
        <v>655</v>
      </c>
      <c r="D1735" s="167" t="s">
        <v>2364</v>
      </c>
      <c r="E1735" s="167" t="s">
        <v>2363</v>
      </c>
      <c r="F1735" s="167">
        <v>1</v>
      </c>
      <c r="G1735" s="168">
        <f>SUMIFS(Таблица1[[#This Row],[8]:[19]],$I$5:$T$5,"Выкуп")</f>
        <v>71.8</v>
      </c>
      <c r="H1735" s="168">
        <f>SUMIFS(Таблица1[[#This Row],[8]:[19]],$I$5:$T$5,"Аренда")</f>
        <v>0</v>
      </c>
      <c r="I1735" s="169">
        <v>71.8</v>
      </c>
      <c r="J1735" s="169"/>
      <c r="K1735" s="169"/>
      <c r="L1735" s="169"/>
      <c r="M1735" s="169"/>
      <c r="N1735" s="169"/>
      <c r="O1735" s="169"/>
      <c r="P1735" s="169"/>
      <c r="Q1735" s="169"/>
      <c r="R1735" s="169"/>
      <c r="S1735" s="169"/>
      <c r="T1735" s="169"/>
      <c r="U1735" s="170"/>
      <c r="V1735" s="171"/>
    </row>
    <row r="1736" spans="1:22" hidden="1" outlineLevel="2" x14ac:dyDescent="0.25">
      <c r="A1736" s="186">
        <f>SUMIFS(МКД!$A$6:$A$389,МКД!$D$6:$D$389,Таблица1[[#This Row],[2]])</f>
        <v>296</v>
      </c>
      <c r="B1736" s="168"/>
      <c r="C1736" s="182" t="s">
        <v>655</v>
      </c>
      <c r="D1736" s="167" t="s">
        <v>23</v>
      </c>
      <c r="E1736" s="167" t="s">
        <v>2358</v>
      </c>
      <c r="F1736" s="167">
        <v>3</v>
      </c>
      <c r="G1736" s="168">
        <f>SUMIFS(Таблица1[[#This Row],[8]:[19]],$I$5:$T$5,"Выкуп")</f>
        <v>46.3</v>
      </c>
      <c r="H1736" s="168">
        <f>SUMIFS(Таблица1[[#This Row],[8]:[19]],$I$5:$T$5,"Аренда")</f>
        <v>0</v>
      </c>
      <c r="I1736" s="169">
        <v>46.3</v>
      </c>
      <c r="J1736" s="169"/>
      <c r="K1736" s="169"/>
      <c r="L1736" s="169"/>
      <c r="M1736" s="169"/>
      <c r="N1736" s="169"/>
      <c r="O1736" s="169"/>
      <c r="P1736" s="169"/>
      <c r="Q1736" s="169"/>
      <c r="R1736" s="169"/>
      <c r="S1736" s="169"/>
      <c r="T1736" s="169"/>
      <c r="U1736" s="170"/>
      <c r="V1736" s="171"/>
    </row>
    <row r="1737" spans="1:22" hidden="1" outlineLevel="2" x14ac:dyDescent="0.25">
      <c r="A1737" s="186">
        <f>SUMIFS(МКД!$A$6:$A$389,МКД!$D$6:$D$389,Таблица1[[#This Row],[2]])</f>
        <v>296</v>
      </c>
      <c r="B1737" s="168"/>
      <c r="C1737" s="182" t="s">
        <v>655</v>
      </c>
      <c r="D1737" s="167" t="s">
        <v>1961</v>
      </c>
      <c r="E1737" s="167" t="s">
        <v>1960</v>
      </c>
      <c r="F1737" s="167">
        <v>3</v>
      </c>
      <c r="G1737" s="168">
        <f>SUMIFS(Таблица1[[#This Row],[8]:[19]],$I$5:$T$5,"Выкуп")</f>
        <v>43.2</v>
      </c>
      <c r="H1737" s="168">
        <f>SUMIFS(Таблица1[[#This Row],[8]:[19]],$I$5:$T$5,"Аренда")</f>
        <v>0</v>
      </c>
      <c r="I1737" s="169">
        <v>43.2</v>
      </c>
      <c r="J1737" s="169"/>
      <c r="K1737" s="169"/>
      <c r="L1737" s="169"/>
      <c r="M1737" s="169"/>
      <c r="N1737" s="169"/>
      <c r="O1737" s="169"/>
      <c r="P1737" s="169"/>
      <c r="Q1737" s="169"/>
      <c r="R1737" s="169"/>
      <c r="S1737" s="169"/>
      <c r="T1737" s="169"/>
      <c r="U1737" s="170"/>
      <c r="V1737" s="171"/>
    </row>
    <row r="1738" spans="1:22" hidden="1" outlineLevel="2" x14ac:dyDescent="0.25">
      <c r="A1738" s="186">
        <f>SUMIFS(МКД!$A$6:$A$389,МКД!$D$6:$D$389,Таблица1[[#This Row],[2]])</f>
        <v>296</v>
      </c>
      <c r="B1738" s="168"/>
      <c r="C1738" s="182" t="s">
        <v>655</v>
      </c>
      <c r="D1738" s="167" t="s">
        <v>2372</v>
      </c>
      <c r="E1738" s="167" t="s">
        <v>2373</v>
      </c>
      <c r="F1738" s="167">
        <v>4</v>
      </c>
      <c r="G1738" s="168">
        <f>SUMIFS(Таблица1[[#This Row],[8]:[19]],$I$5:$T$5,"Выкуп")</f>
        <v>45.1</v>
      </c>
      <c r="H1738" s="168">
        <f>SUMIFS(Таблица1[[#This Row],[8]:[19]],$I$5:$T$5,"Аренда")</f>
        <v>0</v>
      </c>
      <c r="I1738" s="169">
        <v>45.1</v>
      </c>
      <c r="J1738" s="169"/>
      <c r="K1738" s="169"/>
      <c r="L1738" s="169"/>
      <c r="M1738" s="169"/>
      <c r="N1738" s="169"/>
      <c r="O1738" s="169"/>
      <c r="P1738" s="169"/>
      <c r="Q1738" s="169"/>
      <c r="R1738" s="169"/>
      <c r="S1738" s="169"/>
      <c r="T1738" s="169"/>
      <c r="U1738" s="170"/>
      <c r="V1738" s="171" t="s">
        <v>1632</v>
      </c>
    </row>
    <row r="1739" spans="1:22" hidden="1" outlineLevel="2" x14ac:dyDescent="0.25">
      <c r="A1739" s="186">
        <f>SUMIFS(МКД!$A$6:$A$389,МКД!$D$6:$D$389,Таблица1[[#This Row],[2]])</f>
        <v>296</v>
      </c>
      <c r="B1739" s="168"/>
      <c r="C1739" s="182" t="s">
        <v>655</v>
      </c>
      <c r="D1739" s="167" t="s">
        <v>1515</v>
      </c>
      <c r="E1739" s="167" t="s">
        <v>2026</v>
      </c>
      <c r="F1739" s="167">
        <v>2</v>
      </c>
      <c r="G1739" s="168">
        <f>SUMIFS(Таблица1[[#This Row],[8]:[19]],$I$5:$T$5,"Выкуп")</f>
        <v>76.5</v>
      </c>
      <c r="H1739" s="168">
        <f>SUMIFS(Таблица1[[#This Row],[8]:[19]],$I$5:$T$5,"Аренда")</f>
        <v>0</v>
      </c>
      <c r="I1739" s="169">
        <v>76.5</v>
      </c>
      <c r="J1739" s="169"/>
      <c r="K1739" s="169"/>
      <c r="L1739" s="169"/>
      <c r="M1739" s="169"/>
      <c r="N1739" s="169"/>
      <c r="O1739" s="169"/>
      <c r="P1739" s="169"/>
      <c r="Q1739" s="169"/>
      <c r="R1739" s="169"/>
      <c r="S1739" s="169"/>
      <c r="T1739" s="169"/>
      <c r="U1739" s="170"/>
      <c r="V1739" s="171"/>
    </row>
    <row r="1740" spans="1:22" hidden="1" outlineLevel="2" x14ac:dyDescent="0.25">
      <c r="A1740" s="186">
        <f>SUMIFS(МКД!$A$6:$A$389,МКД!$D$6:$D$389,Таблица1[[#This Row],[2]])</f>
        <v>296</v>
      </c>
      <c r="B1740" s="168"/>
      <c r="C1740" s="182" t="s">
        <v>655</v>
      </c>
      <c r="D1740" s="167" t="s">
        <v>2361</v>
      </c>
      <c r="E1740" s="167" t="s">
        <v>2360</v>
      </c>
      <c r="F1740" s="167">
        <v>4</v>
      </c>
      <c r="G1740" s="168">
        <f>SUMIFS(Таблица1[[#This Row],[8]:[19]],$I$5:$T$5,"Выкуп")</f>
        <v>43.1</v>
      </c>
      <c r="H1740" s="168">
        <f>SUMIFS(Таблица1[[#This Row],[8]:[19]],$I$5:$T$5,"Аренда")</f>
        <v>0</v>
      </c>
      <c r="I1740" s="169">
        <v>43.1</v>
      </c>
      <c r="J1740" s="169"/>
      <c r="K1740" s="169"/>
      <c r="L1740" s="169"/>
      <c r="M1740" s="169"/>
      <c r="N1740" s="169"/>
      <c r="O1740" s="169"/>
      <c r="P1740" s="169"/>
      <c r="Q1740" s="169"/>
      <c r="R1740" s="169"/>
      <c r="S1740" s="169"/>
      <c r="T1740" s="169"/>
      <c r="U1740" s="170"/>
      <c r="V1740" s="171"/>
    </row>
    <row r="1741" spans="1:22" hidden="1" outlineLevel="2" x14ac:dyDescent="0.25">
      <c r="A1741" s="186">
        <f>SUMIFS(МКД!$A$6:$A$389,МКД!$D$6:$D$389,Таблица1[[#This Row],[2]])</f>
        <v>296</v>
      </c>
      <c r="B1741" s="168"/>
      <c r="C1741" s="182" t="s">
        <v>655</v>
      </c>
      <c r="D1741" s="167" t="s">
        <v>846</v>
      </c>
      <c r="E1741" s="167" t="s">
        <v>2096</v>
      </c>
      <c r="F1741" s="167">
        <v>4</v>
      </c>
      <c r="G1741" s="168">
        <f>SUMIFS(Таблица1[[#This Row],[8]:[19]],$I$5:$T$5,"Выкуп")</f>
        <v>42.9</v>
      </c>
      <c r="H1741" s="168">
        <f>SUMIFS(Таблица1[[#This Row],[8]:[19]],$I$5:$T$5,"Аренда")</f>
        <v>0</v>
      </c>
      <c r="I1741" s="169">
        <v>42.9</v>
      </c>
      <c r="J1741" s="169"/>
      <c r="K1741" s="169"/>
      <c r="L1741" s="169"/>
      <c r="M1741" s="169"/>
      <c r="N1741" s="169"/>
      <c r="O1741" s="169"/>
      <c r="P1741" s="169"/>
      <c r="Q1741" s="169"/>
      <c r="R1741" s="169"/>
      <c r="S1741" s="169"/>
      <c r="T1741" s="169"/>
      <c r="U1741" s="170"/>
      <c r="V1741" s="171"/>
    </row>
    <row r="1742" spans="1:22" hidden="1" outlineLevel="2" x14ac:dyDescent="0.25">
      <c r="A1742" s="186">
        <f>SUMIFS(МКД!$A$6:$A$389,МКД!$D$6:$D$389,Таблица1[[#This Row],[2]])</f>
        <v>296</v>
      </c>
      <c r="B1742" s="168"/>
      <c r="C1742" s="182" t="s">
        <v>655</v>
      </c>
      <c r="D1742" s="167" t="s">
        <v>795</v>
      </c>
      <c r="E1742" s="167" t="s">
        <v>2025</v>
      </c>
      <c r="F1742" s="167">
        <v>2</v>
      </c>
      <c r="G1742" s="168">
        <f>SUMIFS(Таблица1[[#This Row],[8]:[19]],$I$5:$T$5,"Выкуп")</f>
        <v>70.900000000000006</v>
      </c>
      <c r="H1742" s="168">
        <f>SUMIFS(Таблица1[[#This Row],[8]:[19]],$I$5:$T$5,"Аренда")</f>
        <v>0</v>
      </c>
      <c r="I1742" s="169">
        <v>70.900000000000006</v>
      </c>
      <c r="J1742" s="169"/>
      <c r="K1742" s="169"/>
      <c r="L1742" s="169"/>
      <c r="M1742" s="169"/>
      <c r="N1742" s="169"/>
      <c r="O1742" s="169"/>
      <c r="P1742" s="169"/>
      <c r="Q1742" s="169"/>
      <c r="R1742" s="169"/>
      <c r="S1742" s="169"/>
      <c r="T1742" s="169"/>
      <c r="U1742" s="170"/>
      <c r="V1742" s="171"/>
    </row>
    <row r="1743" spans="1:22" hidden="1" outlineLevel="2" x14ac:dyDescent="0.25">
      <c r="A1743" s="186">
        <f>SUMIFS(МКД!$A$6:$A$389,МКД!$D$6:$D$389,Таблица1[[#This Row],[2]])</f>
        <v>296</v>
      </c>
      <c r="B1743" s="168"/>
      <c r="C1743" s="182" t="s">
        <v>655</v>
      </c>
      <c r="D1743" s="167" t="s">
        <v>2369</v>
      </c>
      <c r="E1743" s="167" t="s">
        <v>2370</v>
      </c>
      <c r="F1743" s="167"/>
      <c r="G1743" s="168">
        <f>SUMIFS(Таблица1[[#This Row],[8]:[19]],$I$5:$T$5,"Выкуп")</f>
        <v>0</v>
      </c>
      <c r="H1743" s="168">
        <f>SUMIFS(Таблица1[[#This Row],[8]:[19]],$I$5:$T$5,"Аренда")</f>
        <v>7.8</v>
      </c>
      <c r="I1743" s="169"/>
      <c r="J1743" s="169"/>
      <c r="K1743" s="169"/>
      <c r="L1743" s="169"/>
      <c r="M1743" s="169"/>
      <c r="N1743" s="169"/>
      <c r="O1743" s="167"/>
      <c r="P1743" s="169">
        <v>7.8</v>
      </c>
      <c r="Q1743" s="169"/>
      <c r="R1743" s="169"/>
      <c r="S1743" s="169"/>
      <c r="T1743" s="169"/>
      <c r="U1743" s="170"/>
      <c r="V1743" s="171"/>
    </row>
    <row r="1744" spans="1:22" hidden="1" outlineLevel="2" x14ac:dyDescent="0.25">
      <c r="A1744" s="186">
        <f>SUMIFS(МКД!$A$6:$A$389,МКД!$D$6:$D$389,Таблица1[[#This Row],[2]])</f>
        <v>296</v>
      </c>
      <c r="B1744" s="168"/>
      <c r="C1744" s="182" t="s">
        <v>655</v>
      </c>
      <c r="D1744" s="167" t="s">
        <v>2371</v>
      </c>
      <c r="E1744" s="167" t="s">
        <v>917</v>
      </c>
      <c r="F1744" s="167"/>
      <c r="G1744" s="320">
        <f>SUMIFS(Таблица1[[#This Row],[8]:[19]],$I$5:$T$5,"Выкуп")</f>
        <v>89.9</v>
      </c>
      <c r="H1744" s="168">
        <f>SUMIFS(Таблица1[[#This Row],[8]:[19]],$I$5:$T$5,"Аренда")</f>
        <v>0</v>
      </c>
      <c r="I1744" s="169"/>
      <c r="J1744" s="169"/>
      <c r="K1744" s="278">
        <v>89.9</v>
      </c>
      <c r="L1744" s="169"/>
      <c r="M1744" s="169"/>
      <c r="N1744" s="169"/>
      <c r="O1744" s="169"/>
      <c r="P1744" s="169"/>
      <c r="Q1744" s="169"/>
      <c r="R1744" s="169"/>
      <c r="S1744" s="169"/>
      <c r="T1744" s="169"/>
      <c r="U1744" s="170"/>
      <c r="V1744" s="171"/>
    </row>
    <row r="1745" spans="1:22" ht="15" outlineLevel="1" collapsed="1" x14ac:dyDescent="0.25">
      <c r="A1745" s="186">
        <f>SUMIFS(МКД!$A$6:$A$389,МКД!$D$6:$D$389,Таблица1[[#This Row],[2]])</f>
        <v>297</v>
      </c>
      <c r="B1745" s="194">
        <f>SUMIFS(Таблица1[6],Таблица1[2],Таблица1[[#This Row],[2]])+SUMIFS(Таблица1[7],Таблица1[2],Таблица1[[#This Row],[2]])</f>
        <v>2340.2999999999997</v>
      </c>
      <c r="C1745" s="185" t="s">
        <v>642</v>
      </c>
      <c r="D1745" s="196"/>
      <c r="E1745" s="196"/>
      <c r="F1745" s="196"/>
      <c r="G1745" s="168"/>
      <c r="H1745" s="197"/>
      <c r="I1745" s="196"/>
      <c r="J1745" s="196"/>
      <c r="K1745" s="196"/>
      <c r="L1745" s="196"/>
      <c r="M1745" s="196"/>
      <c r="N1745" s="196"/>
      <c r="O1745" s="196"/>
      <c r="P1745" s="196"/>
      <c r="Q1745" s="196"/>
      <c r="R1745" s="196"/>
      <c r="S1745" s="196"/>
      <c r="T1745" s="196"/>
      <c r="U1745" s="196"/>
      <c r="V1745" s="198"/>
    </row>
    <row r="1746" spans="1:22" hidden="1" outlineLevel="2" x14ac:dyDescent="0.25">
      <c r="A1746" s="186">
        <f>SUMIFS(МКД!$A$6:$A$389,МКД!$D$6:$D$389,Таблица1[[#This Row],[2]])</f>
        <v>297</v>
      </c>
      <c r="B1746" s="168"/>
      <c r="C1746" s="182" t="s">
        <v>642</v>
      </c>
      <c r="D1746" s="167" t="s">
        <v>26</v>
      </c>
      <c r="E1746" s="167" t="s">
        <v>2375</v>
      </c>
      <c r="F1746" s="167" t="s">
        <v>240</v>
      </c>
      <c r="G1746" s="168">
        <f>SUMIFS(Таблица1[[#This Row],[8]:[19]],$I$5:$T$5,"Выкуп")</f>
        <v>660.5</v>
      </c>
      <c r="H1746" s="168">
        <f>SUMIFS(Таблица1[[#This Row],[8]:[19]],$I$5:$T$5,"Аренда")</f>
        <v>0</v>
      </c>
      <c r="I1746" s="169">
        <v>213.4</v>
      </c>
      <c r="J1746" s="169"/>
      <c r="K1746" s="167">
        <f>207.6+239.5</f>
        <v>447.1</v>
      </c>
      <c r="L1746" s="167"/>
      <c r="M1746" s="167"/>
      <c r="N1746" s="167"/>
      <c r="O1746" s="169"/>
      <c r="P1746" s="169"/>
      <c r="Q1746" s="169"/>
      <c r="R1746" s="169"/>
      <c r="S1746" s="169"/>
      <c r="T1746" s="169"/>
      <c r="U1746" s="170"/>
      <c r="V1746" s="171"/>
    </row>
    <row r="1747" spans="1:22" hidden="1" outlineLevel="2" x14ac:dyDescent="0.25">
      <c r="A1747" s="186">
        <f>SUMIFS(МКД!$A$6:$A$389,МКД!$D$6:$D$389,Таблица1[[#This Row],[2]])</f>
        <v>297</v>
      </c>
      <c r="B1747" s="168"/>
      <c r="C1747" s="182" t="s">
        <v>642</v>
      </c>
      <c r="D1747" s="167" t="s">
        <v>27</v>
      </c>
      <c r="E1747" s="167" t="s">
        <v>2376</v>
      </c>
      <c r="F1747" s="167">
        <v>3</v>
      </c>
      <c r="G1747" s="168">
        <f>SUMIFS(Таблица1[[#This Row],[8]:[19]],$I$5:$T$5,"Выкуп")</f>
        <v>78</v>
      </c>
      <c r="H1747" s="168">
        <f>SUMIFS(Таблица1[[#This Row],[8]:[19]],$I$5:$T$5,"Аренда")</f>
        <v>0</v>
      </c>
      <c r="I1747" s="169">
        <v>78</v>
      </c>
      <c r="J1747" s="169"/>
      <c r="K1747" s="169"/>
      <c r="L1747" s="169"/>
      <c r="M1747" s="169"/>
      <c r="N1747" s="169"/>
      <c r="O1747" s="169"/>
      <c r="P1747" s="169"/>
      <c r="Q1747" s="169"/>
      <c r="R1747" s="169"/>
      <c r="S1747" s="169"/>
      <c r="T1747" s="169"/>
      <c r="U1747" s="170"/>
      <c r="V1747" s="171"/>
    </row>
    <row r="1748" spans="1:22" hidden="1" outlineLevel="2" x14ac:dyDescent="0.25">
      <c r="A1748" s="186">
        <f>SUMIFS(МКД!$A$6:$A$389,МКД!$D$6:$D$389,Таблица1[[#This Row],[2]])</f>
        <v>297</v>
      </c>
      <c r="B1748" s="168"/>
      <c r="C1748" s="182" t="s">
        <v>642</v>
      </c>
      <c r="D1748" s="167" t="s">
        <v>2353</v>
      </c>
      <c r="E1748" s="167" t="s">
        <v>1868</v>
      </c>
      <c r="F1748" s="167">
        <v>3</v>
      </c>
      <c r="G1748" s="168">
        <f>SUMIFS(Таблица1[[#This Row],[8]:[19]],$I$5:$T$5,"Выкуп")</f>
        <v>118.4</v>
      </c>
      <c r="H1748" s="168">
        <f>SUMIFS(Таблица1[[#This Row],[8]:[19]],$I$5:$T$5,"Аренда")</f>
        <v>0</v>
      </c>
      <c r="I1748" s="169">
        <v>118.4</v>
      </c>
      <c r="J1748" s="169"/>
      <c r="K1748" s="169"/>
      <c r="L1748" s="169"/>
      <c r="M1748" s="169"/>
      <c r="N1748" s="169"/>
      <c r="O1748" s="169"/>
      <c r="P1748" s="169"/>
      <c r="Q1748" s="169"/>
      <c r="R1748" s="169"/>
      <c r="S1748" s="169"/>
      <c r="T1748" s="169"/>
      <c r="U1748" s="170"/>
      <c r="V1748" s="171"/>
    </row>
    <row r="1749" spans="1:22" hidden="1" outlineLevel="2" x14ac:dyDescent="0.25">
      <c r="A1749" s="186">
        <f>SUMIFS(МКД!$A$6:$A$389,МКД!$D$6:$D$389,Таблица1[[#This Row],[2]])</f>
        <v>297</v>
      </c>
      <c r="B1749" s="170"/>
      <c r="C1749" s="182" t="s">
        <v>642</v>
      </c>
      <c r="D1749" s="167" t="s">
        <v>1144</v>
      </c>
      <c r="E1749" s="167" t="s">
        <v>960</v>
      </c>
      <c r="F1749" s="167">
        <v>2</v>
      </c>
      <c r="G1749" s="168">
        <f>SUMIFS(Таблица1[[#This Row],[8]:[19]],$I$5:$T$5,"Выкуп")</f>
        <v>336.79999999999995</v>
      </c>
      <c r="H1749" s="168">
        <f>SUMIFS(Таблица1[[#This Row],[8]:[19]],$I$5:$T$5,"Аренда")</f>
        <v>0</v>
      </c>
      <c r="I1749" s="169">
        <v>168.1</v>
      </c>
      <c r="J1749" s="169"/>
      <c r="K1749" s="169">
        <f>168.7</f>
        <v>168.7</v>
      </c>
      <c r="L1749" s="169"/>
      <c r="M1749" s="169"/>
      <c r="N1749" s="169"/>
      <c r="O1749" s="169"/>
      <c r="P1749" s="169"/>
      <c r="Q1749" s="169"/>
      <c r="R1749" s="169"/>
      <c r="S1749" s="169"/>
      <c r="T1749" s="169"/>
      <c r="U1749" s="170"/>
      <c r="V1749" s="171"/>
    </row>
    <row r="1750" spans="1:22" hidden="1" outlineLevel="2" x14ac:dyDescent="0.25">
      <c r="A1750" s="186">
        <f>SUMIFS(МКД!$A$6:$A$389,МКД!$D$6:$D$389,Таблица1[[#This Row],[2]])</f>
        <v>297</v>
      </c>
      <c r="B1750" s="168"/>
      <c r="C1750" s="182" t="s">
        <v>642</v>
      </c>
      <c r="D1750" s="167" t="s">
        <v>1593</v>
      </c>
      <c r="E1750" s="273" t="s">
        <v>1770</v>
      </c>
      <c r="F1750" s="167">
        <v>3</v>
      </c>
      <c r="G1750" s="168">
        <f>SUMIFS(Таблица1[[#This Row],[8]:[19]],$I$5:$T$5,"Выкуп")</f>
        <v>71.8</v>
      </c>
      <c r="H1750" s="168">
        <f>SUMIFS(Таблица1[[#This Row],[8]:[19]],$I$5:$T$5,"Аренда")</f>
        <v>0</v>
      </c>
      <c r="I1750" s="169"/>
      <c r="J1750" s="169"/>
      <c r="K1750" s="169">
        <v>71.8</v>
      </c>
      <c r="L1750" s="169"/>
      <c r="M1750" s="169"/>
      <c r="N1750" s="169"/>
      <c r="O1750" s="169"/>
      <c r="P1750" s="169"/>
      <c r="Q1750" s="169"/>
      <c r="R1750" s="169"/>
      <c r="S1750" s="169"/>
      <c r="T1750" s="169"/>
      <c r="U1750" s="170"/>
      <c r="V1750" s="171"/>
    </row>
    <row r="1751" spans="1:22" hidden="1" outlineLevel="2" x14ac:dyDescent="0.25">
      <c r="A1751" s="186">
        <f>SUMIFS(МКД!$A$6:$A$389,МКД!$D$6:$D$389,Таблица1[[#This Row],[2]])</f>
        <v>297</v>
      </c>
      <c r="B1751" s="168"/>
      <c r="C1751" s="182" t="s">
        <v>642</v>
      </c>
      <c r="D1751" s="167" t="s">
        <v>2354</v>
      </c>
      <c r="E1751" s="167" t="s">
        <v>2377</v>
      </c>
      <c r="F1751" s="167">
        <v>1</v>
      </c>
      <c r="G1751" s="168">
        <f>SUMIFS(Таблица1[[#This Row],[8]:[19]],$I$5:$T$5,"Выкуп")</f>
        <v>154.19999999999999</v>
      </c>
      <c r="H1751" s="168">
        <f>SUMIFS(Таблица1[[#This Row],[8]:[19]],$I$5:$T$5,"Аренда")</f>
        <v>0</v>
      </c>
      <c r="I1751" s="169">
        <v>154.19999999999999</v>
      </c>
      <c r="J1751" s="169"/>
      <c r="K1751" s="169"/>
      <c r="L1751" s="169"/>
      <c r="M1751" s="169"/>
      <c r="N1751" s="169"/>
      <c r="O1751" s="169"/>
      <c r="P1751" s="169"/>
      <c r="Q1751" s="169"/>
      <c r="R1751" s="169"/>
      <c r="S1751" s="169"/>
      <c r="T1751" s="169"/>
      <c r="U1751" s="170"/>
      <c r="V1751" s="171"/>
    </row>
    <row r="1752" spans="1:22" hidden="1" outlineLevel="2" x14ac:dyDescent="0.25">
      <c r="A1752" s="186">
        <f>SUMIFS(МКД!$A$6:$A$389,МКД!$D$6:$D$389,Таблица1[[#This Row],[2]])</f>
        <v>297</v>
      </c>
      <c r="B1752" s="168"/>
      <c r="C1752" s="182" t="s">
        <v>642</v>
      </c>
      <c r="D1752" s="167" t="s">
        <v>2354</v>
      </c>
      <c r="E1752" s="167" t="s">
        <v>1769</v>
      </c>
      <c r="F1752" s="167">
        <v>1</v>
      </c>
      <c r="G1752" s="168">
        <f>SUMIFS(Таблица1[[#This Row],[8]:[19]],$I$5:$T$5,"Выкуп")</f>
        <v>0</v>
      </c>
      <c r="H1752" s="168">
        <f>SUMIFS(Таблица1[[#This Row],[8]:[19]],$I$5:$T$5,"Аренда")</f>
        <v>113</v>
      </c>
      <c r="I1752" s="169"/>
      <c r="J1752" s="169"/>
      <c r="K1752" s="167"/>
      <c r="L1752" s="169">
        <f>156.1-53.5</f>
        <v>102.6</v>
      </c>
      <c r="M1752" s="169"/>
      <c r="N1752" s="169"/>
      <c r="O1752" s="167"/>
      <c r="P1752" s="169">
        <v>10.4</v>
      </c>
      <c r="Q1752" s="169"/>
      <c r="R1752" s="169"/>
      <c r="S1752" s="169"/>
      <c r="T1752" s="169"/>
      <c r="U1752" s="170"/>
      <c r="V1752" s="171"/>
    </row>
    <row r="1753" spans="1:22" hidden="1" outlineLevel="2" x14ac:dyDescent="0.25">
      <c r="A1753" s="186">
        <f>SUMIFS(МКД!$A$6:$A$389,МКД!$D$6:$D$389,Таблица1[[#This Row],[2]])</f>
        <v>297</v>
      </c>
      <c r="B1753" s="168"/>
      <c r="C1753" s="182" t="s">
        <v>642</v>
      </c>
      <c r="D1753" s="167" t="s">
        <v>1788</v>
      </c>
      <c r="E1753" s="167" t="s">
        <v>1681</v>
      </c>
      <c r="F1753" s="167">
        <v>1</v>
      </c>
      <c r="G1753" s="168">
        <f>SUMIFS(Таблица1[[#This Row],[8]:[19]],$I$5:$T$5,"Выкуп")</f>
        <v>126</v>
      </c>
      <c r="H1753" s="168">
        <f>SUMIFS(Таблица1[[#This Row],[8]:[19]],$I$5:$T$5,"Аренда")</f>
        <v>0</v>
      </c>
      <c r="I1753" s="169"/>
      <c r="J1753" s="169"/>
      <c r="K1753" s="169">
        <v>126</v>
      </c>
      <c r="L1753" s="169"/>
      <c r="M1753" s="169"/>
      <c r="N1753" s="169"/>
      <c r="O1753" s="169"/>
      <c r="P1753" s="169"/>
      <c r="Q1753" s="169"/>
      <c r="R1753" s="169"/>
      <c r="S1753" s="169"/>
      <c r="T1753" s="169"/>
      <c r="U1753" s="170"/>
      <c r="V1753" s="171"/>
    </row>
    <row r="1754" spans="1:22" hidden="1" outlineLevel="2" x14ac:dyDescent="0.25">
      <c r="A1754" s="186">
        <f>SUMIFS(МКД!$A$6:$A$389,МКД!$D$6:$D$389,Таблица1[[#This Row],[2]])</f>
        <v>297</v>
      </c>
      <c r="B1754" s="168"/>
      <c r="C1754" s="182" t="s">
        <v>642</v>
      </c>
      <c r="D1754" s="167" t="s">
        <v>746</v>
      </c>
      <c r="E1754" s="167" t="s">
        <v>1145</v>
      </c>
      <c r="F1754" s="167"/>
      <c r="G1754" s="168">
        <f>SUMIFS(Таблица1[[#This Row],[8]:[19]],$I$5:$T$5,"Выкуп")</f>
        <v>148.19999999999999</v>
      </c>
      <c r="H1754" s="168">
        <f>SUMIFS(Таблица1[[#This Row],[8]:[19]],$I$5:$T$5,"Аренда")</f>
        <v>0</v>
      </c>
      <c r="I1754" s="169"/>
      <c r="J1754" s="169"/>
      <c r="K1754" s="169">
        <v>148.19999999999999</v>
      </c>
      <c r="L1754" s="169"/>
      <c r="M1754" s="169"/>
      <c r="N1754" s="169"/>
      <c r="O1754" s="169"/>
      <c r="P1754" s="169"/>
      <c r="Q1754" s="169"/>
      <c r="R1754" s="169"/>
      <c r="S1754" s="169"/>
      <c r="T1754" s="169"/>
      <c r="U1754" s="170"/>
      <c r="V1754" s="171"/>
    </row>
    <row r="1755" spans="1:22" hidden="1" outlineLevel="2" x14ac:dyDescent="0.25">
      <c r="A1755" s="186">
        <f>SUMIFS(МКД!$A$6:$A$389,МКД!$D$6:$D$389,Таблица1[[#This Row],[2]])</f>
        <v>297</v>
      </c>
      <c r="B1755" s="168"/>
      <c r="C1755" s="182" t="s">
        <v>642</v>
      </c>
      <c r="D1755" s="167" t="s">
        <v>746</v>
      </c>
      <c r="E1755" s="167" t="s">
        <v>2374</v>
      </c>
      <c r="F1755" s="167">
        <v>3</v>
      </c>
      <c r="G1755" s="168">
        <f>SUMIFS(Таблица1[[#This Row],[8]:[19]],$I$5:$T$5,"Выкуп")</f>
        <v>0</v>
      </c>
      <c r="H1755" s="168">
        <f>SUMIFS(Таблица1[[#This Row],[8]:[19]],$I$5:$T$5,"Аренда")</f>
        <v>16.2</v>
      </c>
      <c r="I1755" s="169"/>
      <c r="J1755" s="169"/>
      <c r="K1755" s="169"/>
      <c r="L1755" s="169"/>
      <c r="M1755" s="169"/>
      <c r="N1755" s="169"/>
      <c r="O1755" s="167"/>
      <c r="P1755" s="169">
        <v>16.2</v>
      </c>
      <c r="Q1755" s="169"/>
      <c r="R1755" s="169"/>
      <c r="S1755" s="169"/>
      <c r="T1755" s="169"/>
      <c r="U1755" s="170"/>
      <c r="V1755" s="171"/>
    </row>
    <row r="1756" spans="1:22" hidden="1" outlineLevel="2" x14ac:dyDescent="0.25">
      <c r="A1756" s="186">
        <f>SUMIFS(МКД!$A$6:$A$389,МКД!$D$6:$D$389,Таблица1[[#This Row],[2]])</f>
        <v>297</v>
      </c>
      <c r="B1756" s="170"/>
      <c r="C1756" s="182" t="s">
        <v>642</v>
      </c>
      <c r="D1756" s="167" t="s">
        <v>1566</v>
      </c>
      <c r="E1756" s="167" t="s">
        <v>1523</v>
      </c>
      <c r="F1756" s="167">
        <v>2</v>
      </c>
      <c r="G1756" s="168">
        <f>SUMIFS(Таблица1[[#This Row],[8]:[19]],$I$5:$T$5,"Выкуп")</f>
        <v>244.6</v>
      </c>
      <c r="H1756" s="168">
        <f>SUMIFS(Таблица1[[#This Row],[8]:[19]],$I$5:$T$5,"Аренда")</f>
        <v>0</v>
      </c>
      <c r="I1756" s="169"/>
      <c r="J1756" s="169"/>
      <c r="K1756" s="169">
        <f>244.6</f>
        <v>244.6</v>
      </c>
      <c r="L1756" s="169"/>
      <c r="M1756" s="169"/>
      <c r="N1756" s="169"/>
      <c r="O1756" s="169"/>
      <c r="P1756" s="169"/>
      <c r="Q1756" s="169"/>
      <c r="R1756" s="169"/>
      <c r="S1756" s="169"/>
      <c r="T1756" s="169"/>
      <c r="U1756" s="170"/>
      <c r="V1756" s="171"/>
    </row>
    <row r="1757" spans="1:22" hidden="1" outlineLevel="2" x14ac:dyDescent="0.25">
      <c r="A1757" s="186">
        <f>SUMIFS(МКД!$A$6:$A$389,МКД!$D$6:$D$389,Таблица1[[#This Row],[2]])</f>
        <v>297</v>
      </c>
      <c r="B1757" s="168"/>
      <c r="C1757" s="182" t="s">
        <v>642</v>
      </c>
      <c r="D1757" s="167" t="s">
        <v>1394</v>
      </c>
      <c r="E1757" s="167" t="s">
        <v>2752</v>
      </c>
      <c r="F1757" s="167"/>
      <c r="G1757" s="168">
        <f>SUMIFS(Таблица1[[#This Row],[8]:[19]],$I$5:$T$5,"Выкуп")</f>
        <v>272.60000000000002</v>
      </c>
      <c r="H1757" s="168">
        <f>SUMIFS(Таблица1[[#This Row],[8]:[19]],$I$5:$T$5,"Аренда")</f>
        <v>0</v>
      </c>
      <c r="I1757" s="169"/>
      <c r="J1757" s="169"/>
      <c r="K1757" s="169"/>
      <c r="L1757" s="169"/>
      <c r="M1757" s="169">
        <v>272.60000000000002</v>
      </c>
      <c r="N1757" s="169"/>
      <c r="O1757" s="169"/>
      <c r="P1757" s="169"/>
      <c r="Q1757" s="169"/>
      <c r="R1757" s="169"/>
      <c r="S1757" s="169"/>
      <c r="T1757" s="169"/>
      <c r="U1757" s="170"/>
      <c r="V1757" s="171"/>
    </row>
    <row r="1758" spans="1:22" ht="15" outlineLevel="1" collapsed="1" x14ac:dyDescent="0.25">
      <c r="A1758" s="186">
        <f>SUMIFS(МКД!$A$6:$A$389,МКД!$D$6:$D$389,Таблица1[[#This Row],[2]])</f>
        <v>298</v>
      </c>
      <c r="B1758" s="194">
        <f>SUMIFS(Таблица1[6],Таблица1[2],Таблица1[[#This Row],[2]])+SUMIFS(Таблица1[7],Таблица1[2],Таблица1[[#This Row],[2]])</f>
        <v>0</v>
      </c>
      <c r="C1758" s="185" t="s">
        <v>656</v>
      </c>
      <c r="D1758" s="196"/>
      <c r="E1758" s="196"/>
      <c r="F1758" s="196"/>
      <c r="G1758" s="168"/>
      <c r="H1758" s="197"/>
      <c r="I1758" s="196"/>
      <c r="J1758" s="196"/>
      <c r="K1758" s="196"/>
      <c r="L1758" s="196"/>
      <c r="M1758" s="196"/>
      <c r="N1758" s="196"/>
      <c r="O1758" s="196"/>
      <c r="P1758" s="196"/>
      <c r="Q1758" s="196"/>
      <c r="R1758" s="196"/>
      <c r="S1758" s="196"/>
      <c r="T1758" s="196"/>
      <c r="U1758" s="196"/>
      <c r="V1758" s="198"/>
    </row>
    <row r="1759" spans="1:22" ht="15" hidden="1" outlineLevel="2" x14ac:dyDescent="0.25">
      <c r="A1759" s="186">
        <f>SUMIFS(МКД!$A$6:$A$389,МКД!$D$6:$D$389,Таблица1[[#This Row],[2]])</f>
        <v>298</v>
      </c>
      <c r="B1759" s="196"/>
      <c r="C1759" s="182" t="s">
        <v>656</v>
      </c>
      <c r="D1759" s="196"/>
      <c r="E1759" s="196"/>
      <c r="F1759" s="196"/>
      <c r="G1759" s="168">
        <f>SUMIFS(Таблица1[[#This Row],[8]:[19]],$I$5:$T$5,"Выкуп")</f>
        <v>0</v>
      </c>
      <c r="H1759" s="168">
        <f>SUMIFS(Таблица1[[#This Row],[8]:[19]],$I$5:$T$5,"Аренда")</f>
        <v>0</v>
      </c>
      <c r="I1759" s="196"/>
      <c r="J1759" s="196"/>
      <c r="K1759" s="196"/>
      <c r="L1759" s="196"/>
      <c r="M1759" s="196"/>
      <c r="N1759" s="196"/>
      <c r="O1759" s="196"/>
      <c r="P1759" s="196"/>
      <c r="Q1759" s="196"/>
      <c r="R1759" s="196"/>
      <c r="S1759" s="196"/>
      <c r="T1759" s="196"/>
      <c r="U1759" s="196"/>
      <c r="V1759" s="198"/>
    </row>
    <row r="1760" spans="1:22" ht="15" outlineLevel="1" collapsed="1" x14ac:dyDescent="0.25">
      <c r="A1760" s="186">
        <f>SUMIFS(МКД!$A$6:$A$389,МКД!$D$6:$D$389,Таблица1[[#This Row],[2]])</f>
        <v>299</v>
      </c>
      <c r="B1760" s="194">
        <f>SUMIFS(Таблица1[6],Таблица1[2],Таблица1[[#This Row],[2]])+SUMIFS(Таблица1[7],Таблица1[2],Таблица1[[#This Row],[2]])</f>
        <v>1613.2</v>
      </c>
      <c r="C1760" s="185" t="s">
        <v>643</v>
      </c>
      <c r="D1760" s="196"/>
      <c r="E1760" s="196"/>
      <c r="F1760" s="196"/>
      <c r="G1760" s="168"/>
      <c r="H1760" s="197"/>
      <c r="I1760" s="196"/>
      <c r="J1760" s="196"/>
      <c r="K1760" s="196"/>
      <c r="L1760" s="196"/>
      <c r="M1760" s="196"/>
      <c r="N1760" s="196"/>
      <c r="O1760" s="196"/>
      <c r="P1760" s="196"/>
      <c r="Q1760" s="196"/>
      <c r="R1760" s="196"/>
      <c r="S1760" s="196"/>
      <c r="T1760" s="196"/>
      <c r="U1760" s="196"/>
      <c r="V1760" s="198"/>
    </row>
    <row r="1761" spans="1:22" hidden="1" outlineLevel="2" x14ac:dyDescent="0.25">
      <c r="A1761" s="186">
        <f>SUMIFS(МКД!$A$6:$A$389,МКД!$D$6:$D$389,Таблица1[[#This Row],[2]])</f>
        <v>299</v>
      </c>
      <c r="B1761" s="170"/>
      <c r="C1761" s="182" t="s">
        <v>643</v>
      </c>
      <c r="D1761" s="167" t="s">
        <v>28</v>
      </c>
      <c r="E1761" s="167" t="s">
        <v>2379</v>
      </c>
      <c r="F1761" s="167">
        <v>1</v>
      </c>
      <c r="G1761" s="168">
        <f>SUMIFS(Таблица1[[#This Row],[8]:[19]],$I$5:$T$5,"Выкуп")</f>
        <v>100.6</v>
      </c>
      <c r="H1761" s="168">
        <f>SUMIFS(Таблица1[[#This Row],[8]:[19]],$I$5:$T$5,"Аренда")</f>
        <v>0</v>
      </c>
      <c r="I1761" s="169"/>
      <c r="J1761" s="169"/>
      <c r="K1761" s="169">
        <v>100.6</v>
      </c>
      <c r="L1761" s="169"/>
      <c r="M1761" s="169"/>
      <c r="N1761" s="169"/>
      <c r="O1761" s="169"/>
      <c r="P1761" s="169"/>
      <c r="Q1761" s="169"/>
      <c r="R1761" s="169"/>
      <c r="S1761" s="169"/>
      <c r="T1761" s="169"/>
      <c r="U1761" s="170"/>
      <c r="V1761" s="171"/>
    </row>
    <row r="1762" spans="1:22" hidden="1" outlineLevel="2" x14ac:dyDescent="0.25">
      <c r="A1762" s="186">
        <f>SUMIFS(МКД!$A$6:$A$389,МКД!$D$6:$D$389,Таблица1[[#This Row],[2]])</f>
        <v>299</v>
      </c>
      <c r="B1762" s="168"/>
      <c r="C1762" s="182" t="s">
        <v>643</v>
      </c>
      <c r="D1762" s="167" t="s">
        <v>2378</v>
      </c>
      <c r="E1762" s="167" t="s">
        <v>2380</v>
      </c>
      <c r="F1762" s="167">
        <v>3</v>
      </c>
      <c r="G1762" s="168">
        <f>SUMIFS(Таблица1[[#This Row],[8]:[19]],$I$5:$T$5,"Выкуп")</f>
        <v>218.9</v>
      </c>
      <c r="H1762" s="168">
        <f>SUMIFS(Таблица1[[#This Row],[8]:[19]],$I$5:$T$5,"Аренда")</f>
        <v>0</v>
      </c>
      <c r="I1762" s="169">
        <v>218.9</v>
      </c>
      <c r="J1762" s="169"/>
      <c r="K1762" s="169"/>
      <c r="L1762" s="169"/>
      <c r="M1762" s="169"/>
      <c r="N1762" s="169"/>
      <c r="O1762" s="169"/>
      <c r="P1762" s="169"/>
      <c r="Q1762" s="169"/>
      <c r="R1762" s="169"/>
      <c r="S1762" s="169"/>
      <c r="T1762" s="169"/>
      <c r="U1762" s="170"/>
      <c r="V1762" s="171"/>
    </row>
    <row r="1763" spans="1:22" hidden="1" outlineLevel="2" x14ac:dyDescent="0.25">
      <c r="A1763" s="186">
        <f>SUMIFS(МКД!$A$6:$A$389,МКД!$D$6:$D$389,Таблица1[[#This Row],[2]])</f>
        <v>299</v>
      </c>
      <c r="B1763" s="168"/>
      <c r="C1763" s="182" t="s">
        <v>643</v>
      </c>
      <c r="D1763" s="167" t="s">
        <v>2015</v>
      </c>
      <c r="E1763" s="167" t="s">
        <v>2016</v>
      </c>
      <c r="F1763" s="167">
        <v>3</v>
      </c>
      <c r="G1763" s="168">
        <f>SUMIFS(Таблица1[[#This Row],[8]:[19]],$I$5:$T$5,"Выкуп")</f>
        <v>75.7</v>
      </c>
      <c r="H1763" s="168">
        <f>SUMIFS(Таблица1[[#This Row],[8]:[19]],$I$5:$T$5,"Аренда")</f>
        <v>0</v>
      </c>
      <c r="I1763" s="169">
        <v>75.7</v>
      </c>
      <c r="J1763" s="169"/>
      <c r="K1763" s="169"/>
      <c r="L1763" s="169"/>
      <c r="M1763" s="169"/>
      <c r="N1763" s="169"/>
      <c r="O1763" s="169"/>
      <c r="P1763" s="169"/>
      <c r="Q1763" s="169"/>
      <c r="R1763" s="169"/>
      <c r="S1763" s="169"/>
      <c r="T1763" s="169"/>
      <c r="U1763" s="170"/>
      <c r="V1763" s="171"/>
    </row>
    <row r="1764" spans="1:22" hidden="1" outlineLevel="2" x14ac:dyDescent="0.25">
      <c r="A1764" s="186">
        <f>SUMIFS(МКД!$A$6:$A$389,МКД!$D$6:$D$389,Таблица1[[#This Row],[2]])</f>
        <v>299</v>
      </c>
      <c r="B1764" s="168"/>
      <c r="C1764" s="182" t="s">
        <v>643</v>
      </c>
      <c r="D1764" s="167" t="s">
        <v>746</v>
      </c>
      <c r="E1764" s="167" t="s">
        <v>1447</v>
      </c>
      <c r="F1764" s="167">
        <v>2</v>
      </c>
      <c r="G1764" s="168">
        <f>SUMIFS(Таблица1[[#This Row],[8]:[19]],$I$5:$T$5,"Выкуп")</f>
        <v>71.3</v>
      </c>
      <c r="H1764" s="168">
        <f>SUMIFS(Таблица1[[#This Row],[8]:[19]],$I$5:$T$5,"Аренда")</f>
        <v>0</v>
      </c>
      <c r="I1764" s="169">
        <v>71.3</v>
      </c>
      <c r="J1764" s="169"/>
      <c r="K1764" s="169"/>
      <c r="L1764" s="169"/>
      <c r="M1764" s="169"/>
      <c r="N1764" s="169"/>
      <c r="O1764" s="169"/>
      <c r="P1764" s="169"/>
      <c r="Q1764" s="169"/>
      <c r="R1764" s="169"/>
      <c r="S1764" s="169"/>
      <c r="T1764" s="169"/>
      <c r="U1764" s="170"/>
      <c r="V1764" s="171"/>
    </row>
    <row r="1765" spans="1:22" hidden="1" outlineLevel="2" x14ac:dyDescent="0.25">
      <c r="A1765" s="186">
        <f>SUMIFS(МКД!$A$6:$A$389,МКД!$D$6:$D$389,Таблица1[[#This Row],[2]])</f>
        <v>299</v>
      </c>
      <c r="B1765" s="168"/>
      <c r="C1765" s="182" t="s">
        <v>643</v>
      </c>
      <c r="D1765" s="167" t="s">
        <v>1847</v>
      </c>
      <c r="E1765" s="167" t="s">
        <v>1846</v>
      </c>
      <c r="F1765" s="167">
        <v>1</v>
      </c>
      <c r="G1765" s="168">
        <f>SUMIFS(Таблица1[[#This Row],[8]:[19]],$I$5:$T$5,"Выкуп")</f>
        <v>40.5</v>
      </c>
      <c r="H1765" s="168">
        <f>SUMIFS(Таблица1[[#This Row],[8]:[19]],$I$5:$T$5,"Аренда")</f>
        <v>0</v>
      </c>
      <c r="I1765" s="169">
        <v>40.5</v>
      </c>
      <c r="J1765" s="169"/>
      <c r="K1765" s="169"/>
      <c r="L1765" s="169"/>
      <c r="M1765" s="169"/>
      <c r="N1765" s="169"/>
      <c r="O1765" s="169"/>
      <c r="P1765" s="169"/>
      <c r="Q1765" s="169"/>
      <c r="R1765" s="169"/>
      <c r="S1765" s="169"/>
      <c r="T1765" s="169"/>
      <c r="U1765" s="170"/>
      <c r="V1765" s="171"/>
    </row>
    <row r="1766" spans="1:22" hidden="1" outlineLevel="2" x14ac:dyDescent="0.25">
      <c r="A1766" s="186">
        <f>SUMIFS(МКД!$A$6:$A$389,МКД!$D$6:$D$389,Таблица1[[#This Row],[2]])</f>
        <v>299</v>
      </c>
      <c r="B1766" s="168"/>
      <c r="C1766" s="182" t="s">
        <v>643</v>
      </c>
      <c r="D1766" s="167" t="s">
        <v>1933</v>
      </c>
      <c r="E1766" s="167" t="s">
        <v>1932</v>
      </c>
      <c r="F1766" s="167">
        <v>3</v>
      </c>
      <c r="G1766" s="168">
        <f>SUMIFS(Таблица1[[#This Row],[8]:[19]],$I$5:$T$5,"Выкуп")</f>
        <v>57.1</v>
      </c>
      <c r="H1766" s="168">
        <f>SUMIFS(Таблица1[[#This Row],[8]:[19]],$I$5:$T$5,"Аренда")</f>
        <v>0</v>
      </c>
      <c r="I1766" s="169">
        <v>57.1</v>
      </c>
      <c r="J1766" s="169"/>
      <c r="K1766" s="169"/>
      <c r="L1766" s="169"/>
      <c r="M1766" s="169"/>
      <c r="N1766" s="169"/>
      <c r="O1766" s="169"/>
      <c r="P1766" s="169"/>
      <c r="Q1766" s="169"/>
      <c r="R1766" s="169"/>
      <c r="S1766" s="169"/>
      <c r="T1766" s="169"/>
      <c r="U1766" s="170"/>
      <c r="V1766" s="171"/>
    </row>
    <row r="1767" spans="1:22" hidden="1" outlineLevel="2" x14ac:dyDescent="0.25">
      <c r="A1767" s="186">
        <f>SUMIFS(МКД!$A$6:$A$389,МКД!$D$6:$D$389,Таблица1[[#This Row],[2]])</f>
        <v>299</v>
      </c>
      <c r="B1767" s="168"/>
      <c r="C1767" s="182" t="s">
        <v>643</v>
      </c>
      <c r="D1767" s="167" t="s">
        <v>2382</v>
      </c>
      <c r="E1767" s="167" t="s">
        <v>2383</v>
      </c>
      <c r="F1767" s="167">
        <v>2</v>
      </c>
      <c r="G1767" s="168">
        <f>SUMIFS(Таблица1[[#This Row],[8]:[19]],$I$5:$T$5,"Выкуп")</f>
        <v>429.6</v>
      </c>
      <c r="H1767" s="168">
        <f>SUMIFS(Таблица1[[#This Row],[8]:[19]],$I$5:$T$5,"Аренда")</f>
        <v>0</v>
      </c>
      <c r="I1767" s="169">
        <v>429.6</v>
      </c>
      <c r="J1767" s="169"/>
      <c r="K1767" s="169"/>
      <c r="L1767" s="169"/>
      <c r="M1767" s="169"/>
      <c r="N1767" s="169"/>
      <c r="O1767" s="169"/>
      <c r="P1767" s="169"/>
      <c r="Q1767" s="169"/>
      <c r="R1767" s="169"/>
      <c r="S1767" s="169"/>
      <c r="T1767" s="169"/>
      <c r="U1767" s="170"/>
      <c r="V1767" s="171"/>
    </row>
    <row r="1768" spans="1:22" hidden="1" outlineLevel="2" x14ac:dyDescent="0.25">
      <c r="A1768" s="186">
        <f>SUMIFS(МКД!$A$6:$A$389,МКД!$D$6:$D$389,Таблица1[[#This Row],[2]])</f>
        <v>299</v>
      </c>
      <c r="B1768" s="168"/>
      <c r="C1768" s="182" t="s">
        <v>643</v>
      </c>
      <c r="D1768" s="167" t="s">
        <v>2382</v>
      </c>
      <c r="E1768" s="167" t="s">
        <v>2381</v>
      </c>
      <c r="F1768" s="167">
        <v>1</v>
      </c>
      <c r="G1768" s="168">
        <f>SUMIFS(Таблица1[[#This Row],[8]:[19]],$I$5:$T$5,"Выкуп")</f>
        <v>78.099999999999994</v>
      </c>
      <c r="H1768" s="168">
        <f>SUMIFS(Таблица1[[#This Row],[8]:[19]],$I$5:$T$5,"Аренда")</f>
        <v>0</v>
      </c>
      <c r="I1768" s="169">
        <v>78.099999999999994</v>
      </c>
      <c r="J1768" s="169"/>
      <c r="K1768" s="169"/>
      <c r="L1768" s="169"/>
      <c r="M1768" s="169"/>
      <c r="N1768" s="169"/>
      <c r="O1768" s="169"/>
      <c r="P1768" s="169"/>
      <c r="Q1768" s="169"/>
      <c r="R1768" s="169"/>
      <c r="S1768" s="169"/>
      <c r="T1768" s="169"/>
      <c r="U1768" s="170"/>
      <c r="V1768" s="171"/>
    </row>
    <row r="1769" spans="1:22" hidden="1" outlineLevel="2" x14ac:dyDescent="0.25">
      <c r="A1769" s="186">
        <f>SUMIFS(МКД!$A$6:$A$389,МКД!$D$6:$D$389,Таблица1[[#This Row],[2]])</f>
        <v>299</v>
      </c>
      <c r="B1769" s="168"/>
      <c r="C1769" s="182" t="s">
        <v>643</v>
      </c>
      <c r="D1769" s="167" t="s">
        <v>2791</v>
      </c>
      <c r="E1769" s="167" t="s">
        <v>2535</v>
      </c>
      <c r="F1769" s="167">
        <v>1</v>
      </c>
      <c r="G1769" s="168">
        <f>SUMIFS(Таблица1[[#This Row],[8]:[19]],$I$5:$T$5,"Выкуп")</f>
        <v>0</v>
      </c>
      <c r="H1769" s="168">
        <f>SUMIFS(Таблица1[[#This Row],[8]:[19]],$I$5:$T$5,"Аренда")</f>
        <v>12.4</v>
      </c>
      <c r="I1769" s="169"/>
      <c r="J1769" s="169"/>
      <c r="K1769" s="169"/>
      <c r="L1769" s="169"/>
      <c r="M1769" s="169"/>
      <c r="N1769" s="169"/>
      <c r="O1769" s="167"/>
      <c r="P1769" s="169">
        <f>12.4</f>
        <v>12.4</v>
      </c>
      <c r="Q1769" s="169"/>
      <c r="R1769" s="169"/>
      <c r="S1769" s="169"/>
      <c r="T1769" s="169"/>
      <c r="U1769" s="170"/>
      <c r="V1769" s="171"/>
    </row>
    <row r="1770" spans="1:22" hidden="1" outlineLevel="2" x14ac:dyDescent="0.25">
      <c r="A1770" s="186">
        <f>SUMIFS(МКД!$A$6:$A$389,МКД!$D$6:$D$389,Таблица1[[#This Row],[2]])</f>
        <v>299</v>
      </c>
      <c r="B1770" s="168"/>
      <c r="C1770" s="182" t="s">
        <v>643</v>
      </c>
      <c r="D1770" s="167" t="s">
        <v>24</v>
      </c>
      <c r="E1770" s="167" t="s">
        <v>2384</v>
      </c>
      <c r="F1770" s="167">
        <v>2</v>
      </c>
      <c r="G1770" s="168">
        <f>SUMIFS(Таблица1[[#This Row],[8]:[19]],$I$5:$T$5,"Выкуп")</f>
        <v>40.9</v>
      </c>
      <c r="H1770" s="168">
        <f>SUMIFS(Таблица1[[#This Row],[8]:[19]],$I$5:$T$5,"Аренда")</f>
        <v>0</v>
      </c>
      <c r="I1770" s="169">
        <v>40.9</v>
      </c>
      <c r="J1770" s="169"/>
      <c r="K1770" s="169"/>
      <c r="L1770" s="169"/>
      <c r="M1770" s="169"/>
      <c r="N1770" s="169"/>
      <c r="O1770" s="169"/>
      <c r="P1770" s="169"/>
      <c r="Q1770" s="169"/>
      <c r="R1770" s="169"/>
      <c r="S1770" s="169"/>
      <c r="T1770" s="169"/>
      <c r="U1770" s="170"/>
      <c r="V1770" s="171"/>
    </row>
    <row r="1771" spans="1:22" hidden="1" outlineLevel="2" x14ac:dyDescent="0.25">
      <c r="A1771" s="186">
        <f>SUMIFS(МКД!$A$6:$A$389,МКД!$D$6:$D$389,Таблица1[[#This Row],[2]])</f>
        <v>299</v>
      </c>
      <c r="B1771" s="168"/>
      <c r="C1771" s="182" t="s">
        <v>643</v>
      </c>
      <c r="D1771" s="167" t="s">
        <v>29</v>
      </c>
      <c r="E1771" s="167" t="s">
        <v>1845</v>
      </c>
      <c r="F1771" s="167">
        <v>3</v>
      </c>
      <c r="G1771" s="168">
        <f>SUMIFS(Таблица1[[#This Row],[8]:[19]],$I$5:$T$5,"Выкуп")</f>
        <v>53.9</v>
      </c>
      <c r="H1771" s="168">
        <f>SUMIFS(Таблица1[[#This Row],[8]:[19]],$I$5:$T$5,"Аренда")</f>
        <v>0</v>
      </c>
      <c r="I1771" s="169">
        <v>53.9</v>
      </c>
      <c r="J1771" s="169"/>
      <c r="K1771" s="169"/>
      <c r="L1771" s="169"/>
      <c r="M1771" s="169"/>
      <c r="N1771" s="169"/>
      <c r="O1771" s="169"/>
      <c r="P1771" s="169"/>
      <c r="Q1771" s="169"/>
      <c r="R1771" s="169"/>
      <c r="S1771" s="169"/>
      <c r="T1771" s="169"/>
      <c r="U1771" s="170"/>
      <c r="V1771" s="171"/>
    </row>
    <row r="1772" spans="1:22" hidden="1" outlineLevel="2" x14ac:dyDescent="0.25">
      <c r="A1772" s="186">
        <f>SUMIFS(МКД!$A$6:$A$389,МКД!$D$6:$D$389,Таблица1[[#This Row],[2]])</f>
        <v>299</v>
      </c>
      <c r="B1772" s="168"/>
      <c r="C1772" s="182" t="s">
        <v>643</v>
      </c>
      <c r="D1772" s="167" t="s">
        <v>189</v>
      </c>
      <c r="E1772" s="167" t="s">
        <v>112</v>
      </c>
      <c r="F1772" s="167"/>
      <c r="G1772" s="168">
        <f>SUMIFS(Таблица1[[#This Row],[8]:[19]],$I$5:$T$5,"Выкуп")</f>
        <v>0</v>
      </c>
      <c r="H1772" s="168">
        <f>SUMIFS(Таблица1[[#This Row],[8]:[19]],$I$5:$T$5,"Аренда")</f>
        <v>57.2</v>
      </c>
      <c r="I1772" s="169"/>
      <c r="J1772" s="169"/>
      <c r="K1772" s="167"/>
      <c r="L1772" s="169">
        <v>57.2</v>
      </c>
      <c r="M1772" s="169"/>
      <c r="N1772" s="169"/>
      <c r="O1772" s="169"/>
      <c r="P1772" s="169"/>
      <c r="Q1772" s="169"/>
      <c r="R1772" s="169"/>
      <c r="S1772" s="169"/>
      <c r="T1772" s="169"/>
      <c r="U1772" s="170"/>
      <c r="V1772" s="171"/>
    </row>
    <row r="1773" spans="1:22" hidden="1" outlineLevel="2" x14ac:dyDescent="0.25">
      <c r="A1773" s="186">
        <f>SUMIFS(МКД!$A$6:$A$389,МКД!$D$6:$D$389,Таблица1[[#This Row],[2]])</f>
        <v>299</v>
      </c>
      <c r="B1773" s="168"/>
      <c r="C1773" s="182" t="s">
        <v>643</v>
      </c>
      <c r="D1773" s="167" t="s">
        <v>1394</v>
      </c>
      <c r="E1773" s="167" t="s">
        <v>2752</v>
      </c>
      <c r="F1773" s="167"/>
      <c r="G1773" s="168">
        <f>SUMIFS(Таблица1[[#This Row],[8]:[19]],$I$5:$T$5,"Выкуп")</f>
        <v>377</v>
      </c>
      <c r="H1773" s="168">
        <f>SUMIFS(Таблица1[[#This Row],[8]:[19]],$I$5:$T$5,"Аренда")</f>
        <v>0</v>
      </c>
      <c r="I1773" s="169"/>
      <c r="J1773" s="169"/>
      <c r="K1773" s="167"/>
      <c r="L1773" s="169"/>
      <c r="M1773" s="169">
        <v>377</v>
      </c>
      <c r="N1773" s="169"/>
      <c r="O1773" s="169"/>
      <c r="P1773" s="169"/>
      <c r="Q1773" s="169"/>
      <c r="R1773" s="169"/>
      <c r="S1773" s="169"/>
      <c r="T1773" s="169"/>
      <c r="U1773" s="170"/>
      <c r="V1773" s="171"/>
    </row>
    <row r="1774" spans="1:22" ht="15" outlineLevel="1" collapsed="1" x14ac:dyDescent="0.25">
      <c r="A1774" s="186">
        <f>SUMIFS(МКД!$A$6:$A$389,МКД!$D$6:$D$389,Таблица1[[#This Row],[2]])</f>
        <v>300</v>
      </c>
      <c r="B1774" s="194">
        <f>SUMIFS(Таблица1[6],Таблица1[2],Таблица1[[#This Row],[2]])+SUMIFS(Таблица1[7],Таблица1[2],Таблица1[[#This Row],[2]])</f>
        <v>880.19999999999993</v>
      </c>
      <c r="C1774" s="185" t="s">
        <v>644</v>
      </c>
      <c r="D1774" s="196"/>
      <c r="E1774" s="196"/>
      <c r="F1774" s="196"/>
      <c r="G1774" s="168"/>
      <c r="H1774" s="197"/>
      <c r="I1774" s="196"/>
      <c r="J1774" s="196"/>
      <c r="K1774" s="196"/>
      <c r="L1774" s="196"/>
      <c r="M1774" s="196"/>
      <c r="N1774" s="196"/>
      <c r="O1774" s="196"/>
      <c r="P1774" s="196"/>
      <c r="Q1774" s="196"/>
      <c r="R1774" s="196"/>
      <c r="S1774" s="196"/>
      <c r="T1774" s="196"/>
      <c r="U1774" s="196"/>
      <c r="V1774" s="198"/>
    </row>
    <row r="1775" spans="1:22" hidden="1" outlineLevel="2" x14ac:dyDescent="0.25">
      <c r="A1775" s="186">
        <f>SUMIFS(МКД!$A$6:$A$389,МКД!$D$6:$D$389,Таблица1[[#This Row],[2]])</f>
        <v>300</v>
      </c>
      <c r="B1775" s="170"/>
      <c r="C1775" s="182" t="s">
        <v>644</v>
      </c>
      <c r="D1775" s="167" t="s">
        <v>1053</v>
      </c>
      <c r="E1775" s="167" t="s">
        <v>1828</v>
      </c>
      <c r="F1775" s="167">
        <v>1</v>
      </c>
      <c r="G1775" s="168">
        <f>SUMIFS(Таблица1[[#This Row],[8]:[19]],$I$5:$T$5,"Выкуп")</f>
        <v>342</v>
      </c>
      <c r="H1775" s="168">
        <f>SUMIFS(Таблица1[[#This Row],[8]:[19]],$I$5:$T$5,"Аренда")</f>
        <v>0</v>
      </c>
      <c r="I1775" s="169"/>
      <c r="J1775" s="169"/>
      <c r="K1775" s="169">
        <v>342</v>
      </c>
      <c r="L1775" s="169"/>
      <c r="M1775" s="169"/>
      <c r="N1775" s="169"/>
      <c r="O1775" s="169"/>
      <c r="P1775" s="169"/>
      <c r="Q1775" s="169"/>
      <c r="R1775" s="169"/>
      <c r="S1775" s="169"/>
      <c r="T1775" s="169"/>
      <c r="U1775" s="170"/>
      <c r="V1775" s="171"/>
    </row>
    <row r="1776" spans="1:22" hidden="1" outlineLevel="2" x14ac:dyDescent="0.25">
      <c r="A1776" s="186">
        <f>SUMIFS(МКД!$A$6:$A$389,МКД!$D$6:$D$389,Таблица1[[#This Row],[2]])</f>
        <v>300</v>
      </c>
      <c r="B1776" s="170"/>
      <c r="C1776" s="182" t="s">
        <v>644</v>
      </c>
      <c r="D1776" s="167" t="s">
        <v>1053</v>
      </c>
      <c r="E1776" s="319" t="s">
        <v>2634</v>
      </c>
      <c r="F1776" s="167">
        <v>1</v>
      </c>
      <c r="G1776" s="168">
        <f>SUMIFS(Таблица1[[#This Row],[8]:[19]],$I$5:$T$5,"Выкуп")</f>
        <v>10.000000000000002</v>
      </c>
      <c r="H1776" s="168">
        <f>SUMIFS(Таблица1[[#This Row],[8]:[19]],$I$5:$T$5,"Аренда")</f>
        <v>0</v>
      </c>
      <c r="I1776" s="278">
        <f>29.1-I1777-I1778</f>
        <v>10.000000000000002</v>
      </c>
      <c r="J1776" s="169"/>
      <c r="K1776" s="169"/>
      <c r="L1776" s="169"/>
      <c r="M1776" s="169"/>
      <c r="N1776" s="169"/>
      <c r="O1776" s="169"/>
      <c r="P1776" s="169"/>
      <c r="Q1776" s="169"/>
      <c r="R1776" s="169"/>
      <c r="S1776" s="169"/>
      <c r="T1776" s="169"/>
      <c r="U1776" s="170"/>
      <c r="V1776" s="171"/>
    </row>
    <row r="1777" spans="1:22" hidden="1" outlineLevel="2" x14ac:dyDescent="0.25">
      <c r="A1777" s="186">
        <f>SUMIFS(МКД!$A$6:$A$389,МКД!$D$6:$D$389,Таблица1[[#This Row],[2]])</f>
        <v>300</v>
      </c>
      <c r="B1777" s="170"/>
      <c r="C1777" s="182" t="s">
        <v>644</v>
      </c>
      <c r="D1777" s="167" t="s">
        <v>2630</v>
      </c>
      <c r="E1777" s="167" t="s">
        <v>2635</v>
      </c>
      <c r="F1777" s="167">
        <v>1</v>
      </c>
      <c r="G1777" s="168">
        <f>SUMIFS(Таблица1[[#This Row],[8]:[19]],$I$5:$T$5,"Выкуп")</f>
        <v>10</v>
      </c>
      <c r="H1777" s="168">
        <f>SUMIFS(Таблица1[[#This Row],[8]:[19]],$I$5:$T$5,"Аренда")</f>
        <v>0</v>
      </c>
      <c r="I1777" s="169">
        <v>10</v>
      </c>
      <c r="J1777" s="169"/>
      <c r="K1777" s="169"/>
      <c r="L1777" s="169"/>
      <c r="M1777" s="169"/>
      <c r="N1777" s="169"/>
      <c r="O1777" s="169"/>
      <c r="P1777" s="169"/>
      <c r="Q1777" s="169"/>
      <c r="R1777" s="169"/>
      <c r="S1777" s="169"/>
      <c r="T1777" s="169"/>
      <c r="U1777" s="170"/>
      <c r="V1777" s="171"/>
    </row>
    <row r="1778" spans="1:22" hidden="1" outlineLevel="2" x14ac:dyDescent="0.25">
      <c r="A1778" s="186">
        <f>SUMIFS(МКД!$A$6:$A$389,МКД!$D$6:$D$389,Таблица1[[#This Row],[2]])</f>
        <v>300</v>
      </c>
      <c r="B1778" s="170"/>
      <c r="C1778" s="182" t="s">
        <v>644</v>
      </c>
      <c r="D1778" s="167" t="s">
        <v>2630</v>
      </c>
      <c r="E1778" s="167" t="s">
        <v>2636</v>
      </c>
      <c r="F1778" s="167">
        <v>1</v>
      </c>
      <c r="G1778" s="168">
        <f>SUMIFS(Таблица1[[#This Row],[8]:[19]],$I$5:$T$5,"Выкуп")</f>
        <v>9.1</v>
      </c>
      <c r="H1778" s="168">
        <f>SUMIFS(Таблица1[[#This Row],[8]:[19]],$I$5:$T$5,"Аренда")</f>
        <v>0</v>
      </c>
      <c r="I1778" s="169">
        <v>9.1</v>
      </c>
      <c r="J1778" s="169"/>
      <c r="K1778" s="169"/>
      <c r="L1778" s="169"/>
      <c r="M1778" s="169"/>
      <c r="N1778" s="169"/>
      <c r="O1778" s="169"/>
      <c r="P1778" s="169"/>
      <c r="Q1778" s="169"/>
      <c r="R1778" s="169"/>
      <c r="S1778" s="169"/>
      <c r="T1778" s="169"/>
      <c r="U1778" s="170"/>
      <c r="V1778" s="171"/>
    </row>
    <row r="1779" spans="1:22" hidden="1" outlineLevel="2" x14ac:dyDescent="0.25">
      <c r="A1779" s="186">
        <f>SUMIFS(МКД!$A$6:$A$389,МКД!$D$6:$D$389,Таблица1[[#This Row],[2]])</f>
        <v>300</v>
      </c>
      <c r="B1779" s="168"/>
      <c r="C1779" s="182" t="s">
        <v>644</v>
      </c>
      <c r="D1779" s="167" t="s">
        <v>2387</v>
      </c>
      <c r="E1779" s="167" t="s">
        <v>1827</v>
      </c>
      <c r="F1779" s="167">
        <v>1</v>
      </c>
      <c r="G1779" s="168">
        <f>SUMIFS(Таблица1[[#This Row],[8]:[19]],$I$5:$T$5,"Выкуп")</f>
        <v>128.69999999999999</v>
      </c>
      <c r="H1779" s="168">
        <f>SUMIFS(Таблица1[[#This Row],[8]:[19]],$I$5:$T$5,"Аренда")</f>
        <v>0</v>
      </c>
      <c r="I1779" s="169">
        <v>128.69999999999999</v>
      </c>
      <c r="J1779" s="169"/>
      <c r="K1779" s="169"/>
      <c r="L1779" s="169"/>
      <c r="M1779" s="169"/>
      <c r="N1779" s="169"/>
      <c r="O1779" s="169"/>
      <c r="P1779" s="169"/>
      <c r="Q1779" s="169"/>
      <c r="R1779" s="169"/>
      <c r="S1779" s="169"/>
      <c r="T1779" s="169"/>
      <c r="U1779" s="170"/>
      <c r="V1779" s="171"/>
    </row>
    <row r="1780" spans="1:22" hidden="1" outlineLevel="2" x14ac:dyDescent="0.25">
      <c r="A1780" s="186">
        <f>SUMIFS(МКД!$A$6:$A$389,МКД!$D$6:$D$389,Таблица1[[#This Row],[2]])</f>
        <v>300</v>
      </c>
      <c r="B1780" s="168"/>
      <c r="C1780" s="182" t="s">
        <v>644</v>
      </c>
      <c r="D1780" s="167" t="s">
        <v>2623</v>
      </c>
      <c r="E1780" s="167" t="s">
        <v>2386</v>
      </c>
      <c r="F1780" s="167">
        <v>1</v>
      </c>
      <c r="G1780" s="168">
        <f>SUMIFS(Таблица1[[#This Row],[8]:[19]],$I$5:$T$5,"Выкуп")</f>
        <v>73.5</v>
      </c>
      <c r="H1780" s="168">
        <f>SUMIFS(Таблица1[[#This Row],[8]:[19]],$I$5:$T$5,"Аренда")</f>
        <v>0</v>
      </c>
      <c r="I1780" s="169">
        <v>73.5</v>
      </c>
      <c r="J1780" s="169"/>
      <c r="K1780" s="169"/>
      <c r="L1780" s="169"/>
      <c r="M1780" s="169"/>
      <c r="N1780" s="169"/>
      <c r="O1780" s="169"/>
      <c r="P1780" s="169"/>
      <c r="Q1780" s="169"/>
      <c r="R1780" s="169"/>
      <c r="S1780" s="169"/>
      <c r="T1780" s="169"/>
      <c r="U1780" s="170"/>
      <c r="V1780" s="171"/>
    </row>
    <row r="1781" spans="1:22" hidden="1" outlineLevel="2" x14ac:dyDescent="0.25">
      <c r="A1781" s="186">
        <f>SUMIFS(МКД!$A$6:$A$389,МКД!$D$6:$D$389,Таблица1[[#This Row],[2]])</f>
        <v>300</v>
      </c>
      <c r="B1781" s="168"/>
      <c r="C1781" s="182" t="s">
        <v>644</v>
      </c>
      <c r="D1781" s="167" t="s">
        <v>2385</v>
      </c>
      <c r="E1781" s="167" t="s">
        <v>1415</v>
      </c>
      <c r="F1781" s="167">
        <v>1</v>
      </c>
      <c r="G1781" s="168">
        <f>SUMIFS(Таблица1[[#This Row],[8]:[19]],$I$5:$T$5,"Выкуп")</f>
        <v>84.5</v>
      </c>
      <c r="H1781" s="168">
        <f>SUMIFS(Таблица1[[#This Row],[8]:[19]],$I$5:$T$5,"Аренда")</f>
        <v>0</v>
      </c>
      <c r="I1781" s="169">
        <v>84.5</v>
      </c>
      <c r="J1781" s="169"/>
      <c r="K1781" s="169"/>
      <c r="L1781" s="169"/>
      <c r="M1781" s="169"/>
      <c r="N1781" s="169"/>
      <c r="O1781" s="169"/>
      <c r="P1781" s="169"/>
      <c r="Q1781" s="169"/>
      <c r="R1781" s="169"/>
      <c r="S1781" s="169"/>
      <c r="T1781" s="169"/>
      <c r="U1781" s="170"/>
      <c r="V1781" s="171"/>
    </row>
    <row r="1782" spans="1:22" hidden="1" outlineLevel="2" x14ac:dyDescent="0.25">
      <c r="A1782" s="186">
        <f>SUMIFS(МКД!$A$6:$A$389,МКД!$D$6:$D$389,Таблица1[[#This Row],[2]])</f>
        <v>300</v>
      </c>
      <c r="B1782" s="168"/>
      <c r="C1782" s="182" t="s">
        <v>644</v>
      </c>
      <c r="D1782" s="167" t="s">
        <v>289</v>
      </c>
      <c r="E1782" s="167" t="s">
        <v>1414</v>
      </c>
      <c r="F1782" s="167">
        <v>1</v>
      </c>
      <c r="G1782" s="168">
        <f>SUMIFS(Таблица1[[#This Row],[8]:[19]],$I$5:$T$5,"Выкуп")</f>
        <v>61.5</v>
      </c>
      <c r="H1782" s="168">
        <f>SUMIFS(Таблица1[[#This Row],[8]:[19]],$I$5:$T$5,"Аренда")</f>
        <v>0</v>
      </c>
      <c r="I1782" s="169">
        <v>61.5</v>
      </c>
      <c r="J1782" s="169"/>
      <c r="K1782" s="169"/>
      <c r="L1782" s="169"/>
      <c r="M1782" s="169"/>
      <c r="N1782" s="169"/>
      <c r="O1782" s="169"/>
      <c r="P1782" s="169"/>
      <c r="Q1782" s="169"/>
      <c r="R1782" s="169"/>
      <c r="S1782" s="169"/>
      <c r="T1782" s="169"/>
      <c r="U1782" s="170"/>
      <c r="V1782" s="171"/>
    </row>
    <row r="1783" spans="1:22" hidden="1" outlineLevel="2" x14ac:dyDescent="0.25">
      <c r="A1783" s="186">
        <f>SUMIFS(МКД!$A$6:$A$389,МКД!$D$6:$D$389,Таблица1[[#This Row],[2]])</f>
        <v>300</v>
      </c>
      <c r="B1783" s="168"/>
      <c r="C1783" s="182" t="s">
        <v>644</v>
      </c>
      <c r="D1783" s="167" t="s">
        <v>1394</v>
      </c>
      <c r="E1783" s="167" t="s">
        <v>2752</v>
      </c>
      <c r="F1783" s="167">
        <v>1</v>
      </c>
      <c r="G1783" s="168">
        <f>SUMIFS(Таблица1[[#This Row],[8]:[19]],$I$5:$T$5,"Выкуп")</f>
        <v>160.9</v>
      </c>
      <c r="H1783" s="168">
        <f>SUMIFS(Таблица1[[#This Row],[8]:[19]],$I$5:$T$5,"Аренда")</f>
        <v>0</v>
      </c>
      <c r="I1783" s="169"/>
      <c r="J1783" s="169"/>
      <c r="K1783" s="169"/>
      <c r="L1783" s="169"/>
      <c r="M1783" s="169">
        <v>160.9</v>
      </c>
      <c r="N1783" s="169"/>
      <c r="O1783" s="169"/>
      <c r="P1783" s="169"/>
      <c r="Q1783" s="169"/>
      <c r="R1783" s="169"/>
      <c r="S1783" s="169"/>
      <c r="T1783" s="169"/>
      <c r="U1783" s="170"/>
      <c r="V1783" s="171"/>
    </row>
    <row r="1784" spans="1:22" ht="15" outlineLevel="1" collapsed="1" x14ac:dyDescent="0.25">
      <c r="A1784" s="186">
        <f>SUMIFS(МКД!$A$6:$A$389,МКД!$D$6:$D$389,Таблица1[[#This Row],[2]])</f>
        <v>301</v>
      </c>
      <c r="B1784" s="194">
        <f>SUMIFS(Таблица1[6],Таблица1[2],Таблица1[[#This Row],[2]])+SUMIFS(Таблица1[7],Таблица1[2],Таблица1[[#This Row],[2]])</f>
        <v>250.1</v>
      </c>
      <c r="C1784" s="185" t="s">
        <v>645</v>
      </c>
      <c r="D1784" s="196"/>
      <c r="E1784" s="196"/>
      <c r="F1784" s="196"/>
      <c r="G1784" s="168"/>
      <c r="H1784" s="197"/>
      <c r="I1784" s="196"/>
      <c r="J1784" s="196"/>
      <c r="K1784" s="196"/>
      <c r="L1784" s="196"/>
      <c r="M1784" s="196"/>
      <c r="N1784" s="196"/>
      <c r="O1784" s="196"/>
      <c r="P1784" s="196"/>
      <c r="Q1784" s="196"/>
      <c r="R1784" s="196"/>
      <c r="S1784" s="196"/>
      <c r="T1784" s="196"/>
      <c r="U1784" s="196"/>
      <c r="V1784" s="198"/>
    </row>
    <row r="1785" spans="1:22" hidden="1" outlineLevel="2" x14ac:dyDescent="0.25">
      <c r="A1785" s="186">
        <f>SUMIFS(МКД!$A$6:$A$389,МКД!$D$6:$D$389,Таблица1[[#This Row],[2]])</f>
        <v>301</v>
      </c>
      <c r="B1785" s="170"/>
      <c r="C1785" s="182" t="s">
        <v>645</v>
      </c>
      <c r="D1785" s="167" t="s">
        <v>2676</v>
      </c>
      <c r="E1785" s="167" t="s">
        <v>2677</v>
      </c>
      <c r="F1785" s="167">
        <v>1</v>
      </c>
      <c r="G1785" s="168">
        <f>SUMIFS(Таблица1[[#This Row],[8]:[19]],$I$5:$T$5,"Выкуп")</f>
        <v>250.1</v>
      </c>
      <c r="H1785" s="168">
        <f>SUMIFS(Таблица1[[#This Row],[8]:[19]],$I$5:$T$5,"Аренда")</f>
        <v>0</v>
      </c>
      <c r="I1785" s="169"/>
      <c r="J1785" s="169"/>
      <c r="K1785" s="169">
        <v>250.1</v>
      </c>
      <c r="L1785" s="169"/>
      <c r="M1785" s="169"/>
      <c r="N1785" s="169"/>
      <c r="O1785" s="169"/>
      <c r="P1785" s="169"/>
      <c r="Q1785" s="169"/>
      <c r="R1785" s="169"/>
      <c r="S1785" s="169"/>
      <c r="T1785" s="169"/>
      <c r="U1785" s="170"/>
      <c r="V1785" s="171"/>
    </row>
    <row r="1786" spans="1:22" ht="15" outlineLevel="1" collapsed="1" x14ac:dyDescent="0.25">
      <c r="A1786" s="186">
        <f>SUMIFS(МКД!$A$6:$A$389,МКД!$D$6:$D$389,Таблица1[[#This Row],[2]])</f>
        <v>304</v>
      </c>
      <c r="B1786" s="194">
        <f>SUMIFS(Таблица1[6],Таблица1[2],Таблица1[[#This Row],[2]])+SUMIFS(Таблица1[7],Таблица1[2],Таблица1[[#This Row],[2]])</f>
        <v>22.4</v>
      </c>
      <c r="C1786" s="185" t="s">
        <v>657</v>
      </c>
      <c r="D1786" s="196"/>
      <c r="E1786" s="196"/>
      <c r="F1786" s="196"/>
      <c r="G1786" s="168"/>
      <c r="H1786" s="197"/>
      <c r="I1786" s="196"/>
      <c r="J1786" s="196"/>
      <c r="K1786" s="196"/>
      <c r="L1786" s="196"/>
      <c r="M1786" s="196"/>
      <c r="N1786" s="196"/>
      <c r="O1786" s="196"/>
      <c r="P1786" s="196"/>
      <c r="Q1786" s="196"/>
      <c r="R1786" s="196"/>
      <c r="S1786" s="196"/>
      <c r="T1786" s="196"/>
      <c r="U1786" s="196"/>
      <c r="V1786" s="198"/>
    </row>
    <row r="1787" spans="1:22" hidden="1" outlineLevel="2" x14ac:dyDescent="0.25">
      <c r="A1787" s="186">
        <f>SUMIFS(МКД!$A$6:$A$389,МКД!$D$6:$D$389,Таблица1[[#This Row],[2]])</f>
        <v>304</v>
      </c>
      <c r="B1787" s="170"/>
      <c r="C1787" s="182" t="s">
        <v>657</v>
      </c>
      <c r="D1787" s="167" t="s">
        <v>1053</v>
      </c>
      <c r="E1787" s="167" t="s">
        <v>1949</v>
      </c>
      <c r="F1787" s="167"/>
      <c r="G1787" s="168">
        <f>SUMIFS(Таблица1[[#This Row],[8]:[19]],$I$5:$T$5,"Выкуп")</f>
        <v>22.4</v>
      </c>
      <c r="H1787" s="168">
        <f>SUMIFS(Таблица1[[#This Row],[8]:[19]],$I$5:$T$5,"Аренда")</f>
        <v>0</v>
      </c>
      <c r="I1787" s="169">
        <v>22.4</v>
      </c>
      <c r="J1787" s="169"/>
      <c r="K1787" s="169"/>
      <c r="L1787" s="169"/>
      <c r="M1787" s="169"/>
      <c r="N1787" s="169"/>
      <c r="O1787" s="169"/>
      <c r="P1787" s="169"/>
      <c r="Q1787" s="169"/>
      <c r="R1787" s="169"/>
      <c r="S1787" s="169"/>
      <c r="T1787" s="169"/>
      <c r="U1787" s="170"/>
      <c r="V1787" s="171"/>
    </row>
    <row r="1788" spans="1:22" ht="15" outlineLevel="1" collapsed="1" x14ac:dyDescent="0.25">
      <c r="A1788" s="186">
        <f>SUMIFS(МКД!$A$6:$A$389,МКД!$D$6:$D$389,Таблица1[[#This Row],[2]])</f>
        <v>305</v>
      </c>
      <c r="B1788" s="194">
        <f>SUMIFS(Таблица1[6],Таблица1[2],Таблица1[[#This Row],[2]])+SUMIFS(Таблица1[7],Таблица1[2],Таблица1[[#This Row],[2]])</f>
        <v>956.30000000000007</v>
      </c>
      <c r="C1788" s="185" t="s">
        <v>646</v>
      </c>
      <c r="D1788" s="196"/>
      <c r="E1788" s="196"/>
      <c r="F1788" s="196"/>
      <c r="G1788" s="168"/>
      <c r="H1788" s="197"/>
      <c r="I1788" s="196"/>
      <c r="J1788" s="196"/>
      <c r="K1788" s="196"/>
      <c r="L1788" s="196"/>
      <c r="M1788" s="196"/>
      <c r="N1788" s="196"/>
      <c r="O1788" s="196"/>
      <c r="P1788" s="196"/>
      <c r="Q1788" s="196"/>
      <c r="R1788" s="196"/>
      <c r="S1788" s="196"/>
      <c r="T1788" s="196"/>
      <c r="U1788" s="196"/>
      <c r="V1788" s="198"/>
    </row>
    <row r="1789" spans="1:22" hidden="1" outlineLevel="2" x14ac:dyDescent="0.25">
      <c r="A1789" s="186">
        <f>SUMIFS(МКД!$A$6:$A$389,МКД!$D$6:$D$389,Таблица1[[#This Row],[2]])</f>
        <v>305</v>
      </c>
      <c r="B1789" s="170"/>
      <c r="C1789" s="182" t="s">
        <v>646</v>
      </c>
      <c r="D1789" s="167" t="s">
        <v>1628</v>
      </c>
      <c r="E1789" s="167" t="s">
        <v>1934</v>
      </c>
      <c r="F1789" s="167">
        <v>3</v>
      </c>
      <c r="G1789" s="168">
        <f>SUMIFS(Таблица1[[#This Row],[8]:[19]],$I$5:$T$5,"Выкуп")</f>
        <v>181.2</v>
      </c>
      <c r="H1789" s="168">
        <f>SUMIFS(Таблица1[[#This Row],[8]:[19]],$I$5:$T$5,"Аренда")</f>
        <v>0</v>
      </c>
      <c r="I1789" s="169">
        <v>181.2</v>
      </c>
      <c r="J1789" s="169"/>
      <c r="K1789" s="169"/>
      <c r="L1789" s="169"/>
      <c r="M1789" s="169"/>
      <c r="N1789" s="169"/>
      <c r="O1789" s="169"/>
      <c r="P1789" s="169"/>
      <c r="Q1789" s="169"/>
      <c r="R1789" s="169"/>
      <c r="S1789" s="169"/>
      <c r="T1789" s="169"/>
      <c r="U1789" s="170"/>
      <c r="V1789" s="171"/>
    </row>
    <row r="1790" spans="1:22" hidden="1" outlineLevel="2" x14ac:dyDescent="0.25">
      <c r="A1790" s="186">
        <f>SUMIFS(МКД!$A$6:$A$389,МКД!$D$6:$D$389,Таблица1[[#This Row],[2]])</f>
        <v>305</v>
      </c>
      <c r="B1790" s="168"/>
      <c r="C1790" s="182" t="s">
        <v>646</v>
      </c>
      <c r="D1790" s="167" t="s">
        <v>2396</v>
      </c>
      <c r="E1790" s="167" t="s">
        <v>2395</v>
      </c>
      <c r="F1790" s="167">
        <v>2</v>
      </c>
      <c r="G1790" s="168">
        <f>SUMIFS(Таблица1[[#This Row],[8]:[19]],$I$5:$T$5,"Выкуп")</f>
        <v>71.2</v>
      </c>
      <c r="H1790" s="168">
        <f>SUMIFS(Таблица1[[#This Row],[8]:[19]],$I$5:$T$5,"Аренда")</f>
        <v>0</v>
      </c>
      <c r="I1790" s="169">
        <v>71.2</v>
      </c>
      <c r="J1790" s="169"/>
      <c r="K1790" s="169"/>
      <c r="L1790" s="169"/>
      <c r="M1790" s="169"/>
      <c r="N1790" s="169"/>
      <c r="O1790" s="169"/>
      <c r="P1790" s="169"/>
      <c r="Q1790" s="169"/>
      <c r="R1790" s="169"/>
      <c r="S1790" s="169"/>
      <c r="T1790" s="169"/>
      <c r="U1790" s="170"/>
      <c r="V1790" s="171"/>
    </row>
    <row r="1791" spans="1:22" hidden="1" outlineLevel="2" x14ac:dyDescent="0.25">
      <c r="A1791" s="186">
        <f>SUMIFS(МКД!$A$6:$A$389,МКД!$D$6:$D$389,Таблица1[[#This Row],[2]])</f>
        <v>305</v>
      </c>
      <c r="B1791" s="168"/>
      <c r="C1791" s="182" t="s">
        <v>646</v>
      </c>
      <c r="D1791" s="167" t="s">
        <v>2397</v>
      </c>
      <c r="E1791" s="167" t="s">
        <v>2398</v>
      </c>
      <c r="F1791" s="167">
        <v>2</v>
      </c>
      <c r="G1791" s="168">
        <f>SUMIFS(Таблица1[[#This Row],[8]:[19]],$I$5:$T$5,"Выкуп")</f>
        <v>32.799999999999997</v>
      </c>
      <c r="H1791" s="168">
        <f>SUMIFS(Таблица1[[#This Row],[8]:[19]],$I$5:$T$5,"Аренда")</f>
        <v>0</v>
      </c>
      <c r="I1791" s="169">
        <v>32.799999999999997</v>
      </c>
      <c r="J1791" s="169"/>
      <c r="K1791" s="169"/>
      <c r="L1791" s="169"/>
      <c r="M1791" s="169"/>
      <c r="N1791" s="169"/>
      <c r="O1791" s="169"/>
      <c r="P1791" s="169"/>
      <c r="Q1791" s="169"/>
      <c r="R1791" s="169"/>
      <c r="S1791" s="169"/>
      <c r="T1791" s="169"/>
      <c r="U1791" s="170"/>
      <c r="V1791" s="171"/>
    </row>
    <row r="1792" spans="1:22" hidden="1" outlineLevel="2" x14ac:dyDescent="0.25">
      <c r="A1792" s="186">
        <f>SUMIFS(МКД!$A$6:$A$389,МКД!$D$6:$D$389,Таблица1[[#This Row],[2]])</f>
        <v>305</v>
      </c>
      <c r="B1792" s="168"/>
      <c r="C1792" s="182" t="s">
        <v>646</v>
      </c>
      <c r="D1792" s="167" t="s">
        <v>1843</v>
      </c>
      <c r="E1792" s="167" t="s">
        <v>1158</v>
      </c>
      <c r="F1792" s="167">
        <v>1</v>
      </c>
      <c r="G1792" s="168">
        <f>SUMIFS(Таблица1[[#This Row],[8]:[19]],$I$5:$T$5,"Выкуп")</f>
        <v>32.1</v>
      </c>
      <c r="H1792" s="168">
        <f>SUMIFS(Таблица1[[#This Row],[8]:[19]],$I$5:$T$5,"Аренда")</f>
        <v>0</v>
      </c>
      <c r="I1792" s="169">
        <v>32.1</v>
      </c>
      <c r="J1792" s="169"/>
      <c r="K1792" s="169"/>
      <c r="L1792" s="169"/>
      <c r="M1792" s="169"/>
      <c r="N1792" s="169"/>
      <c r="O1792" s="169"/>
      <c r="P1792" s="169"/>
      <c r="Q1792" s="169"/>
      <c r="R1792" s="169"/>
      <c r="S1792" s="169"/>
      <c r="T1792" s="169"/>
      <c r="U1792" s="170"/>
      <c r="V1792" s="171"/>
    </row>
    <row r="1793" spans="1:22" hidden="1" outlineLevel="2" x14ac:dyDescent="0.25">
      <c r="A1793" s="186">
        <f>SUMIFS(МКД!$A$6:$A$389,МКД!$D$6:$D$389,Таблица1[[#This Row],[2]])</f>
        <v>305</v>
      </c>
      <c r="B1793" s="168"/>
      <c r="C1793" s="182" t="s">
        <v>646</v>
      </c>
      <c r="D1793" s="167" t="s">
        <v>1914</v>
      </c>
      <c r="E1793" s="167" t="s">
        <v>1913</v>
      </c>
      <c r="F1793" s="167">
        <v>2</v>
      </c>
      <c r="G1793" s="168">
        <f>SUMIFS(Таблица1[[#This Row],[8]:[19]],$I$5:$T$5,"Выкуп")</f>
        <v>32.299999999999997</v>
      </c>
      <c r="H1793" s="168">
        <f>SUMIFS(Таблица1[[#This Row],[8]:[19]],$I$5:$T$5,"Аренда")</f>
        <v>0</v>
      </c>
      <c r="I1793" s="169">
        <v>32.299999999999997</v>
      </c>
      <c r="J1793" s="169"/>
      <c r="K1793" s="169"/>
      <c r="L1793" s="169"/>
      <c r="M1793" s="169"/>
      <c r="N1793" s="169"/>
      <c r="O1793" s="169"/>
      <c r="P1793" s="169"/>
      <c r="Q1793" s="169"/>
      <c r="R1793" s="169"/>
      <c r="S1793" s="169"/>
      <c r="T1793" s="169"/>
      <c r="U1793" s="170"/>
      <c r="V1793" s="171"/>
    </row>
    <row r="1794" spans="1:22" hidden="1" outlineLevel="2" x14ac:dyDescent="0.25">
      <c r="A1794" s="186">
        <f>SUMIFS(МКД!$A$6:$A$389,МКД!$D$6:$D$389,Таблица1[[#This Row],[2]])</f>
        <v>305</v>
      </c>
      <c r="B1794" s="168"/>
      <c r="C1794" s="182" t="s">
        <v>646</v>
      </c>
      <c r="D1794" s="167" t="s">
        <v>30</v>
      </c>
      <c r="E1794" s="167" t="s">
        <v>1406</v>
      </c>
      <c r="F1794" s="167">
        <v>2</v>
      </c>
      <c r="G1794" s="168">
        <f>SUMIFS(Таблица1[[#This Row],[8]:[19]],$I$5:$T$5,"Выкуп")</f>
        <v>32.4</v>
      </c>
      <c r="H1794" s="168">
        <f>SUMIFS(Таблица1[[#This Row],[8]:[19]],$I$5:$T$5,"Аренда")</f>
        <v>0</v>
      </c>
      <c r="I1794" s="169">
        <v>32.4</v>
      </c>
      <c r="J1794" s="169"/>
      <c r="K1794" s="169"/>
      <c r="L1794" s="169"/>
      <c r="M1794" s="169"/>
      <c r="N1794" s="169"/>
      <c r="O1794" s="169"/>
      <c r="P1794" s="169"/>
      <c r="Q1794" s="169"/>
      <c r="R1794" s="169"/>
      <c r="S1794" s="169"/>
      <c r="T1794" s="169"/>
      <c r="U1794" s="170"/>
      <c r="V1794" s="171"/>
    </row>
    <row r="1795" spans="1:22" hidden="1" outlineLevel="2" x14ac:dyDescent="0.25">
      <c r="A1795" s="186">
        <f>SUMIFS(МКД!$A$6:$A$389,МКД!$D$6:$D$389,Таблица1[[#This Row],[2]])</f>
        <v>305</v>
      </c>
      <c r="B1795" s="168"/>
      <c r="C1795" s="182" t="s">
        <v>646</v>
      </c>
      <c r="D1795" s="167" t="s">
        <v>2721</v>
      </c>
      <c r="E1795" s="167" t="s">
        <v>2401</v>
      </c>
      <c r="F1795" s="167">
        <v>1</v>
      </c>
      <c r="G1795" s="168">
        <f>SUMIFS(Таблица1[[#This Row],[8]:[19]],$I$5:$T$5,"Выкуп")</f>
        <v>54.7</v>
      </c>
      <c r="H1795" s="168">
        <f>SUMIFS(Таблица1[[#This Row],[8]:[19]],$I$5:$T$5,"Аренда")</f>
        <v>0</v>
      </c>
      <c r="I1795" s="169">
        <v>54.7</v>
      </c>
      <c r="J1795" s="169"/>
      <c r="K1795" s="169"/>
      <c r="L1795" s="169"/>
      <c r="M1795" s="169"/>
      <c r="N1795" s="169"/>
      <c r="O1795" s="169"/>
      <c r="P1795" s="169"/>
      <c r="Q1795" s="169"/>
      <c r="R1795" s="169"/>
      <c r="S1795" s="169"/>
      <c r="T1795" s="169"/>
      <c r="U1795" s="170"/>
      <c r="V1795" s="171"/>
    </row>
    <row r="1796" spans="1:22" hidden="1" outlineLevel="2" x14ac:dyDescent="0.25">
      <c r="A1796" s="186">
        <f>SUMIFS(МКД!$A$6:$A$389,МКД!$D$6:$D$389,Таблица1[[#This Row],[2]])</f>
        <v>305</v>
      </c>
      <c r="B1796" s="168"/>
      <c r="C1796" s="182" t="s">
        <v>646</v>
      </c>
      <c r="D1796" s="167" t="s">
        <v>1593</v>
      </c>
      <c r="E1796" s="273" t="s">
        <v>1773</v>
      </c>
      <c r="F1796" s="167">
        <v>1</v>
      </c>
      <c r="G1796" s="168">
        <f>SUMIFS(Таблица1[[#This Row],[8]:[19]],$I$5:$T$5,"Выкуп")</f>
        <v>74.400000000000006</v>
      </c>
      <c r="H1796" s="168">
        <f>SUMIFS(Таблица1[[#This Row],[8]:[19]],$I$5:$T$5,"Аренда")</f>
        <v>0</v>
      </c>
      <c r="I1796" s="169"/>
      <c r="J1796" s="169"/>
      <c r="K1796" s="169">
        <v>74.400000000000006</v>
      </c>
      <c r="L1796" s="169"/>
      <c r="M1796" s="169"/>
      <c r="N1796" s="169"/>
      <c r="O1796" s="169"/>
      <c r="P1796" s="169"/>
      <c r="Q1796" s="169"/>
      <c r="R1796" s="169"/>
      <c r="S1796" s="169"/>
      <c r="T1796" s="169"/>
      <c r="U1796" s="170"/>
      <c r="V1796" s="171"/>
    </row>
    <row r="1797" spans="1:22" hidden="1" outlineLevel="2" x14ac:dyDescent="0.25">
      <c r="A1797" s="186">
        <f>SUMIFS(МКД!$A$6:$A$389,МКД!$D$6:$D$389,Таблица1[[#This Row],[2]])</f>
        <v>305</v>
      </c>
      <c r="B1797" s="168"/>
      <c r="C1797" s="182" t="s">
        <v>646</v>
      </c>
      <c r="D1797" s="167" t="s">
        <v>31</v>
      </c>
      <c r="E1797" s="167" t="s">
        <v>2394</v>
      </c>
      <c r="F1797" s="167">
        <v>1</v>
      </c>
      <c r="G1797" s="168">
        <f>SUMIFS(Таблица1[[#This Row],[8]:[19]],$I$5:$T$5,"Выкуп")</f>
        <v>33.6</v>
      </c>
      <c r="H1797" s="168">
        <f>SUMIFS(Таблица1[[#This Row],[8]:[19]],$I$5:$T$5,"Аренда")</f>
        <v>0</v>
      </c>
      <c r="I1797" s="169">
        <v>33.6</v>
      </c>
      <c r="J1797" s="169"/>
      <c r="K1797" s="169"/>
      <c r="L1797" s="169"/>
      <c r="M1797" s="169"/>
      <c r="N1797" s="169"/>
      <c r="O1797" s="169"/>
      <c r="P1797" s="169"/>
      <c r="Q1797" s="169"/>
      <c r="R1797" s="169"/>
      <c r="S1797" s="169"/>
      <c r="T1797" s="169"/>
      <c r="U1797" s="170"/>
      <c r="V1797" s="171"/>
    </row>
    <row r="1798" spans="1:22" hidden="1" outlineLevel="2" x14ac:dyDescent="0.25">
      <c r="A1798" s="186">
        <f>SUMIFS(МКД!$A$6:$A$389,МКД!$D$6:$D$389,Таблица1[[#This Row],[2]])</f>
        <v>305</v>
      </c>
      <c r="B1798" s="168"/>
      <c r="C1798" s="182" t="s">
        <v>646</v>
      </c>
      <c r="D1798" s="167" t="s">
        <v>1623</v>
      </c>
      <c r="E1798" s="167" t="s">
        <v>1146</v>
      </c>
      <c r="F1798" s="167">
        <v>1</v>
      </c>
      <c r="G1798" s="168">
        <f>SUMIFS(Таблица1[[#This Row],[8]:[19]],$I$5:$T$5,"Выкуп")</f>
        <v>32.299999999999997</v>
      </c>
      <c r="H1798" s="168">
        <f>SUMIFS(Таблица1[[#This Row],[8]:[19]],$I$5:$T$5,"Аренда")</f>
        <v>0</v>
      </c>
      <c r="I1798" s="169">
        <v>32.299999999999997</v>
      </c>
      <c r="J1798" s="169"/>
      <c r="K1798" s="169"/>
      <c r="L1798" s="169"/>
      <c r="M1798" s="169"/>
      <c r="N1798" s="169"/>
      <c r="O1798" s="169"/>
      <c r="P1798" s="169"/>
      <c r="Q1798" s="169"/>
      <c r="R1798" s="169"/>
      <c r="S1798" s="169"/>
      <c r="T1798" s="169"/>
      <c r="U1798" s="170"/>
      <c r="V1798" s="171"/>
    </row>
    <row r="1799" spans="1:22" hidden="1" outlineLevel="2" x14ac:dyDescent="0.25">
      <c r="A1799" s="186">
        <f>SUMIFS(МКД!$A$6:$A$389,МКД!$D$6:$D$389,Таблица1[[#This Row],[2]])</f>
        <v>305</v>
      </c>
      <c r="B1799" s="168"/>
      <c r="C1799" s="182" t="s">
        <v>646</v>
      </c>
      <c r="D1799" s="167" t="s">
        <v>32</v>
      </c>
      <c r="E1799" s="167" t="s">
        <v>1241</v>
      </c>
      <c r="F1799" s="167">
        <v>1</v>
      </c>
      <c r="G1799" s="168">
        <f>SUMIFS(Таблица1[[#This Row],[8]:[19]],$I$5:$T$5,"Выкуп")</f>
        <v>71.5</v>
      </c>
      <c r="H1799" s="168">
        <f>SUMIFS(Таблица1[[#This Row],[8]:[19]],$I$5:$T$5,"Аренда")</f>
        <v>0</v>
      </c>
      <c r="I1799" s="169">
        <v>71.5</v>
      </c>
      <c r="J1799" s="169"/>
      <c r="K1799" s="169"/>
      <c r="L1799" s="169"/>
      <c r="M1799" s="169"/>
      <c r="N1799" s="169"/>
      <c r="O1799" s="169"/>
      <c r="P1799" s="169"/>
      <c r="Q1799" s="169"/>
      <c r="R1799" s="169"/>
      <c r="S1799" s="169"/>
      <c r="T1799" s="169"/>
      <c r="U1799" s="170"/>
      <c r="V1799" s="171"/>
    </row>
    <row r="1800" spans="1:22" hidden="1" outlineLevel="2" x14ac:dyDescent="0.25">
      <c r="A1800" s="186">
        <f>SUMIFS(МКД!$A$6:$A$389,МКД!$D$6:$D$389,Таблица1[[#This Row],[2]])</f>
        <v>305</v>
      </c>
      <c r="B1800" s="168"/>
      <c r="C1800" s="182" t="s">
        <v>646</v>
      </c>
      <c r="D1800" s="167" t="s">
        <v>33</v>
      </c>
      <c r="E1800" s="167" t="s">
        <v>2402</v>
      </c>
      <c r="F1800" s="167">
        <v>2</v>
      </c>
      <c r="G1800" s="168">
        <f>SUMIFS(Таблица1[[#This Row],[8]:[19]],$I$5:$T$5,"Выкуп")</f>
        <v>73.8</v>
      </c>
      <c r="H1800" s="168">
        <f>SUMIFS(Таблица1[[#This Row],[8]:[19]],$I$5:$T$5,"Аренда")</f>
        <v>0</v>
      </c>
      <c r="I1800" s="169">
        <v>73.8</v>
      </c>
      <c r="J1800" s="169"/>
      <c r="K1800" s="169"/>
      <c r="L1800" s="169"/>
      <c r="M1800" s="169"/>
      <c r="N1800" s="169"/>
      <c r="O1800" s="169"/>
      <c r="P1800" s="169"/>
      <c r="Q1800" s="169"/>
      <c r="R1800" s="169"/>
      <c r="S1800" s="169"/>
      <c r="T1800" s="169"/>
      <c r="U1800" s="170"/>
      <c r="V1800" s="171"/>
    </row>
    <row r="1801" spans="1:22" hidden="1" outlineLevel="2" x14ac:dyDescent="0.25">
      <c r="A1801" s="186">
        <f>SUMIFS(МКД!$A$6:$A$389,МКД!$D$6:$D$389,Таблица1[[#This Row],[2]])</f>
        <v>305</v>
      </c>
      <c r="B1801" s="168"/>
      <c r="C1801" s="182" t="s">
        <v>646</v>
      </c>
      <c r="D1801" s="167" t="s">
        <v>2399</v>
      </c>
      <c r="E1801" s="167" t="s">
        <v>2400</v>
      </c>
      <c r="F1801" s="167">
        <v>1</v>
      </c>
      <c r="G1801" s="168">
        <f>SUMIFS(Таблица1[[#This Row],[8]:[19]],$I$5:$T$5,"Выкуп")</f>
        <v>74.2</v>
      </c>
      <c r="H1801" s="168">
        <f>SUMIFS(Таблица1[[#This Row],[8]:[19]],$I$5:$T$5,"Аренда")</f>
        <v>0</v>
      </c>
      <c r="I1801" s="169">
        <v>74.2</v>
      </c>
      <c r="J1801" s="169"/>
      <c r="K1801" s="169"/>
      <c r="L1801" s="169"/>
      <c r="M1801" s="169"/>
      <c r="N1801" s="169"/>
      <c r="O1801" s="169"/>
      <c r="P1801" s="169"/>
      <c r="Q1801" s="169"/>
      <c r="R1801" s="169"/>
      <c r="S1801" s="169"/>
      <c r="T1801" s="169"/>
      <c r="U1801" s="170"/>
      <c r="V1801" s="171"/>
    </row>
    <row r="1802" spans="1:22" hidden="1" outlineLevel="2" x14ac:dyDescent="0.25">
      <c r="A1802" s="186">
        <f>SUMIFS(МКД!$A$6:$A$389,МКД!$D$6:$D$389,Таблица1[[#This Row],[2]])</f>
        <v>305</v>
      </c>
      <c r="B1802" s="168"/>
      <c r="C1802" s="182" t="s">
        <v>646</v>
      </c>
      <c r="D1802" s="167" t="s">
        <v>1908</v>
      </c>
      <c r="E1802" s="167" t="s">
        <v>1935</v>
      </c>
      <c r="F1802" s="167">
        <v>2</v>
      </c>
      <c r="G1802" s="168">
        <f>SUMIFS(Таблица1[[#This Row],[8]:[19]],$I$5:$T$5,"Выкуп")</f>
        <v>69.900000000000006</v>
      </c>
      <c r="H1802" s="168">
        <f>SUMIFS(Таблица1[[#This Row],[8]:[19]],$I$5:$T$5,"Аренда")</f>
        <v>0</v>
      </c>
      <c r="I1802" s="169">
        <v>69.900000000000006</v>
      </c>
      <c r="J1802" s="169"/>
      <c r="K1802" s="169"/>
      <c r="L1802" s="169"/>
      <c r="M1802" s="169"/>
      <c r="N1802" s="169"/>
      <c r="O1802" s="169"/>
      <c r="P1802" s="169"/>
      <c r="Q1802" s="169"/>
      <c r="R1802" s="169"/>
      <c r="S1802" s="169"/>
      <c r="T1802" s="169"/>
      <c r="U1802" s="170"/>
      <c r="V1802" s="171"/>
    </row>
    <row r="1803" spans="1:22" hidden="1" outlineLevel="2" x14ac:dyDescent="0.25">
      <c r="A1803" s="186">
        <f>SUMIFS(МКД!$A$6:$A$389,МКД!$D$6:$D$389,Таблица1[[#This Row],[2]])</f>
        <v>305</v>
      </c>
      <c r="B1803" s="168"/>
      <c r="C1803" s="182" t="s">
        <v>646</v>
      </c>
      <c r="D1803" s="167" t="s">
        <v>2035</v>
      </c>
      <c r="E1803" s="167" t="s">
        <v>1407</v>
      </c>
      <c r="F1803" s="167">
        <v>1</v>
      </c>
      <c r="G1803" s="168">
        <f>SUMIFS(Таблица1[[#This Row],[8]:[19]],$I$5:$T$5,"Выкуп")</f>
        <v>33.700000000000003</v>
      </c>
      <c r="H1803" s="168">
        <f>SUMIFS(Таблица1[[#This Row],[8]:[19]],$I$5:$T$5,"Аренда")</f>
        <v>0</v>
      </c>
      <c r="I1803" s="169">
        <v>33.700000000000003</v>
      </c>
      <c r="J1803" s="169"/>
      <c r="K1803" s="169"/>
      <c r="L1803" s="169"/>
      <c r="M1803" s="169"/>
      <c r="N1803" s="169"/>
      <c r="O1803" s="169"/>
      <c r="P1803" s="169"/>
      <c r="Q1803" s="169"/>
      <c r="R1803" s="169"/>
      <c r="S1803" s="169"/>
      <c r="T1803" s="169"/>
      <c r="U1803" s="170"/>
      <c r="V1803" s="171"/>
    </row>
    <row r="1804" spans="1:22" hidden="1" outlineLevel="2" x14ac:dyDescent="0.25">
      <c r="A1804" s="186">
        <f>SUMIFS(МКД!$A$6:$A$389,МКД!$D$6:$D$389,Таблица1[[#This Row],[2]])</f>
        <v>305</v>
      </c>
      <c r="B1804" s="168"/>
      <c r="C1804" s="182" t="s">
        <v>646</v>
      </c>
      <c r="D1804" s="167" t="s">
        <v>1936</v>
      </c>
      <c r="E1804" s="167" t="s">
        <v>1358</v>
      </c>
      <c r="F1804" s="167">
        <v>2</v>
      </c>
      <c r="G1804" s="168">
        <f>SUMIFS(Таблица1[[#This Row],[8]:[19]],$I$5:$T$5,"Выкуп")</f>
        <v>56.2</v>
      </c>
      <c r="H1804" s="168">
        <f>SUMIFS(Таблица1[[#This Row],[8]:[19]],$I$5:$T$5,"Аренда")</f>
        <v>0</v>
      </c>
      <c r="I1804" s="169">
        <v>56.2</v>
      </c>
      <c r="J1804" s="169"/>
      <c r="K1804" s="169"/>
      <c r="L1804" s="169"/>
      <c r="M1804" s="169"/>
      <c r="N1804" s="169"/>
      <c r="O1804" s="169"/>
      <c r="P1804" s="169"/>
      <c r="Q1804" s="169"/>
      <c r="R1804" s="169"/>
      <c r="S1804" s="169"/>
      <c r="T1804" s="169"/>
      <c r="U1804" s="170"/>
      <c r="V1804" s="171"/>
    </row>
    <row r="1805" spans="1:22" ht="15" outlineLevel="1" collapsed="1" x14ac:dyDescent="0.25">
      <c r="A1805" s="186">
        <f>SUMIFS(МКД!$A$6:$A$389,МКД!$D$6:$D$389,Таблица1[[#This Row],[2]])</f>
        <v>306</v>
      </c>
      <c r="B1805" s="194">
        <f>SUMIFS(Таблица1[6],Таблица1[2],Таблица1[[#This Row],[2]])+SUMIFS(Таблица1[7],Таблица1[2],Таблица1[[#This Row],[2]])</f>
        <v>101.5</v>
      </c>
      <c r="C1805" s="185" t="s">
        <v>647</v>
      </c>
      <c r="D1805" s="196"/>
      <c r="E1805" s="196"/>
      <c r="F1805" s="196"/>
      <c r="G1805" s="168"/>
      <c r="H1805" s="197"/>
      <c r="I1805" s="196"/>
      <c r="J1805" s="196"/>
      <c r="K1805" s="196"/>
      <c r="L1805" s="196"/>
      <c r="M1805" s="196"/>
      <c r="N1805" s="196"/>
      <c r="O1805" s="196"/>
      <c r="P1805" s="196"/>
      <c r="Q1805" s="196"/>
      <c r="R1805" s="196"/>
      <c r="S1805" s="196"/>
      <c r="T1805" s="196"/>
      <c r="U1805" s="196"/>
      <c r="V1805" s="198"/>
    </row>
    <row r="1806" spans="1:22" hidden="1" outlineLevel="2" x14ac:dyDescent="0.25">
      <c r="A1806" s="186">
        <f>SUMIFS(МКД!$A$6:$A$389,МКД!$D$6:$D$389,Таблица1[[#This Row],[2]])</f>
        <v>306</v>
      </c>
      <c r="B1806" s="170"/>
      <c r="C1806" s="182" t="s">
        <v>647</v>
      </c>
      <c r="D1806" s="167" t="s">
        <v>2730</v>
      </c>
      <c r="E1806" s="167" t="s">
        <v>1677</v>
      </c>
      <c r="F1806" s="167">
        <v>1</v>
      </c>
      <c r="G1806" s="168">
        <f>SUMIFS(Таблица1[[#This Row],[8]:[19]],$I$5:$T$5,"Выкуп")</f>
        <v>101.5</v>
      </c>
      <c r="H1806" s="168">
        <f>SUMIFS(Таблица1[[#This Row],[8]:[19]],$I$5:$T$5,"Аренда")</f>
        <v>0</v>
      </c>
      <c r="I1806" s="169"/>
      <c r="J1806" s="169"/>
      <c r="K1806" s="169">
        <v>101.5</v>
      </c>
      <c r="L1806" s="169"/>
      <c r="M1806" s="169"/>
      <c r="N1806" s="169"/>
      <c r="O1806" s="169"/>
      <c r="P1806" s="169"/>
      <c r="Q1806" s="169"/>
      <c r="R1806" s="169"/>
      <c r="S1806" s="169"/>
      <c r="T1806" s="169"/>
      <c r="U1806" s="170"/>
      <c r="V1806" s="171"/>
    </row>
    <row r="1807" spans="1:22" ht="15" outlineLevel="1" collapsed="1" x14ac:dyDescent="0.25">
      <c r="A1807" s="186">
        <f>SUMIFS(МКД!$A$6:$A$389,МКД!$D$6:$D$389,Таблица1[[#This Row],[2]])</f>
        <v>307</v>
      </c>
      <c r="B1807" s="194">
        <f>SUMIFS(Таблица1[6],Таблица1[2],Таблица1[[#This Row],[2]])+SUMIFS(Таблица1[7],Таблица1[2],Таблица1[[#This Row],[2]])</f>
        <v>855.59999999999991</v>
      </c>
      <c r="C1807" s="185" t="s">
        <v>658</v>
      </c>
      <c r="D1807" s="196"/>
      <c r="E1807" s="196"/>
      <c r="F1807" s="196"/>
      <c r="G1807" s="168"/>
      <c r="H1807" s="197"/>
      <c r="I1807" s="196"/>
      <c r="J1807" s="196"/>
      <c r="K1807" s="196"/>
      <c r="L1807" s="196"/>
      <c r="M1807" s="196"/>
      <c r="N1807" s="196"/>
      <c r="O1807" s="196"/>
      <c r="P1807" s="196"/>
      <c r="Q1807" s="196"/>
      <c r="R1807" s="196"/>
      <c r="S1807" s="196"/>
      <c r="T1807" s="196"/>
      <c r="U1807" s="196"/>
      <c r="V1807" s="198"/>
    </row>
    <row r="1808" spans="1:22" hidden="1" outlineLevel="2" x14ac:dyDescent="0.25">
      <c r="A1808" s="186">
        <f>SUMIFS(МКД!$A$6:$A$389,МКД!$D$6:$D$389,Таблица1[[#This Row],[2]])</f>
        <v>307</v>
      </c>
      <c r="B1808" s="170"/>
      <c r="C1808" s="182" t="s">
        <v>658</v>
      </c>
      <c r="D1808" s="167" t="s">
        <v>1948</v>
      </c>
      <c r="E1808" s="167" t="s">
        <v>1947</v>
      </c>
      <c r="F1808" s="167">
        <v>1</v>
      </c>
      <c r="G1808" s="168">
        <f>SUMIFS(Таблица1[[#This Row],[8]:[19]],$I$5:$T$5,"Выкуп")</f>
        <v>44.3</v>
      </c>
      <c r="H1808" s="168">
        <f>SUMIFS(Таблица1[[#This Row],[8]:[19]],$I$5:$T$5,"Аренда")</f>
        <v>0</v>
      </c>
      <c r="I1808" s="169">
        <v>44.3</v>
      </c>
      <c r="J1808" s="169"/>
      <c r="K1808" s="169"/>
      <c r="L1808" s="169"/>
      <c r="M1808" s="169"/>
      <c r="N1808" s="169"/>
      <c r="O1808" s="169"/>
      <c r="P1808" s="169"/>
      <c r="Q1808" s="169"/>
      <c r="R1808" s="169"/>
      <c r="S1808" s="169"/>
      <c r="T1808" s="169"/>
      <c r="U1808" s="170"/>
      <c r="V1808" s="171" t="s">
        <v>1632</v>
      </c>
    </row>
    <row r="1809" spans="1:22" hidden="1" outlineLevel="2" x14ac:dyDescent="0.25">
      <c r="A1809" s="186">
        <f>SUMIFS(МКД!$A$6:$A$389,МКД!$D$6:$D$389,Таблица1[[#This Row],[2]])</f>
        <v>307</v>
      </c>
      <c r="B1809" s="168"/>
      <c r="C1809" s="182" t="s">
        <v>658</v>
      </c>
      <c r="D1809" s="167" t="s">
        <v>34</v>
      </c>
      <c r="E1809" s="167" t="s">
        <v>2403</v>
      </c>
      <c r="F1809" s="167">
        <v>1</v>
      </c>
      <c r="G1809" s="168">
        <f>SUMIFS(Таблица1[[#This Row],[8]:[19]],$I$5:$T$5,"Выкуп")</f>
        <v>74</v>
      </c>
      <c r="H1809" s="168">
        <f>SUMIFS(Таблица1[[#This Row],[8]:[19]],$I$5:$T$5,"Аренда")</f>
        <v>0</v>
      </c>
      <c r="I1809" s="169">
        <v>74</v>
      </c>
      <c r="J1809" s="169"/>
      <c r="K1809" s="169"/>
      <c r="L1809" s="169"/>
      <c r="M1809" s="169"/>
      <c r="N1809" s="169"/>
      <c r="O1809" s="169"/>
      <c r="P1809" s="169"/>
      <c r="Q1809" s="169"/>
      <c r="R1809" s="169"/>
      <c r="S1809" s="169"/>
      <c r="T1809" s="169"/>
      <c r="U1809" s="170"/>
      <c r="V1809" s="171"/>
    </row>
    <row r="1810" spans="1:22" hidden="1" outlineLevel="2" x14ac:dyDescent="0.25">
      <c r="A1810" s="186">
        <f>SUMIFS(МКД!$A$6:$A$389,МКД!$D$6:$D$389,Таблица1[[#This Row],[2]])</f>
        <v>307</v>
      </c>
      <c r="B1810" s="168"/>
      <c r="C1810" s="182" t="s">
        <v>658</v>
      </c>
      <c r="D1810" s="167" t="s">
        <v>2408</v>
      </c>
      <c r="E1810" s="167" t="s">
        <v>2409</v>
      </c>
      <c r="F1810" s="167">
        <v>2</v>
      </c>
      <c r="G1810" s="168">
        <f>SUMIFS(Таблица1[[#This Row],[8]:[19]],$I$5:$T$5,"Выкуп")</f>
        <v>45.5</v>
      </c>
      <c r="H1810" s="168">
        <f>SUMIFS(Таблица1[[#This Row],[8]:[19]],$I$5:$T$5,"Аренда")</f>
        <v>0</v>
      </c>
      <c r="I1810" s="169">
        <v>45.5</v>
      </c>
      <c r="J1810" s="169"/>
      <c r="K1810" s="169"/>
      <c r="L1810" s="169"/>
      <c r="M1810" s="169"/>
      <c r="N1810" s="169"/>
      <c r="O1810" s="169"/>
      <c r="P1810" s="169"/>
      <c r="Q1810" s="169"/>
      <c r="R1810" s="169"/>
      <c r="S1810" s="169"/>
      <c r="T1810" s="169"/>
      <c r="U1810" s="170"/>
      <c r="V1810" s="171"/>
    </row>
    <row r="1811" spans="1:22" hidden="1" outlineLevel="2" x14ac:dyDescent="0.25">
      <c r="A1811" s="186">
        <f>SUMIFS(МКД!$A$6:$A$389,МКД!$D$6:$D$389,Таблица1[[#This Row],[2]])</f>
        <v>307</v>
      </c>
      <c r="B1811" s="168"/>
      <c r="C1811" s="182" t="s">
        <v>658</v>
      </c>
      <c r="D1811" s="167" t="s">
        <v>2404</v>
      </c>
      <c r="E1811" s="167" t="s">
        <v>2405</v>
      </c>
      <c r="F1811" s="167">
        <v>2</v>
      </c>
      <c r="G1811" s="168">
        <f>SUMIFS(Таблица1[[#This Row],[8]:[19]],$I$5:$T$5,"Выкуп")</f>
        <v>0</v>
      </c>
      <c r="H1811" s="168">
        <f>SUMIFS(Таблица1[[#This Row],[8]:[19]],$I$5:$T$5,"Аренда")</f>
        <v>8.3000000000000007</v>
      </c>
      <c r="I1811" s="167"/>
      <c r="J1811" s="167"/>
      <c r="K1811" s="169"/>
      <c r="L1811" s="169"/>
      <c r="M1811" s="169"/>
      <c r="N1811" s="169"/>
      <c r="O1811" s="167"/>
      <c r="P1811" s="169">
        <v>8.3000000000000007</v>
      </c>
      <c r="Q1811" s="169"/>
      <c r="R1811" s="169"/>
      <c r="S1811" s="169"/>
      <c r="T1811" s="169"/>
      <c r="U1811" s="170"/>
      <c r="V1811" s="171"/>
    </row>
    <row r="1812" spans="1:22" hidden="1" outlineLevel="2" x14ac:dyDescent="0.25">
      <c r="A1812" s="186">
        <f>SUMIFS(МКД!$A$6:$A$389,МКД!$D$6:$D$389,Таблица1[[#This Row],[2]])</f>
        <v>307</v>
      </c>
      <c r="B1812" s="168"/>
      <c r="C1812" s="182" t="s">
        <v>658</v>
      </c>
      <c r="D1812" s="167" t="s">
        <v>1486</v>
      </c>
      <c r="E1812" s="167" t="s">
        <v>2407</v>
      </c>
      <c r="F1812" s="167">
        <v>2</v>
      </c>
      <c r="G1812" s="168">
        <f>SUMIFS(Таблица1[[#This Row],[8]:[19]],$I$5:$T$5,"Выкуп")</f>
        <v>44.5</v>
      </c>
      <c r="H1812" s="168">
        <f>SUMIFS(Таблица1[[#This Row],[8]:[19]],$I$5:$T$5,"Аренда")</f>
        <v>0</v>
      </c>
      <c r="I1812" s="169">
        <v>44.5</v>
      </c>
      <c r="J1812" s="169"/>
      <c r="K1812" s="169"/>
      <c r="L1812" s="169"/>
      <c r="M1812" s="169"/>
      <c r="N1812" s="169"/>
      <c r="O1812" s="169"/>
      <c r="P1812" s="169"/>
      <c r="Q1812" s="169"/>
      <c r="R1812" s="169"/>
      <c r="S1812" s="169"/>
      <c r="T1812" s="169"/>
      <c r="U1812" s="170"/>
      <c r="V1812" s="171"/>
    </row>
    <row r="1813" spans="1:22" hidden="1" outlineLevel="2" x14ac:dyDescent="0.25">
      <c r="A1813" s="186">
        <f>SUMIFS(МКД!$A$6:$A$389,МКД!$D$6:$D$389,Таблица1[[#This Row],[2]])</f>
        <v>307</v>
      </c>
      <c r="B1813" s="168"/>
      <c r="C1813" s="182" t="s">
        <v>658</v>
      </c>
      <c r="D1813" s="167" t="s">
        <v>2028</v>
      </c>
      <c r="E1813" s="167" t="s">
        <v>2027</v>
      </c>
      <c r="F1813" s="167">
        <v>1</v>
      </c>
      <c r="G1813" s="168">
        <f>SUMIFS(Таблица1[[#This Row],[8]:[19]],$I$5:$T$5,"Выкуп")</f>
        <v>42.6</v>
      </c>
      <c r="H1813" s="168">
        <f>SUMIFS(Таблица1[[#This Row],[8]:[19]],$I$5:$T$5,"Аренда")</f>
        <v>0</v>
      </c>
      <c r="I1813" s="169">
        <v>42.6</v>
      </c>
      <c r="J1813" s="169"/>
      <c r="K1813" s="169"/>
      <c r="L1813" s="169"/>
      <c r="M1813" s="169"/>
      <c r="N1813" s="169"/>
      <c r="O1813" s="169"/>
      <c r="P1813" s="169"/>
      <c r="Q1813" s="169"/>
      <c r="R1813" s="169"/>
      <c r="S1813" s="169"/>
      <c r="T1813" s="169"/>
      <c r="U1813" s="170"/>
      <c r="V1813" s="171"/>
    </row>
    <row r="1814" spans="1:22" hidden="1" outlineLevel="2" x14ac:dyDescent="0.25">
      <c r="A1814" s="186">
        <f>SUMIFS(МКД!$A$6:$A$389,МКД!$D$6:$D$389,Таблица1[[#This Row],[2]])</f>
        <v>307</v>
      </c>
      <c r="B1814" s="168"/>
      <c r="C1814" s="182" t="s">
        <v>658</v>
      </c>
      <c r="D1814" s="167" t="s">
        <v>147</v>
      </c>
      <c r="E1814" s="167" t="s">
        <v>1025</v>
      </c>
      <c r="F1814" s="167">
        <v>1</v>
      </c>
      <c r="G1814" s="168">
        <f>SUMIFS(Таблица1[[#This Row],[8]:[19]],$I$5:$T$5,"Выкуп")</f>
        <v>134</v>
      </c>
      <c r="H1814" s="168">
        <f>SUMIFS(Таблица1[[#This Row],[8]:[19]],$I$5:$T$5,"Аренда")</f>
        <v>0</v>
      </c>
      <c r="I1814" s="169">
        <v>134</v>
      </c>
      <c r="J1814" s="169"/>
      <c r="K1814" s="169"/>
      <c r="L1814" s="169"/>
      <c r="M1814" s="169"/>
      <c r="N1814" s="169"/>
      <c r="O1814" s="169"/>
      <c r="P1814" s="169"/>
      <c r="Q1814" s="169"/>
      <c r="R1814" s="169"/>
      <c r="S1814" s="169"/>
      <c r="T1814" s="169"/>
      <c r="U1814" s="170"/>
      <c r="V1814" s="171"/>
    </row>
    <row r="1815" spans="1:22" hidden="1" outlineLevel="2" x14ac:dyDescent="0.25">
      <c r="A1815" s="186">
        <f>SUMIFS(МКД!$A$6:$A$389,МКД!$D$6:$D$389,Таблица1[[#This Row],[2]])</f>
        <v>307</v>
      </c>
      <c r="B1815" s="168"/>
      <c r="C1815" s="182" t="s">
        <v>658</v>
      </c>
      <c r="D1815" s="167" t="s">
        <v>35</v>
      </c>
      <c r="E1815" s="167" t="s">
        <v>2410</v>
      </c>
      <c r="F1815" s="167">
        <v>1</v>
      </c>
      <c r="G1815" s="168">
        <f>SUMIFS(Таблица1[[#This Row],[8]:[19]],$I$5:$T$5,"Выкуп")</f>
        <v>45.9</v>
      </c>
      <c r="H1815" s="168">
        <f>SUMIFS(Таблица1[[#This Row],[8]:[19]],$I$5:$T$5,"Аренда")</f>
        <v>0</v>
      </c>
      <c r="I1815" s="169">
        <v>45.9</v>
      </c>
      <c r="J1815" s="169"/>
      <c r="K1815" s="169"/>
      <c r="L1815" s="169"/>
      <c r="M1815" s="169"/>
      <c r="N1815" s="169"/>
      <c r="O1815" s="169"/>
      <c r="P1815" s="169"/>
      <c r="Q1815" s="169"/>
      <c r="R1815" s="169"/>
      <c r="S1815" s="169"/>
      <c r="T1815" s="169"/>
      <c r="U1815" s="170"/>
      <c r="V1815" s="171"/>
    </row>
    <row r="1816" spans="1:22" hidden="1" outlineLevel="2" x14ac:dyDescent="0.25">
      <c r="A1816" s="186">
        <f>SUMIFS(МКД!$A$6:$A$389,МКД!$D$6:$D$389,Таблица1[[#This Row],[2]])</f>
        <v>307</v>
      </c>
      <c r="B1816" s="168"/>
      <c r="C1816" s="182" t="s">
        <v>658</v>
      </c>
      <c r="D1816" s="167" t="s">
        <v>2411</v>
      </c>
      <c r="E1816" s="167" t="s">
        <v>2412</v>
      </c>
      <c r="F1816" s="167">
        <v>1</v>
      </c>
      <c r="G1816" s="168">
        <f>SUMIFS(Таблица1[[#This Row],[8]:[19]],$I$5:$T$5,"Выкуп")</f>
        <v>87.5</v>
      </c>
      <c r="H1816" s="168">
        <f>SUMIFS(Таблица1[[#This Row],[8]:[19]],$I$5:$T$5,"Аренда")</f>
        <v>0</v>
      </c>
      <c r="I1816" s="169">
        <v>87.5</v>
      </c>
      <c r="J1816" s="169"/>
      <c r="K1816" s="169"/>
      <c r="L1816" s="169"/>
      <c r="M1816" s="169"/>
      <c r="N1816" s="169"/>
      <c r="O1816" s="169"/>
      <c r="P1816" s="169"/>
      <c r="Q1816" s="169"/>
      <c r="R1816" s="169"/>
      <c r="S1816" s="169"/>
      <c r="T1816" s="169"/>
      <c r="U1816" s="170"/>
      <c r="V1816" s="171"/>
    </row>
    <row r="1817" spans="1:22" hidden="1" outlineLevel="2" x14ac:dyDescent="0.25">
      <c r="A1817" s="186">
        <f>SUMIFS(МКД!$A$6:$A$389,МКД!$D$6:$D$389,Таблица1[[#This Row],[2]])</f>
        <v>307</v>
      </c>
      <c r="B1817" s="168"/>
      <c r="C1817" s="182" t="s">
        <v>658</v>
      </c>
      <c r="D1817" s="167" t="s">
        <v>2651</v>
      </c>
      <c r="E1817" s="167" t="s">
        <v>2650</v>
      </c>
      <c r="F1817" s="167">
        <v>2</v>
      </c>
      <c r="G1817" s="168">
        <f>SUMIFS(Таблица1[[#This Row],[8]:[19]],$I$5:$T$5,"Выкуп")</f>
        <v>42.9</v>
      </c>
      <c r="H1817" s="168">
        <f>SUMIFS(Таблица1[[#This Row],[8]:[19]],$I$5:$T$5,"Аренда")</f>
        <v>0</v>
      </c>
      <c r="I1817" s="169">
        <v>42.9</v>
      </c>
      <c r="J1817" s="169"/>
      <c r="K1817" s="169"/>
      <c r="L1817" s="169"/>
      <c r="M1817" s="169"/>
      <c r="N1817" s="169"/>
      <c r="O1817" s="169"/>
      <c r="P1817" s="169"/>
      <c r="Q1817" s="169"/>
      <c r="R1817" s="169"/>
      <c r="S1817" s="169"/>
      <c r="T1817" s="169"/>
      <c r="U1817" s="170"/>
      <c r="V1817" s="171"/>
    </row>
    <row r="1818" spans="1:22" hidden="1" outlineLevel="2" x14ac:dyDescent="0.25">
      <c r="A1818" s="186">
        <f>SUMIFS(МКД!$A$6:$A$389,МКД!$D$6:$D$389,Таблица1[[#This Row],[2]])</f>
        <v>307</v>
      </c>
      <c r="B1818" s="168"/>
      <c r="C1818" s="182" t="s">
        <v>658</v>
      </c>
      <c r="D1818" s="167" t="s">
        <v>1843</v>
      </c>
      <c r="E1818" s="167" t="s">
        <v>1937</v>
      </c>
      <c r="F1818" s="167">
        <v>1</v>
      </c>
      <c r="G1818" s="168">
        <f>SUMIFS(Таблица1[[#This Row],[8]:[19]],$I$5:$T$5,"Выкуп")</f>
        <v>43.1</v>
      </c>
      <c r="H1818" s="168">
        <f>SUMIFS(Таблица1[[#This Row],[8]:[19]],$I$5:$T$5,"Аренда")</f>
        <v>0</v>
      </c>
      <c r="I1818" s="169">
        <v>43.1</v>
      </c>
      <c r="J1818" s="169"/>
      <c r="K1818" s="169"/>
      <c r="L1818" s="169"/>
      <c r="M1818" s="169"/>
      <c r="N1818" s="169"/>
      <c r="O1818" s="169"/>
      <c r="P1818" s="169"/>
      <c r="Q1818" s="169"/>
      <c r="R1818" s="169"/>
      <c r="S1818" s="169"/>
      <c r="T1818" s="169"/>
      <c r="U1818" s="170"/>
      <c r="V1818" s="171"/>
    </row>
    <row r="1819" spans="1:22" hidden="1" outlineLevel="2" x14ac:dyDescent="0.25">
      <c r="A1819" s="186">
        <f>SUMIFS(МКД!$A$6:$A$389,МКД!$D$6:$D$389,Таблица1[[#This Row],[2]])</f>
        <v>307</v>
      </c>
      <c r="B1819" s="168"/>
      <c r="C1819" s="182" t="s">
        <v>658</v>
      </c>
      <c r="D1819" s="167" t="s">
        <v>36</v>
      </c>
      <c r="E1819" s="167" t="s">
        <v>2406</v>
      </c>
      <c r="F1819" s="167">
        <v>1</v>
      </c>
      <c r="G1819" s="168">
        <f>SUMIFS(Таблица1[[#This Row],[8]:[19]],$I$5:$T$5,"Выкуп")</f>
        <v>0</v>
      </c>
      <c r="H1819" s="168">
        <f>SUMIFS(Таблица1[[#This Row],[8]:[19]],$I$5:$T$5,"Аренда")</f>
        <v>180</v>
      </c>
      <c r="I1819" s="169"/>
      <c r="J1819" s="169"/>
      <c r="K1819" s="167"/>
      <c r="L1819" s="169">
        <v>180</v>
      </c>
      <c r="M1819" s="169"/>
      <c r="N1819" s="169"/>
      <c r="O1819" s="169"/>
      <c r="P1819" s="169"/>
      <c r="Q1819" s="169"/>
      <c r="R1819" s="169"/>
      <c r="S1819" s="169"/>
      <c r="T1819" s="169"/>
      <c r="U1819" s="170"/>
      <c r="V1819" s="171"/>
    </row>
    <row r="1820" spans="1:22" hidden="1" outlineLevel="2" x14ac:dyDescent="0.25">
      <c r="A1820" s="186">
        <f>SUMIFS(МКД!$A$6:$A$389,МКД!$D$6:$D$389,Таблица1[[#This Row],[2]])</f>
        <v>307</v>
      </c>
      <c r="B1820" s="168"/>
      <c r="C1820" s="182" t="s">
        <v>658</v>
      </c>
      <c r="D1820" s="167" t="s">
        <v>2413</v>
      </c>
      <c r="E1820" s="167" t="s">
        <v>1487</v>
      </c>
      <c r="F1820" s="167"/>
      <c r="G1820" s="168">
        <f>SUMIFS(Таблица1[[#This Row],[8]:[19]],$I$5:$T$5,"Выкуп")</f>
        <v>63</v>
      </c>
      <c r="H1820" s="168">
        <f>SUMIFS(Таблица1[[#This Row],[8]:[19]],$I$5:$T$5,"Аренда")</f>
        <v>0</v>
      </c>
      <c r="I1820" s="169">
        <v>63</v>
      </c>
      <c r="J1820" s="169"/>
      <c r="K1820" s="169"/>
      <c r="L1820" s="169"/>
      <c r="M1820" s="169"/>
      <c r="N1820" s="169"/>
      <c r="O1820" s="169"/>
      <c r="P1820" s="169"/>
      <c r="Q1820" s="169"/>
      <c r="R1820" s="169"/>
      <c r="S1820" s="169"/>
      <c r="T1820" s="169"/>
      <c r="U1820" s="170"/>
      <c r="V1820" s="171"/>
    </row>
    <row r="1821" spans="1:22" ht="15" outlineLevel="1" collapsed="1" x14ac:dyDescent="0.25">
      <c r="A1821" s="186">
        <f>SUMIFS(МКД!$A$6:$A$389,МКД!$D$6:$D$389,Таблица1[[#This Row],[2]])</f>
        <v>308</v>
      </c>
      <c r="B1821" s="194">
        <f>SUMIFS(Таблица1[6],Таблица1[2],Таблица1[[#This Row],[2]])+SUMIFS(Таблица1[7],Таблица1[2],Таблица1[[#This Row],[2]])</f>
        <v>224.7</v>
      </c>
      <c r="C1821" s="185" t="s">
        <v>659</v>
      </c>
      <c r="D1821" s="196"/>
      <c r="E1821" s="196"/>
      <c r="F1821" s="196"/>
      <c r="G1821" s="168"/>
      <c r="H1821" s="197"/>
      <c r="I1821" s="196"/>
      <c r="J1821" s="196"/>
      <c r="K1821" s="196"/>
      <c r="L1821" s="196"/>
      <c r="M1821" s="196"/>
      <c r="N1821" s="196"/>
      <c r="O1821" s="196"/>
      <c r="P1821" s="196"/>
      <c r="Q1821" s="196"/>
      <c r="R1821" s="196"/>
      <c r="S1821" s="196"/>
      <c r="T1821" s="196"/>
      <c r="U1821" s="196"/>
      <c r="V1821" s="198"/>
    </row>
    <row r="1822" spans="1:22" hidden="1" outlineLevel="2" x14ac:dyDescent="0.25">
      <c r="A1822" s="186">
        <f>SUMIFS(МКД!$A$6:$A$389,МКД!$D$6:$D$389,Таблица1[[#This Row],[2]])</f>
        <v>308</v>
      </c>
      <c r="B1822" s="170"/>
      <c r="C1822" s="182" t="s">
        <v>659</v>
      </c>
      <c r="D1822" s="167" t="s">
        <v>1053</v>
      </c>
      <c r="E1822" s="167" t="s">
        <v>104</v>
      </c>
      <c r="F1822" s="167">
        <v>1</v>
      </c>
      <c r="G1822" s="168">
        <f>SUMIFS(Таблица1[[#This Row],[8]:[19]],$I$5:$T$5,"Выкуп")</f>
        <v>145.6</v>
      </c>
      <c r="H1822" s="168">
        <f>SUMIFS(Таблица1[[#This Row],[8]:[19]],$I$5:$T$5,"Аренда")</f>
        <v>0</v>
      </c>
      <c r="I1822" s="169"/>
      <c r="J1822" s="169"/>
      <c r="K1822" s="169">
        <v>145.6</v>
      </c>
      <c r="L1822" s="169"/>
      <c r="M1822" s="169"/>
      <c r="N1822" s="169"/>
      <c r="O1822" s="169"/>
      <c r="P1822" s="169"/>
      <c r="Q1822" s="169"/>
      <c r="R1822" s="169"/>
      <c r="S1822" s="169"/>
      <c r="T1822" s="169"/>
      <c r="U1822" s="170"/>
      <c r="V1822" s="171"/>
    </row>
    <row r="1823" spans="1:22" hidden="1" outlineLevel="2" x14ac:dyDescent="0.25">
      <c r="A1823" s="186">
        <f>SUMIFS(МКД!$A$6:$A$389,МКД!$D$6:$D$389,Таблица1[[#This Row],[2]])</f>
        <v>308</v>
      </c>
      <c r="B1823" s="170"/>
      <c r="C1823" s="182" t="s">
        <v>659</v>
      </c>
      <c r="D1823" s="167" t="s">
        <v>1593</v>
      </c>
      <c r="E1823" s="273" t="s">
        <v>1774</v>
      </c>
      <c r="F1823" s="167">
        <v>1</v>
      </c>
      <c r="G1823" s="168">
        <f>SUMIFS(Таблица1[[#This Row],[8]:[19]],$I$5:$T$5,"Выкуп")</f>
        <v>79.099999999999994</v>
      </c>
      <c r="H1823" s="168">
        <f>SUMIFS(Таблица1[[#This Row],[8]:[19]],$I$5:$T$5,"Аренда")</f>
        <v>0</v>
      </c>
      <c r="I1823" s="169"/>
      <c r="J1823" s="169"/>
      <c r="K1823" s="169">
        <v>79.099999999999994</v>
      </c>
      <c r="L1823" s="169"/>
      <c r="M1823" s="169"/>
      <c r="N1823" s="169"/>
      <c r="O1823" s="169"/>
      <c r="P1823" s="169"/>
      <c r="Q1823" s="169"/>
      <c r="R1823" s="169"/>
      <c r="S1823" s="169"/>
      <c r="T1823" s="169"/>
      <c r="U1823" s="170"/>
      <c r="V1823" s="171"/>
    </row>
    <row r="1824" spans="1:22" ht="15" outlineLevel="1" collapsed="1" x14ac:dyDescent="0.25">
      <c r="A1824" s="186">
        <f>SUMIFS(МКД!$A$6:$A$389,МКД!$D$6:$D$389,Таблица1[[#This Row],[2]])</f>
        <v>309</v>
      </c>
      <c r="B1824" s="194">
        <f>SUMIFS(Таблица1[6],Таблица1[2],Таблица1[[#This Row],[2]])+SUMIFS(Таблица1[7],Таблица1[2],Таблица1[[#This Row],[2]])</f>
        <v>395.6</v>
      </c>
      <c r="C1824" s="185" t="s">
        <v>648</v>
      </c>
      <c r="D1824" s="196"/>
      <c r="E1824" s="196"/>
      <c r="F1824" s="196"/>
      <c r="G1824" s="168"/>
      <c r="H1824" s="197"/>
      <c r="I1824" s="196"/>
      <c r="J1824" s="196"/>
      <c r="K1824" s="196"/>
      <c r="L1824" s="196"/>
      <c r="M1824" s="196"/>
      <c r="N1824" s="196"/>
      <c r="O1824" s="196"/>
      <c r="P1824" s="196"/>
      <c r="Q1824" s="196"/>
      <c r="R1824" s="196"/>
      <c r="S1824" s="196"/>
      <c r="T1824" s="196"/>
      <c r="U1824" s="196"/>
      <c r="V1824" s="198"/>
    </row>
    <row r="1825" spans="1:22" hidden="1" outlineLevel="2" x14ac:dyDescent="0.25">
      <c r="A1825" s="186">
        <f>SUMIFS(МКД!$A$6:$A$389,МКД!$D$6:$D$389,Таблица1[[#This Row],[2]])</f>
        <v>309</v>
      </c>
      <c r="B1825" s="170"/>
      <c r="C1825" s="182" t="s">
        <v>648</v>
      </c>
      <c r="D1825" s="167" t="s">
        <v>1915</v>
      </c>
      <c r="E1825" s="167" t="s">
        <v>1916</v>
      </c>
      <c r="F1825" s="167">
        <v>1</v>
      </c>
      <c r="G1825" s="168">
        <f>SUMIFS(Таблица1[[#This Row],[8]:[19]],$I$5:$T$5,"Выкуп")</f>
        <v>70.900000000000006</v>
      </c>
      <c r="H1825" s="168">
        <f>SUMIFS(Таблица1[[#This Row],[8]:[19]],$I$5:$T$5,"Аренда")</f>
        <v>0</v>
      </c>
      <c r="I1825" s="169">
        <v>70.900000000000006</v>
      </c>
      <c r="J1825" s="169"/>
      <c r="K1825" s="169"/>
      <c r="L1825" s="169"/>
      <c r="M1825" s="169"/>
      <c r="N1825" s="169"/>
      <c r="O1825" s="169"/>
      <c r="P1825" s="169"/>
      <c r="Q1825" s="169"/>
      <c r="R1825" s="169"/>
      <c r="S1825" s="169"/>
      <c r="T1825" s="169"/>
      <c r="U1825" s="170"/>
      <c r="V1825" s="171"/>
    </row>
    <row r="1826" spans="1:22" hidden="1" outlineLevel="2" x14ac:dyDescent="0.25">
      <c r="A1826" s="186">
        <f>SUMIFS(МКД!$A$6:$A$389,МКД!$D$6:$D$389,Таблица1[[#This Row],[2]])</f>
        <v>309</v>
      </c>
      <c r="B1826" s="168"/>
      <c r="C1826" s="182" t="s">
        <v>648</v>
      </c>
      <c r="D1826" s="167" t="s">
        <v>37</v>
      </c>
      <c r="E1826" s="167" t="s">
        <v>2414</v>
      </c>
      <c r="F1826" s="167">
        <v>1</v>
      </c>
      <c r="G1826" s="168">
        <f>SUMIFS(Таблица1[[#This Row],[8]:[19]],$I$5:$T$5,"Выкуп")</f>
        <v>0</v>
      </c>
      <c r="H1826" s="168">
        <f>SUMIFS(Таблица1[[#This Row],[8]:[19]],$I$5:$T$5,"Аренда")</f>
        <v>0</v>
      </c>
      <c r="I1826" s="169">
        <f>56.4*0</f>
        <v>0</v>
      </c>
      <c r="J1826" s="169"/>
      <c r="K1826" s="169"/>
      <c r="L1826" s="169"/>
      <c r="M1826" s="169"/>
      <c r="N1826" s="169"/>
      <c r="O1826" s="169"/>
      <c r="P1826" s="169"/>
      <c r="Q1826" s="169"/>
      <c r="R1826" s="169"/>
      <c r="S1826" s="169"/>
      <c r="T1826" s="169"/>
      <c r="U1826" s="170"/>
      <c r="V1826" s="171"/>
    </row>
    <row r="1827" spans="1:22" hidden="1" outlineLevel="2" x14ac:dyDescent="0.25">
      <c r="A1827" s="186">
        <f>SUMIFS(МКД!$A$6:$A$389,МКД!$D$6:$D$389,Таблица1[[#This Row],[2]])</f>
        <v>309</v>
      </c>
      <c r="B1827" s="168"/>
      <c r="C1827" s="182" t="s">
        <v>648</v>
      </c>
      <c r="D1827" s="167" t="s">
        <v>37</v>
      </c>
      <c r="E1827" s="167" t="s">
        <v>1044</v>
      </c>
      <c r="F1827" s="167">
        <v>1</v>
      </c>
      <c r="G1827" s="168">
        <f>SUMIFS(Таблица1[[#This Row],[8]:[19]],$I$5:$T$5,"Выкуп")</f>
        <v>31.8</v>
      </c>
      <c r="H1827" s="168">
        <f>SUMIFS(Таблица1[[#This Row],[8]:[19]],$I$5:$T$5,"Аренда")</f>
        <v>0</v>
      </c>
      <c r="I1827" s="169">
        <v>31.8</v>
      </c>
      <c r="J1827" s="169"/>
      <c r="K1827" s="169"/>
      <c r="L1827" s="169"/>
      <c r="M1827" s="169"/>
      <c r="N1827" s="169"/>
      <c r="O1827" s="169"/>
      <c r="P1827" s="169"/>
      <c r="Q1827" s="169"/>
      <c r="R1827" s="169"/>
      <c r="S1827" s="169"/>
      <c r="T1827" s="169"/>
      <c r="U1827" s="170"/>
      <c r="V1827" s="171"/>
    </row>
    <row r="1828" spans="1:22" hidden="1" outlineLevel="2" x14ac:dyDescent="0.25">
      <c r="A1828" s="186">
        <f>SUMIFS(МКД!$A$6:$A$389,МКД!$D$6:$D$389,Таблица1[[#This Row],[2]])</f>
        <v>309</v>
      </c>
      <c r="B1828" s="168"/>
      <c r="C1828" s="182" t="s">
        <v>648</v>
      </c>
      <c r="D1828" s="167" t="s">
        <v>1918</v>
      </c>
      <c r="E1828" s="167" t="s">
        <v>1917</v>
      </c>
      <c r="F1828" s="167">
        <v>1</v>
      </c>
      <c r="G1828" s="168">
        <f>SUMIFS(Таблица1[[#This Row],[8]:[19]],$I$5:$T$5,"Выкуп")</f>
        <v>98.7</v>
      </c>
      <c r="H1828" s="168">
        <f>SUMIFS(Таблица1[[#This Row],[8]:[19]],$I$5:$T$5,"Аренда")</f>
        <v>0</v>
      </c>
      <c r="I1828" s="169">
        <v>98.7</v>
      </c>
      <c r="J1828" s="169"/>
      <c r="K1828" s="169"/>
      <c r="L1828" s="169"/>
      <c r="M1828" s="169"/>
      <c r="N1828" s="169"/>
      <c r="O1828" s="169"/>
      <c r="P1828" s="169"/>
      <c r="Q1828" s="169"/>
      <c r="R1828" s="169"/>
      <c r="S1828" s="169"/>
      <c r="T1828" s="169"/>
      <c r="U1828" s="170"/>
      <c r="V1828" s="171"/>
    </row>
    <row r="1829" spans="1:22" hidden="1" outlineLevel="2" x14ac:dyDescent="0.25">
      <c r="A1829" s="186">
        <f>SUMIFS(МКД!$A$6:$A$389,МКД!$D$6:$D$389,Таблица1[[#This Row],[2]])</f>
        <v>309</v>
      </c>
      <c r="B1829" s="168"/>
      <c r="C1829" s="182" t="s">
        <v>648</v>
      </c>
      <c r="D1829" s="167" t="s">
        <v>2584</v>
      </c>
      <c r="E1829" s="167" t="s">
        <v>1833</v>
      </c>
      <c r="F1829" s="167">
        <v>1</v>
      </c>
      <c r="G1829" s="168">
        <f>SUMIFS(Таблица1[[#This Row],[8]:[19]],$I$5:$T$5,"Выкуп")</f>
        <v>33.1</v>
      </c>
      <c r="H1829" s="168">
        <f>SUMIFS(Таблица1[[#This Row],[8]:[19]],$I$5:$T$5,"Аренда")</f>
        <v>0</v>
      </c>
      <c r="I1829" s="169">
        <v>33.1</v>
      </c>
      <c r="J1829" s="169"/>
      <c r="K1829" s="169"/>
      <c r="L1829" s="169"/>
      <c r="M1829" s="169"/>
      <c r="N1829" s="169"/>
      <c r="O1829" s="169"/>
      <c r="P1829" s="169"/>
      <c r="Q1829" s="169"/>
      <c r="R1829" s="169"/>
      <c r="S1829" s="169"/>
      <c r="T1829" s="169"/>
      <c r="U1829" s="170"/>
      <c r="V1829" s="171"/>
    </row>
    <row r="1830" spans="1:22" hidden="1" outlineLevel="2" x14ac:dyDescent="0.25">
      <c r="A1830" s="186">
        <f>SUMIFS(МКД!$A$6:$A$389,МКД!$D$6:$D$389,Таблица1[[#This Row],[2]])</f>
        <v>309</v>
      </c>
      <c r="B1830" s="168"/>
      <c r="C1830" s="182" t="s">
        <v>648</v>
      </c>
      <c r="D1830" s="167" t="s">
        <v>2037</v>
      </c>
      <c r="E1830" s="167" t="s">
        <v>2036</v>
      </c>
      <c r="F1830" s="167">
        <v>1</v>
      </c>
      <c r="G1830" s="168">
        <f>SUMIFS(Таблица1[[#This Row],[8]:[19]],$I$5:$T$5,"Выкуп")</f>
        <v>31.3</v>
      </c>
      <c r="H1830" s="168">
        <f>SUMIFS(Таблица1[[#This Row],[8]:[19]],$I$5:$T$5,"Аренда")</f>
        <v>0</v>
      </c>
      <c r="I1830" s="169">
        <v>31.3</v>
      </c>
      <c r="J1830" s="169"/>
      <c r="K1830" s="169"/>
      <c r="L1830" s="169"/>
      <c r="M1830" s="169"/>
      <c r="N1830" s="169"/>
      <c r="O1830" s="169"/>
      <c r="P1830" s="169"/>
      <c r="Q1830" s="169"/>
      <c r="R1830" s="169"/>
      <c r="S1830" s="169"/>
      <c r="T1830" s="169"/>
      <c r="U1830" s="170"/>
      <c r="V1830" s="171"/>
    </row>
    <row r="1831" spans="1:22" hidden="1" outlineLevel="2" x14ac:dyDescent="0.25">
      <c r="A1831" s="186">
        <f>SUMIFS(МКД!$A$6:$A$389,МКД!$D$6:$D$389,Таблица1[[#This Row],[2]])</f>
        <v>309</v>
      </c>
      <c r="B1831" s="168"/>
      <c r="C1831" s="182" t="s">
        <v>648</v>
      </c>
      <c r="D1831" s="167" t="s">
        <v>38</v>
      </c>
      <c r="E1831" s="167" t="s">
        <v>912</v>
      </c>
      <c r="F1831" s="167">
        <v>1</v>
      </c>
      <c r="G1831" s="168">
        <f>SUMIFS(Таблица1[[#This Row],[8]:[19]],$I$5:$T$5,"Выкуп")</f>
        <v>54.4</v>
      </c>
      <c r="H1831" s="168">
        <f>SUMIFS(Таблица1[[#This Row],[8]:[19]],$I$5:$T$5,"Аренда")</f>
        <v>0</v>
      </c>
      <c r="I1831" s="169">
        <v>54.4</v>
      </c>
      <c r="J1831" s="169"/>
      <c r="K1831" s="169"/>
      <c r="L1831" s="169"/>
      <c r="M1831" s="169"/>
      <c r="N1831" s="169"/>
      <c r="O1831" s="169"/>
      <c r="P1831" s="169"/>
      <c r="Q1831" s="169"/>
      <c r="R1831" s="169"/>
      <c r="S1831" s="169"/>
      <c r="T1831" s="169"/>
      <c r="U1831" s="170"/>
      <c r="V1831" s="171"/>
    </row>
    <row r="1832" spans="1:22" hidden="1" outlineLevel="2" x14ac:dyDescent="0.25">
      <c r="A1832" s="186">
        <f>SUMIFS(МКД!$A$6:$A$389,МКД!$D$6:$D$389,Таблица1[[#This Row],[2]])</f>
        <v>309</v>
      </c>
      <c r="B1832" s="168"/>
      <c r="C1832" s="182" t="s">
        <v>648</v>
      </c>
      <c r="D1832" s="167" t="s">
        <v>822</v>
      </c>
      <c r="E1832" s="167" t="s">
        <v>2415</v>
      </c>
      <c r="F1832" s="167">
        <v>1</v>
      </c>
      <c r="G1832" s="168">
        <f>SUMIFS(Таблица1[[#This Row],[8]:[19]],$I$5:$T$5,"Выкуп")</f>
        <v>75.400000000000006</v>
      </c>
      <c r="H1832" s="168">
        <f>SUMIFS(Таблица1[[#This Row],[8]:[19]],$I$5:$T$5,"Аренда")</f>
        <v>0</v>
      </c>
      <c r="I1832" s="169">
        <v>75.400000000000006</v>
      </c>
      <c r="J1832" s="169"/>
      <c r="K1832" s="169"/>
      <c r="L1832" s="169"/>
      <c r="M1832" s="169"/>
      <c r="N1832" s="169"/>
      <c r="O1832" s="169"/>
      <c r="P1832" s="169"/>
      <c r="Q1832" s="169"/>
      <c r="R1832" s="169"/>
      <c r="S1832" s="169"/>
      <c r="T1832" s="169"/>
      <c r="U1832" s="170"/>
      <c r="V1832" s="171"/>
    </row>
    <row r="1833" spans="1:22" ht="15" outlineLevel="1" collapsed="1" x14ac:dyDescent="0.25">
      <c r="A1833" s="186">
        <f>SUMIFS(МКД!$A$6:$A$389,МКД!$D$6:$D$389,Таблица1[[#This Row],[2]])</f>
        <v>310</v>
      </c>
      <c r="B1833" s="194">
        <f>SUMIFS(Таблица1[6],Таблица1[2],Таблица1[[#This Row],[2]])+SUMIFS(Таблица1[7],Таблица1[2],Таблица1[[#This Row],[2]])</f>
        <v>288.5</v>
      </c>
      <c r="C1833" s="185" t="s">
        <v>649</v>
      </c>
      <c r="D1833" s="196"/>
      <c r="E1833" s="196"/>
      <c r="F1833" s="196"/>
      <c r="G1833" s="168"/>
      <c r="H1833" s="197"/>
      <c r="I1833" s="196"/>
      <c r="J1833" s="196"/>
      <c r="K1833" s="196"/>
      <c r="L1833" s="196"/>
      <c r="M1833" s="196"/>
      <c r="N1833" s="196"/>
      <c r="O1833" s="196"/>
      <c r="P1833" s="196"/>
      <c r="Q1833" s="196"/>
      <c r="R1833" s="196"/>
      <c r="S1833" s="196"/>
      <c r="T1833" s="196"/>
      <c r="U1833" s="196"/>
      <c r="V1833" s="198"/>
    </row>
    <row r="1834" spans="1:22" hidden="1" outlineLevel="2" x14ac:dyDescent="0.25">
      <c r="A1834" s="186">
        <f>SUMIFS(МКД!$A$6:$A$389,МКД!$D$6:$D$389,Таблица1[[#This Row],[2]])</f>
        <v>310</v>
      </c>
      <c r="B1834" s="170"/>
      <c r="C1834" s="182" t="s">
        <v>649</v>
      </c>
      <c r="D1834" s="167" t="s">
        <v>39</v>
      </c>
      <c r="E1834" s="167" t="s">
        <v>109</v>
      </c>
      <c r="F1834" s="167">
        <v>1</v>
      </c>
      <c r="G1834" s="168">
        <f>SUMIFS(Таблица1[[#This Row],[8]:[19]],$I$5:$T$5,"Выкуп")</f>
        <v>60.4</v>
      </c>
      <c r="H1834" s="168">
        <f>SUMIFS(Таблица1[[#This Row],[8]:[19]],$I$5:$T$5,"Аренда")</f>
        <v>0</v>
      </c>
      <c r="I1834" s="169">
        <v>60.4</v>
      </c>
      <c r="J1834" s="169"/>
      <c r="K1834" s="169"/>
      <c r="L1834" s="169"/>
      <c r="M1834" s="169"/>
      <c r="N1834" s="169"/>
      <c r="O1834" s="169"/>
      <c r="P1834" s="169"/>
      <c r="Q1834" s="169"/>
      <c r="R1834" s="169"/>
      <c r="S1834" s="169"/>
      <c r="T1834" s="169"/>
      <c r="U1834" s="170"/>
      <c r="V1834" s="171"/>
    </row>
    <row r="1835" spans="1:22" hidden="1" outlineLevel="2" x14ac:dyDescent="0.25">
      <c r="A1835" s="186">
        <f>SUMIFS(МКД!$A$6:$A$389,МКД!$D$6:$D$389,Таблица1[[#This Row],[2]])</f>
        <v>310</v>
      </c>
      <c r="B1835" s="168"/>
      <c r="C1835" s="182" t="s">
        <v>649</v>
      </c>
      <c r="D1835" s="167" t="s">
        <v>153</v>
      </c>
      <c r="E1835" s="167" t="s">
        <v>4</v>
      </c>
      <c r="F1835" s="167">
        <v>1</v>
      </c>
      <c r="G1835" s="168">
        <f>SUMIFS(Таблица1[[#This Row],[8]:[19]],$I$5:$T$5,"Выкуп")</f>
        <v>204</v>
      </c>
      <c r="H1835" s="168">
        <f>SUMIFS(Таблица1[[#This Row],[8]:[19]],$I$5:$T$5,"Аренда")</f>
        <v>0</v>
      </c>
      <c r="I1835" s="169"/>
      <c r="J1835" s="169"/>
      <c r="K1835" s="169">
        <v>204</v>
      </c>
      <c r="L1835" s="169"/>
      <c r="M1835" s="169"/>
      <c r="N1835" s="169"/>
      <c r="O1835" s="169"/>
      <c r="P1835" s="169"/>
      <c r="Q1835" s="169"/>
      <c r="R1835" s="169"/>
      <c r="S1835" s="169"/>
      <c r="T1835" s="169"/>
      <c r="U1835" s="170"/>
      <c r="V1835" s="171"/>
    </row>
    <row r="1836" spans="1:22" hidden="1" outlineLevel="2" x14ac:dyDescent="0.25">
      <c r="A1836" s="186">
        <f>SUMIFS(МКД!$A$6:$A$389,МКД!$D$6:$D$389,Таблица1[[#This Row],[2]])</f>
        <v>310</v>
      </c>
      <c r="B1836" s="170"/>
      <c r="C1836" s="182" t="s">
        <v>649</v>
      </c>
      <c r="D1836" s="167" t="s">
        <v>1053</v>
      </c>
      <c r="E1836" s="167" t="s">
        <v>1949</v>
      </c>
      <c r="F1836" s="167">
        <v>1</v>
      </c>
      <c r="G1836" s="168">
        <f>SUMIFS(Таблица1[[#This Row],[8]:[19]],$I$5:$T$5,"Выкуп")</f>
        <v>24.1</v>
      </c>
      <c r="H1836" s="168">
        <f>SUMIFS(Таблица1[[#This Row],[8]:[19]],$I$5:$T$5,"Аренда")</f>
        <v>0</v>
      </c>
      <c r="I1836" s="169">
        <v>24.1</v>
      </c>
      <c r="J1836" s="169"/>
      <c r="K1836" s="169"/>
      <c r="L1836" s="169"/>
      <c r="M1836" s="169"/>
      <c r="N1836" s="169"/>
      <c r="O1836" s="169"/>
      <c r="P1836" s="169"/>
      <c r="Q1836" s="169"/>
      <c r="R1836" s="169"/>
      <c r="S1836" s="169"/>
      <c r="T1836" s="169"/>
      <c r="U1836" s="170"/>
      <c r="V1836" s="171"/>
    </row>
    <row r="1837" spans="1:22" ht="15" outlineLevel="1" collapsed="1" x14ac:dyDescent="0.25">
      <c r="A1837" s="186">
        <f>SUMIFS(МКД!$A$6:$A$389,МКД!$D$6:$D$389,Таблица1[[#This Row],[2]])</f>
        <v>311</v>
      </c>
      <c r="B1837" s="194">
        <f>SUMIFS(Таблица1[6],Таблица1[2],Таблица1[[#This Row],[2]])+SUMIFS(Таблица1[7],Таблица1[2],Таблица1[[#This Row],[2]])</f>
        <v>134.4</v>
      </c>
      <c r="C1837" s="185" t="s">
        <v>660</v>
      </c>
      <c r="D1837" s="196"/>
      <c r="E1837" s="196"/>
      <c r="F1837" s="196"/>
      <c r="G1837" s="168"/>
      <c r="H1837" s="197"/>
      <c r="I1837" s="196"/>
      <c r="J1837" s="196"/>
      <c r="K1837" s="196"/>
      <c r="L1837" s="196"/>
      <c r="M1837" s="196"/>
      <c r="N1837" s="196"/>
      <c r="O1837" s="196"/>
      <c r="P1837" s="196"/>
      <c r="Q1837" s="196"/>
      <c r="R1837" s="196"/>
      <c r="S1837" s="196"/>
      <c r="T1837" s="196"/>
      <c r="U1837" s="196"/>
      <c r="V1837" s="198"/>
    </row>
    <row r="1838" spans="1:22" hidden="1" outlineLevel="2" x14ac:dyDescent="0.25">
      <c r="A1838" s="186">
        <f>SUMIFS(МКД!$A$6:$A$389,МКД!$D$6:$D$389,Таблица1[[#This Row],[2]])</f>
        <v>311</v>
      </c>
      <c r="B1838" s="168"/>
      <c r="C1838" s="182" t="s">
        <v>660</v>
      </c>
      <c r="D1838" s="167" t="s">
        <v>1720</v>
      </c>
      <c r="E1838" s="167" t="s">
        <v>828</v>
      </c>
      <c r="F1838" s="167"/>
      <c r="G1838" s="168">
        <f>SUMIFS(Таблица1[[#This Row],[8]:[19]],$I$5:$T$5,"Выкуп")</f>
        <v>134.4</v>
      </c>
      <c r="H1838" s="168">
        <f>SUMIFS(Таблица1[[#This Row],[8]:[19]],$I$5:$T$5,"Аренда")</f>
        <v>0</v>
      </c>
      <c r="I1838" s="169"/>
      <c r="J1838" s="169"/>
      <c r="K1838" s="169">
        <v>134.4</v>
      </c>
      <c r="L1838" s="169"/>
      <c r="M1838" s="169"/>
      <c r="N1838" s="169"/>
      <c r="O1838" s="169"/>
      <c r="P1838" s="169"/>
      <c r="Q1838" s="169"/>
      <c r="R1838" s="169"/>
      <c r="S1838" s="169"/>
      <c r="T1838" s="169"/>
      <c r="U1838" s="170"/>
      <c r="V1838" s="171"/>
    </row>
    <row r="1839" spans="1:22" hidden="1" outlineLevel="2" x14ac:dyDescent="0.25">
      <c r="A1839" s="186">
        <f>SUMIFS(МКД!$A$6:$A$389,МКД!$D$6:$D$389,Таблица1[[#This Row],[2]])</f>
        <v>311</v>
      </c>
      <c r="B1839" s="168"/>
      <c r="C1839" s="182" t="s">
        <v>660</v>
      </c>
      <c r="D1839" s="167"/>
      <c r="E1839" s="167"/>
      <c r="F1839" s="167"/>
      <c r="G1839" s="168">
        <f>SUMIFS(Таблица1[[#This Row],[8]:[19]],$I$5:$T$5,"Выкуп")</f>
        <v>0</v>
      </c>
      <c r="H1839" s="168">
        <f>SUMIFS(Таблица1[[#This Row],[8]:[19]],$I$5:$T$5,"Аренда")</f>
        <v>0</v>
      </c>
      <c r="I1839" s="169"/>
      <c r="J1839" s="169"/>
      <c r="K1839" s="169"/>
      <c r="L1839" s="169"/>
      <c r="M1839" s="169"/>
      <c r="N1839" s="169"/>
      <c r="O1839" s="169"/>
      <c r="P1839" s="169"/>
      <c r="Q1839" s="169"/>
      <c r="R1839" s="169"/>
      <c r="S1839" s="169"/>
      <c r="T1839" s="169"/>
      <c r="U1839" s="170"/>
      <c r="V1839" s="171"/>
    </row>
    <row r="1840" spans="1:22" ht="15" outlineLevel="1" collapsed="1" x14ac:dyDescent="0.25">
      <c r="A1840" s="186">
        <f>SUMIFS(МКД!$A$6:$A$389,МКД!$D$6:$D$389,Таблица1[[#This Row],[2]])</f>
        <v>312</v>
      </c>
      <c r="B1840" s="194">
        <f>SUMIFS(Таблица1[6],Таблица1[2],Таблица1[[#This Row],[2]])+SUMIFS(Таблица1[7],Таблица1[2],Таблица1[[#This Row],[2]])</f>
        <v>292.89999999999998</v>
      </c>
      <c r="C1840" s="185" t="s">
        <v>706</v>
      </c>
      <c r="D1840" s="196"/>
      <c r="E1840" s="196"/>
      <c r="F1840" s="196"/>
      <c r="G1840" s="168"/>
      <c r="H1840" s="197"/>
      <c r="I1840" s="196"/>
      <c r="J1840" s="196"/>
      <c r="K1840" s="196"/>
      <c r="L1840" s="196"/>
      <c r="M1840" s="196"/>
      <c r="N1840" s="196"/>
      <c r="O1840" s="196"/>
      <c r="P1840" s="196"/>
      <c r="Q1840" s="196"/>
      <c r="R1840" s="196"/>
      <c r="S1840" s="196"/>
      <c r="T1840" s="196"/>
      <c r="U1840" s="196"/>
      <c r="V1840" s="198"/>
    </row>
    <row r="1841" spans="1:22" hidden="1" outlineLevel="2" x14ac:dyDescent="0.25">
      <c r="A1841" s="186">
        <f>SUMIFS(МКД!$A$6:$A$389,МКД!$D$6:$D$389,Таблица1[[#This Row],[2]])</f>
        <v>312</v>
      </c>
      <c r="B1841" s="170"/>
      <c r="C1841" s="182" t="s">
        <v>706</v>
      </c>
      <c r="D1841" s="167" t="s">
        <v>243</v>
      </c>
      <c r="E1841" s="167" t="s">
        <v>2770</v>
      </c>
      <c r="F1841" s="167">
        <v>1</v>
      </c>
      <c r="G1841" s="168">
        <f>SUMIFS(Таблица1[[#This Row],[8]:[19]],$I$5:$T$5,"Выкуп")</f>
        <v>16.100000000000001</v>
      </c>
      <c r="H1841" s="168">
        <f>SUMIFS(Таблица1[[#This Row],[8]:[19]],$I$5:$T$5,"Аренда")</f>
        <v>0</v>
      </c>
      <c r="I1841" s="169">
        <f>32.2/2</f>
        <v>16.100000000000001</v>
      </c>
      <c r="J1841" s="169"/>
      <c r="K1841" s="169"/>
      <c r="L1841" s="169"/>
      <c r="M1841" s="169"/>
      <c r="N1841" s="169"/>
      <c r="O1841" s="169"/>
      <c r="P1841" s="169"/>
      <c r="Q1841" s="169"/>
      <c r="R1841" s="169"/>
      <c r="S1841" s="169"/>
      <c r="T1841" s="169"/>
      <c r="U1841" s="170"/>
      <c r="V1841" s="171"/>
    </row>
    <row r="1842" spans="1:22" hidden="1" outlineLevel="2" x14ac:dyDescent="0.25">
      <c r="A1842" s="186">
        <f>SUMIFS(МКД!$A$6:$A$389,МКД!$D$6:$D$389,Таблица1[[#This Row],[2]])</f>
        <v>312</v>
      </c>
      <c r="B1842" s="170"/>
      <c r="C1842" s="182" t="s">
        <v>706</v>
      </c>
      <c r="D1842" s="167" t="s">
        <v>241</v>
      </c>
      <c r="E1842" s="167" t="s">
        <v>2770</v>
      </c>
      <c r="F1842" s="167">
        <v>1</v>
      </c>
      <c r="G1842" s="168">
        <f>SUMIFS(Таблица1[[#This Row],[8]:[19]],$I$5:$T$5,"Выкуп")</f>
        <v>16.100000000000001</v>
      </c>
      <c r="H1842" s="168">
        <f>SUMIFS(Таблица1[[#This Row],[8]:[19]],$I$5:$T$5,"Аренда")</f>
        <v>0</v>
      </c>
      <c r="I1842" s="169">
        <f>32.2/2</f>
        <v>16.100000000000001</v>
      </c>
      <c r="J1842" s="169"/>
      <c r="K1842" s="169"/>
      <c r="L1842" s="169"/>
      <c r="M1842" s="169"/>
      <c r="N1842" s="169"/>
      <c r="O1842" s="169"/>
      <c r="P1842" s="169"/>
      <c r="Q1842" s="169"/>
      <c r="R1842" s="169"/>
      <c r="S1842" s="169"/>
      <c r="T1842" s="169"/>
      <c r="U1842" s="170"/>
      <c r="V1842" s="171"/>
    </row>
    <row r="1843" spans="1:22" hidden="1" outlineLevel="2" x14ac:dyDescent="0.25">
      <c r="A1843" s="186">
        <f>SUMIFS(МКД!$A$6:$A$389,МКД!$D$6:$D$389,Таблица1[[#This Row],[2]])</f>
        <v>312</v>
      </c>
      <c r="B1843" s="170"/>
      <c r="C1843" s="182" t="s">
        <v>706</v>
      </c>
      <c r="D1843" s="167" t="s">
        <v>1593</v>
      </c>
      <c r="E1843" s="273" t="s">
        <v>1775</v>
      </c>
      <c r="F1843" s="167">
        <v>1</v>
      </c>
      <c r="G1843" s="168">
        <f>SUMIFS(Таблица1[[#This Row],[8]:[19]],$I$5:$T$5,"Выкуп")</f>
        <v>82.4</v>
      </c>
      <c r="H1843" s="168">
        <f>SUMIFS(Таблица1[[#This Row],[8]:[19]],$I$5:$T$5,"Аренда")</f>
        <v>0</v>
      </c>
      <c r="I1843" s="169"/>
      <c r="J1843" s="169"/>
      <c r="K1843" s="169">
        <v>82.4</v>
      </c>
      <c r="L1843" s="169"/>
      <c r="M1843" s="169"/>
      <c r="N1843" s="169"/>
      <c r="O1843" s="169"/>
      <c r="P1843" s="169"/>
      <c r="Q1843" s="169"/>
      <c r="R1843" s="169"/>
      <c r="S1843" s="169"/>
      <c r="T1843" s="169"/>
      <c r="U1843" s="170"/>
      <c r="V1843" s="171"/>
    </row>
    <row r="1844" spans="1:22" hidden="1" outlineLevel="2" x14ac:dyDescent="0.25">
      <c r="A1844" s="186">
        <f>SUMIFS(МКД!$A$6:$A$389,МКД!$D$6:$D$389,Таблица1[[#This Row],[2]])</f>
        <v>312</v>
      </c>
      <c r="B1844" s="168"/>
      <c r="C1844" s="182" t="s">
        <v>706</v>
      </c>
      <c r="D1844" s="167" t="s">
        <v>1678</v>
      </c>
      <c r="E1844" s="167" t="s">
        <v>762</v>
      </c>
      <c r="F1844" s="167">
        <v>1</v>
      </c>
      <c r="G1844" s="168">
        <f>SUMIFS(Таблица1[[#This Row],[8]:[19]],$I$5:$T$5,"Выкуп")</f>
        <v>135.1</v>
      </c>
      <c r="H1844" s="168">
        <f>SUMIFS(Таблица1[[#This Row],[8]:[19]],$I$5:$T$5,"Аренда")</f>
        <v>0</v>
      </c>
      <c r="I1844" s="169"/>
      <c r="J1844" s="169"/>
      <c r="K1844" s="169">
        <v>135.1</v>
      </c>
      <c r="L1844" s="169"/>
      <c r="M1844" s="169"/>
      <c r="N1844" s="169"/>
      <c r="O1844" s="169"/>
      <c r="P1844" s="169"/>
      <c r="Q1844" s="169"/>
      <c r="R1844" s="169"/>
      <c r="S1844" s="169"/>
      <c r="T1844" s="169"/>
      <c r="U1844" s="170"/>
      <c r="V1844" s="171"/>
    </row>
    <row r="1845" spans="1:22" hidden="1" outlineLevel="2" x14ac:dyDescent="0.25">
      <c r="A1845" s="186">
        <f>SUMIFS(МКД!$A$6:$A$389,МКД!$D$6:$D$389,Таблица1[[#This Row],[2]])</f>
        <v>312</v>
      </c>
      <c r="B1845" s="168"/>
      <c r="C1845" s="182" t="s">
        <v>706</v>
      </c>
      <c r="D1845" s="167" t="s">
        <v>243</v>
      </c>
      <c r="E1845" s="167" t="s">
        <v>1919</v>
      </c>
      <c r="F1845" s="167">
        <v>1</v>
      </c>
      <c r="G1845" s="168">
        <f>SUMIFS(Таблица1[[#This Row],[8]:[19]],$I$5:$T$5,"Выкуп")</f>
        <v>43.2</v>
      </c>
      <c r="H1845" s="168">
        <f>SUMIFS(Таблица1[[#This Row],[8]:[19]],$I$5:$T$5,"Аренда")</f>
        <v>0</v>
      </c>
      <c r="I1845" s="169">
        <v>43.2</v>
      </c>
      <c r="J1845" s="169"/>
      <c r="K1845" s="169"/>
      <c r="L1845" s="169"/>
      <c r="M1845" s="169"/>
      <c r="N1845" s="169"/>
      <c r="O1845" s="169"/>
      <c r="P1845" s="169"/>
      <c r="Q1845" s="169"/>
      <c r="R1845" s="169"/>
      <c r="S1845" s="169"/>
      <c r="T1845" s="169"/>
      <c r="U1845" s="170"/>
      <c r="V1845" s="171"/>
    </row>
    <row r="1846" spans="1:22" ht="15" outlineLevel="1" collapsed="1" x14ac:dyDescent="0.25">
      <c r="A1846" s="186">
        <f>SUMIFS(МКД!$A$6:$A$389,МКД!$D$6:$D$389,Таблица1[[#This Row],[2]])</f>
        <v>313</v>
      </c>
      <c r="B1846" s="194">
        <f>SUMIFS(Таблица1[6],Таблица1[2],Таблица1[[#This Row],[2]])+SUMIFS(Таблица1[7],Таблица1[2],Таблица1[[#This Row],[2]])</f>
        <v>634.6</v>
      </c>
      <c r="C1846" s="185" t="s">
        <v>707</v>
      </c>
      <c r="D1846" s="196"/>
      <c r="E1846" s="196"/>
      <c r="F1846" s="196"/>
      <c r="G1846" s="168"/>
      <c r="H1846" s="197"/>
      <c r="I1846" s="196"/>
      <c r="J1846" s="196"/>
      <c r="K1846" s="196"/>
      <c r="L1846" s="196"/>
      <c r="M1846" s="196"/>
      <c r="N1846" s="196"/>
      <c r="O1846" s="196"/>
      <c r="P1846" s="196"/>
      <c r="Q1846" s="196"/>
      <c r="R1846" s="196"/>
      <c r="S1846" s="196"/>
      <c r="T1846" s="196"/>
      <c r="U1846" s="196"/>
      <c r="V1846" s="198"/>
    </row>
    <row r="1847" spans="1:22" hidden="1" outlineLevel="2" x14ac:dyDescent="0.25">
      <c r="A1847" s="186">
        <f>SUMIFS(МКД!$A$6:$A$389,МКД!$D$6:$D$389,Таблица1[[#This Row],[2]])</f>
        <v>313</v>
      </c>
      <c r="B1847" s="170"/>
      <c r="C1847" s="182" t="s">
        <v>707</v>
      </c>
      <c r="D1847" s="167" t="s">
        <v>2416</v>
      </c>
      <c r="E1847" s="167" t="s">
        <v>2417</v>
      </c>
      <c r="F1847" s="167">
        <v>1</v>
      </c>
      <c r="G1847" s="168">
        <f>SUMIFS(Таблица1[[#This Row],[8]:[19]],$I$5:$T$5,"Выкуп")</f>
        <v>89</v>
      </c>
      <c r="H1847" s="168">
        <f>SUMIFS(Таблица1[[#This Row],[8]:[19]],$I$5:$T$5,"Аренда")</f>
        <v>0</v>
      </c>
      <c r="I1847" s="169">
        <v>89</v>
      </c>
      <c r="J1847" s="169"/>
      <c r="K1847" s="169"/>
      <c r="L1847" s="169"/>
      <c r="M1847" s="169"/>
      <c r="N1847" s="169"/>
      <c r="O1847" s="169"/>
      <c r="P1847" s="169"/>
      <c r="Q1847" s="169"/>
      <c r="R1847" s="169"/>
      <c r="S1847" s="169"/>
      <c r="T1847" s="169"/>
      <c r="U1847" s="170"/>
      <c r="V1847" s="171"/>
    </row>
    <row r="1848" spans="1:22" hidden="1" outlineLevel="2" x14ac:dyDescent="0.25">
      <c r="A1848" s="186">
        <f>SUMIFS(МКД!$A$6:$A$389,МКД!$D$6:$D$389,Таблица1[[#This Row],[2]])</f>
        <v>313</v>
      </c>
      <c r="B1848" s="168"/>
      <c r="C1848" s="182" t="s">
        <v>707</v>
      </c>
      <c r="D1848" s="167" t="s">
        <v>40</v>
      </c>
      <c r="E1848" s="167" t="s">
        <v>2418</v>
      </c>
      <c r="F1848" s="167">
        <v>2</v>
      </c>
      <c r="G1848" s="168">
        <f>SUMIFS(Таблица1[[#This Row],[8]:[19]],$I$5:$T$5,"Выкуп")</f>
        <v>62.5</v>
      </c>
      <c r="H1848" s="168">
        <f>SUMIFS(Таблица1[[#This Row],[8]:[19]],$I$5:$T$5,"Аренда")</f>
        <v>0</v>
      </c>
      <c r="I1848" s="169">
        <v>62.5</v>
      </c>
      <c r="J1848" s="169"/>
      <c r="K1848" s="169"/>
      <c r="L1848" s="169"/>
      <c r="M1848" s="169"/>
      <c r="N1848" s="169"/>
      <c r="O1848" s="169"/>
      <c r="P1848" s="169"/>
      <c r="Q1848" s="169"/>
      <c r="R1848" s="169"/>
      <c r="S1848" s="169"/>
      <c r="T1848" s="169"/>
      <c r="U1848" s="170"/>
      <c r="V1848" s="171"/>
    </row>
    <row r="1849" spans="1:22" hidden="1" outlineLevel="2" x14ac:dyDescent="0.25">
      <c r="A1849" s="186">
        <f>SUMIFS(МКД!$A$6:$A$389,МКД!$D$6:$D$389,Таблица1[[#This Row],[2]])</f>
        <v>313</v>
      </c>
      <c r="B1849" s="168"/>
      <c r="C1849" s="182" t="s">
        <v>707</v>
      </c>
      <c r="D1849" s="167" t="s">
        <v>2771</v>
      </c>
      <c r="E1849" s="167" t="s">
        <v>2515</v>
      </c>
      <c r="F1849" s="167">
        <v>1</v>
      </c>
      <c r="G1849" s="168">
        <f>SUMIFS(Таблица1[[#This Row],[8]:[19]],$I$5:$T$5,"Выкуп")</f>
        <v>72.5</v>
      </c>
      <c r="H1849" s="168">
        <f>SUMIFS(Таблица1[[#This Row],[8]:[19]],$I$5:$T$5,"Аренда")</f>
        <v>0</v>
      </c>
      <c r="I1849" s="169">
        <v>72.5</v>
      </c>
      <c r="J1849" s="169"/>
      <c r="K1849" s="169"/>
      <c r="L1849" s="169"/>
      <c r="M1849" s="169"/>
      <c r="N1849" s="169"/>
      <c r="O1849" s="169"/>
      <c r="P1849" s="169"/>
      <c r="Q1849" s="169"/>
      <c r="R1849" s="169"/>
      <c r="S1849" s="169"/>
      <c r="T1849" s="169"/>
      <c r="U1849" s="170"/>
      <c r="V1849" s="171"/>
    </row>
    <row r="1850" spans="1:22" hidden="1" outlineLevel="2" x14ac:dyDescent="0.25">
      <c r="A1850" s="186">
        <f>SUMIFS(МКД!$A$6:$A$389,МКД!$D$6:$D$389,Таблица1[[#This Row],[2]])</f>
        <v>313</v>
      </c>
      <c r="B1850" s="168"/>
      <c r="C1850" s="182" t="s">
        <v>707</v>
      </c>
      <c r="D1850" s="167" t="s">
        <v>104</v>
      </c>
      <c r="E1850" s="167" t="s">
        <v>2731</v>
      </c>
      <c r="F1850" s="167">
        <v>2</v>
      </c>
      <c r="G1850" s="168">
        <f>SUMIFS(Таблица1[[#This Row],[8]:[19]],$I$5:$T$5,"Выкуп")</f>
        <v>0</v>
      </c>
      <c r="H1850" s="168">
        <f>SUMIFS(Таблица1[[#This Row],[8]:[19]],$I$5:$T$5,"Аренда")</f>
        <v>0</v>
      </c>
      <c r="I1850" s="169"/>
      <c r="J1850" s="169"/>
      <c r="K1850" s="169"/>
      <c r="L1850" s="169"/>
      <c r="M1850" s="169"/>
      <c r="N1850" s="169"/>
      <c r="O1850" s="169"/>
      <c r="P1850" s="169">
        <f>7.5*0</f>
        <v>0</v>
      </c>
      <c r="Q1850" s="169"/>
      <c r="R1850" s="169"/>
      <c r="S1850" s="169"/>
      <c r="T1850" s="169"/>
      <c r="U1850" s="170"/>
      <c r="V1850" s="171"/>
    </row>
    <row r="1851" spans="1:22" hidden="1" outlineLevel="2" x14ac:dyDescent="0.25">
      <c r="A1851" s="186">
        <f>SUMIFS(МКД!$A$6:$A$389,МКД!$D$6:$D$389,Таблица1[[#This Row],[2]])</f>
        <v>313</v>
      </c>
      <c r="B1851" s="168"/>
      <c r="C1851" s="182" t="s">
        <v>707</v>
      </c>
      <c r="D1851" s="167" t="s">
        <v>2419</v>
      </c>
      <c r="E1851" s="167" t="s">
        <v>2420</v>
      </c>
      <c r="F1851" s="167">
        <v>1</v>
      </c>
      <c r="G1851" s="168">
        <f>SUMIFS(Таблица1[[#This Row],[8]:[19]],$I$5:$T$5,"Выкуп")</f>
        <v>41.7</v>
      </c>
      <c r="H1851" s="168">
        <f>SUMIFS(Таблица1[[#This Row],[8]:[19]],$I$5:$T$5,"Аренда")</f>
        <v>0</v>
      </c>
      <c r="I1851" s="169">
        <v>41.7</v>
      </c>
      <c r="J1851" s="169"/>
      <c r="K1851" s="169"/>
      <c r="L1851" s="169"/>
      <c r="M1851" s="169"/>
      <c r="N1851" s="169"/>
      <c r="O1851" s="169"/>
      <c r="P1851" s="169"/>
      <c r="Q1851" s="169"/>
      <c r="R1851" s="169"/>
      <c r="S1851" s="169"/>
      <c r="T1851" s="169"/>
      <c r="U1851" s="170"/>
      <c r="V1851" s="171"/>
    </row>
    <row r="1852" spans="1:22" hidden="1" outlineLevel="2" x14ac:dyDescent="0.25">
      <c r="A1852" s="186">
        <f>SUMIFS(МКД!$A$6:$A$389,МКД!$D$6:$D$389,Таблица1[[#This Row],[2]])</f>
        <v>313</v>
      </c>
      <c r="B1852" s="168"/>
      <c r="C1852" s="182" t="s">
        <v>707</v>
      </c>
      <c r="D1852" s="167" t="s">
        <v>1611</v>
      </c>
      <c r="E1852" s="167" t="s">
        <v>1610</v>
      </c>
      <c r="F1852" s="167">
        <v>2</v>
      </c>
      <c r="G1852" s="168">
        <f>SUMIFS(Таблица1[[#This Row],[8]:[19]],$I$5:$T$5,"Выкуп")</f>
        <v>43.1</v>
      </c>
      <c r="H1852" s="168">
        <f>SUMIFS(Таблица1[[#This Row],[8]:[19]],$I$5:$T$5,"Аренда")</f>
        <v>0</v>
      </c>
      <c r="I1852" s="169">
        <v>43.1</v>
      </c>
      <c r="J1852" s="169"/>
      <c r="K1852" s="169"/>
      <c r="L1852" s="169"/>
      <c r="M1852" s="169"/>
      <c r="N1852" s="169"/>
      <c r="O1852" s="169"/>
      <c r="P1852" s="169"/>
      <c r="Q1852" s="169"/>
      <c r="R1852" s="169"/>
      <c r="S1852" s="169"/>
      <c r="T1852" s="169"/>
      <c r="U1852" s="170"/>
      <c r="V1852" s="171"/>
    </row>
    <row r="1853" spans="1:22" hidden="1" outlineLevel="2" x14ac:dyDescent="0.25">
      <c r="A1853" s="186">
        <f>SUMIFS(МКД!$A$6:$A$389,МКД!$D$6:$D$389,Таблица1[[#This Row],[2]])</f>
        <v>313</v>
      </c>
      <c r="B1853" s="168"/>
      <c r="C1853" s="182" t="s">
        <v>707</v>
      </c>
      <c r="D1853" s="167" t="s">
        <v>41</v>
      </c>
      <c r="E1853" s="167" t="s">
        <v>2421</v>
      </c>
      <c r="F1853" s="167">
        <v>1</v>
      </c>
      <c r="G1853" s="168">
        <f>SUMIFS(Таблица1[[#This Row],[8]:[19]],$I$5:$T$5,"Выкуп")</f>
        <v>45.2</v>
      </c>
      <c r="H1853" s="168">
        <f>SUMIFS(Таблица1[[#This Row],[8]:[19]],$I$5:$T$5,"Аренда")</f>
        <v>0</v>
      </c>
      <c r="I1853" s="169">
        <v>45.2</v>
      </c>
      <c r="J1853" s="169"/>
      <c r="K1853" s="169"/>
      <c r="L1853" s="169"/>
      <c r="M1853" s="169"/>
      <c r="N1853" s="169"/>
      <c r="O1853" s="169"/>
      <c r="P1853" s="169"/>
      <c r="Q1853" s="169"/>
      <c r="R1853" s="169"/>
      <c r="S1853" s="169"/>
      <c r="T1853" s="169"/>
      <c r="U1853" s="170"/>
      <c r="V1853" s="171"/>
    </row>
    <row r="1854" spans="1:22" hidden="1" outlineLevel="2" x14ac:dyDescent="0.25">
      <c r="A1854" s="186">
        <f>SUMIFS(МКД!$A$6:$A$389,МКД!$D$6:$D$389,Таблица1[[#This Row],[2]])</f>
        <v>313</v>
      </c>
      <c r="B1854" s="168"/>
      <c r="C1854" s="182" t="s">
        <v>707</v>
      </c>
      <c r="D1854" s="167" t="s">
        <v>1709</v>
      </c>
      <c r="E1854" s="167" t="s">
        <v>1708</v>
      </c>
      <c r="F1854" s="167">
        <v>2</v>
      </c>
      <c r="G1854" s="168">
        <f>SUMIFS(Таблица1[[#This Row],[8]:[19]],$I$5:$T$5,"Выкуп")</f>
        <v>70.2</v>
      </c>
      <c r="H1854" s="168">
        <f>SUMIFS(Таблица1[[#This Row],[8]:[19]],$I$5:$T$5,"Аренда")</f>
        <v>0</v>
      </c>
      <c r="I1854" s="169">
        <v>70.2</v>
      </c>
      <c r="J1854" s="169"/>
      <c r="K1854" s="169"/>
      <c r="L1854" s="169"/>
      <c r="M1854" s="169"/>
      <c r="N1854" s="169"/>
      <c r="O1854" s="169"/>
      <c r="P1854" s="169"/>
      <c r="Q1854" s="169"/>
      <c r="R1854" s="169"/>
      <c r="S1854" s="169"/>
      <c r="T1854" s="169"/>
      <c r="U1854" s="170"/>
      <c r="V1854" s="171"/>
    </row>
    <row r="1855" spans="1:22" hidden="1" outlineLevel="2" x14ac:dyDescent="0.25">
      <c r="A1855" s="186">
        <f>SUMIFS(МКД!$A$6:$A$389,МКД!$D$6:$D$389,Таблица1[[#This Row],[2]])</f>
        <v>313</v>
      </c>
      <c r="B1855" s="168"/>
      <c r="C1855" s="182" t="s">
        <v>707</v>
      </c>
      <c r="D1855" s="167" t="s">
        <v>2423</v>
      </c>
      <c r="E1855" s="167" t="s">
        <v>2422</v>
      </c>
      <c r="F1855" s="167">
        <v>2</v>
      </c>
      <c r="G1855" s="168">
        <f>SUMIFS(Таблица1[[#This Row],[8]:[19]],$I$5:$T$5,"Выкуп")</f>
        <v>73.599999999999994</v>
      </c>
      <c r="H1855" s="168">
        <f>SUMIFS(Таблица1[[#This Row],[8]:[19]],$I$5:$T$5,"Аренда")</f>
        <v>0</v>
      </c>
      <c r="I1855" s="169">
        <v>73.599999999999994</v>
      </c>
      <c r="J1855" s="169"/>
      <c r="K1855" s="169"/>
      <c r="L1855" s="169"/>
      <c r="M1855" s="169"/>
      <c r="N1855" s="169"/>
      <c r="O1855" s="169"/>
      <c r="P1855" s="169"/>
      <c r="Q1855" s="169"/>
      <c r="R1855" s="169"/>
      <c r="S1855" s="169"/>
      <c r="T1855" s="169"/>
      <c r="U1855" s="170"/>
      <c r="V1855" s="171"/>
    </row>
    <row r="1856" spans="1:22" hidden="1" outlineLevel="2" x14ac:dyDescent="0.25">
      <c r="A1856" s="186">
        <f>SUMIFS(МКД!$A$6:$A$389,МКД!$D$6:$D$389,Таблица1[[#This Row],[2]])</f>
        <v>313</v>
      </c>
      <c r="B1856" s="168"/>
      <c r="C1856" s="182" t="s">
        <v>707</v>
      </c>
      <c r="D1856" s="167" t="s">
        <v>1661</v>
      </c>
      <c r="E1856" s="167" t="s">
        <v>1662</v>
      </c>
      <c r="F1856" s="167">
        <v>2</v>
      </c>
      <c r="G1856" s="168">
        <f>SUMIFS(Таблица1[[#This Row],[8]:[19]],$I$5:$T$5,"Выкуп")</f>
        <v>44.7</v>
      </c>
      <c r="H1856" s="168">
        <f>SUMIFS(Таблица1[[#This Row],[8]:[19]],$I$5:$T$5,"Аренда")</f>
        <v>0</v>
      </c>
      <c r="I1856" s="169">
        <v>44.7</v>
      </c>
      <c r="J1856" s="169"/>
      <c r="K1856" s="169"/>
      <c r="L1856" s="169"/>
      <c r="M1856" s="169"/>
      <c r="N1856" s="169"/>
      <c r="O1856" s="169"/>
      <c r="P1856" s="169"/>
      <c r="Q1856" s="169"/>
      <c r="R1856" s="169"/>
      <c r="S1856" s="169"/>
      <c r="T1856" s="169"/>
      <c r="U1856" s="170"/>
      <c r="V1856" s="171"/>
    </row>
    <row r="1857" spans="1:22" hidden="1" outlineLevel="2" x14ac:dyDescent="0.25">
      <c r="A1857" s="186">
        <f>SUMIFS(МКД!$A$6:$A$389,МКД!$D$6:$D$389,Таблица1[[#This Row],[2]])</f>
        <v>313</v>
      </c>
      <c r="B1857" s="168"/>
      <c r="C1857" s="182" t="s">
        <v>707</v>
      </c>
      <c r="D1857" s="167" t="s">
        <v>3</v>
      </c>
      <c r="E1857" s="167" t="s">
        <v>1408</v>
      </c>
      <c r="F1857" s="167">
        <v>2</v>
      </c>
      <c r="G1857" s="168">
        <f>SUMIFS(Таблица1[[#This Row],[8]:[19]],$I$5:$T$5,"Выкуп")</f>
        <v>45.2</v>
      </c>
      <c r="H1857" s="168">
        <f>SUMIFS(Таблица1[[#This Row],[8]:[19]],$I$5:$T$5,"Аренда")</f>
        <v>0</v>
      </c>
      <c r="I1857" s="169">
        <v>45.2</v>
      </c>
      <c r="J1857" s="169"/>
      <c r="K1857" s="169"/>
      <c r="L1857" s="169"/>
      <c r="M1857" s="169"/>
      <c r="N1857" s="169"/>
      <c r="O1857" s="169"/>
      <c r="P1857" s="169"/>
      <c r="Q1857" s="169"/>
      <c r="R1857" s="169"/>
      <c r="S1857" s="169"/>
      <c r="T1857" s="169"/>
      <c r="U1857" s="170"/>
      <c r="V1857" s="171"/>
    </row>
    <row r="1858" spans="1:22" hidden="1" outlineLevel="2" x14ac:dyDescent="0.25">
      <c r="A1858" s="186">
        <f>SUMIFS(МКД!$A$6:$A$389,МКД!$D$6:$D$389,Таблица1[[#This Row],[2]])</f>
        <v>313</v>
      </c>
      <c r="B1858" s="168"/>
      <c r="C1858" s="182" t="s">
        <v>707</v>
      </c>
      <c r="D1858" s="167" t="s">
        <v>42</v>
      </c>
      <c r="E1858" s="167" t="s">
        <v>2424</v>
      </c>
      <c r="F1858" s="167">
        <v>2</v>
      </c>
      <c r="G1858" s="168">
        <f>SUMIFS(Таблица1[[#This Row],[8]:[19]],$I$5:$T$5,"Выкуп")</f>
        <v>46.9</v>
      </c>
      <c r="H1858" s="168">
        <f>SUMIFS(Таблица1[[#This Row],[8]:[19]],$I$5:$T$5,"Аренда")</f>
        <v>0</v>
      </c>
      <c r="I1858" s="169">
        <v>46.9</v>
      </c>
      <c r="J1858" s="169"/>
      <c r="K1858" s="169"/>
      <c r="L1858" s="169"/>
      <c r="M1858" s="169"/>
      <c r="N1858" s="169"/>
      <c r="O1858" s="169"/>
      <c r="P1858" s="169"/>
      <c r="Q1858" s="169"/>
      <c r="R1858" s="169"/>
      <c r="S1858" s="169"/>
      <c r="T1858" s="169"/>
      <c r="U1858" s="170"/>
      <c r="V1858" s="171"/>
    </row>
    <row r="1859" spans="1:22" ht="15" outlineLevel="1" collapsed="1" x14ac:dyDescent="0.25">
      <c r="A1859" s="186">
        <f>SUMIFS(МКД!$A$6:$A$389,МКД!$D$6:$D$389,Таблица1[[#This Row],[2]])</f>
        <v>314</v>
      </c>
      <c r="B1859" s="194">
        <f>SUMIFS(Таблица1[6],Таблица1[2],Таблица1[[#This Row],[2]])+SUMIFS(Таблица1[7],Таблица1[2],Таблица1[[#This Row],[2]])</f>
        <v>35</v>
      </c>
      <c r="C1859" s="185" t="s">
        <v>708</v>
      </c>
      <c r="D1859" s="196"/>
      <c r="E1859" s="196"/>
      <c r="F1859" s="196"/>
      <c r="G1859" s="168"/>
      <c r="H1859" s="197"/>
      <c r="I1859" s="196"/>
      <c r="J1859" s="196"/>
      <c r="K1859" s="196"/>
      <c r="L1859" s="196"/>
      <c r="M1859" s="196"/>
      <c r="N1859" s="196"/>
      <c r="O1859" s="196"/>
      <c r="P1859" s="196"/>
      <c r="Q1859" s="196"/>
      <c r="R1859" s="196"/>
      <c r="S1859" s="196"/>
      <c r="T1859" s="196"/>
      <c r="U1859" s="196"/>
      <c r="V1859" s="198"/>
    </row>
    <row r="1860" spans="1:22" ht="15" hidden="1" outlineLevel="2" x14ac:dyDescent="0.25">
      <c r="A1860" s="186">
        <f>SUMIFS(МКД!$A$6:$A$389,МКД!$D$6:$D$389,Таблица1[[#This Row],[2]])</f>
        <v>314</v>
      </c>
      <c r="B1860" s="196"/>
      <c r="C1860" s="182" t="s">
        <v>708</v>
      </c>
      <c r="D1860" s="196" t="s">
        <v>1488</v>
      </c>
      <c r="E1860" s="196" t="s">
        <v>828</v>
      </c>
      <c r="F1860" s="196"/>
      <c r="G1860" s="168">
        <f>SUMIFS(Таблица1[[#This Row],[8]:[19]],$I$5:$T$5,"Выкуп")</f>
        <v>35</v>
      </c>
      <c r="H1860" s="168">
        <f>SUMIFS(Таблица1[[#This Row],[8]:[19]],$I$5:$T$5,"Аренда")</f>
        <v>0</v>
      </c>
      <c r="I1860" s="196"/>
      <c r="J1860" s="196"/>
      <c r="K1860" s="196"/>
      <c r="L1860" s="196"/>
      <c r="M1860" s="196"/>
      <c r="N1860" s="196"/>
      <c r="O1860" s="196"/>
      <c r="P1860" s="196"/>
      <c r="Q1860" s="196"/>
      <c r="R1860" s="196"/>
      <c r="S1860" s="196">
        <v>35</v>
      </c>
      <c r="T1860" s="196"/>
      <c r="U1860" s="196"/>
      <c r="V1860" s="198"/>
    </row>
    <row r="1861" spans="1:22" ht="15" outlineLevel="1" collapsed="1" x14ac:dyDescent="0.25">
      <c r="A1861" s="186">
        <f>SUMIFS(МКД!$A$6:$A$389,МКД!$D$6:$D$389,Таблица1[[#This Row],[2]])</f>
        <v>316</v>
      </c>
      <c r="B1861" s="194">
        <f>SUMIFS(Таблица1[6],Таблица1[2],Таблица1[[#This Row],[2]])+SUMIFS(Таблица1[7],Таблица1[2],Таблица1[[#This Row],[2]])</f>
        <v>0</v>
      </c>
      <c r="C1861" s="185" t="s">
        <v>709</v>
      </c>
      <c r="D1861" s="196"/>
      <c r="E1861" s="196"/>
      <c r="F1861" s="196"/>
      <c r="G1861" s="168"/>
      <c r="H1861" s="197"/>
      <c r="I1861" s="196"/>
      <c r="J1861" s="196"/>
      <c r="K1861" s="196"/>
      <c r="L1861" s="196"/>
      <c r="M1861" s="196"/>
      <c r="N1861" s="196"/>
      <c r="O1861" s="196"/>
      <c r="P1861" s="196"/>
      <c r="Q1861" s="196"/>
      <c r="R1861" s="196"/>
      <c r="S1861" s="196"/>
      <c r="T1861" s="196"/>
      <c r="U1861" s="196"/>
      <c r="V1861" s="198"/>
    </row>
    <row r="1862" spans="1:22" ht="15" hidden="1" outlineLevel="2" x14ac:dyDescent="0.25">
      <c r="A1862" s="186">
        <f>SUMIFS(МКД!$A$6:$A$389,МКД!$D$6:$D$389,Таблица1[[#This Row],[2]])</f>
        <v>316</v>
      </c>
      <c r="B1862" s="196"/>
      <c r="C1862" s="182" t="s">
        <v>709</v>
      </c>
      <c r="D1862" s="196"/>
      <c r="E1862" s="196"/>
      <c r="F1862" s="196"/>
      <c r="G1862" s="168">
        <f>SUMIFS(Таблица1[[#This Row],[8]:[19]],$I$5:$T$5,"Выкуп")</f>
        <v>0</v>
      </c>
      <c r="H1862" s="168">
        <f>SUMIFS(Таблица1[[#This Row],[8]:[19]],$I$5:$T$5,"Аренда")</f>
        <v>0</v>
      </c>
      <c r="I1862" s="196"/>
      <c r="J1862" s="196"/>
      <c r="K1862" s="196"/>
      <c r="L1862" s="196"/>
      <c r="M1862" s="196"/>
      <c r="N1862" s="196"/>
      <c r="O1862" s="196"/>
      <c r="P1862" s="196"/>
      <c r="Q1862" s="196"/>
      <c r="R1862" s="196"/>
      <c r="S1862" s="196"/>
      <c r="T1862" s="196"/>
      <c r="U1862" s="196"/>
      <c r="V1862" s="198"/>
    </row>
    <row r="1863" spans="1:22" ht="15" outlineLevel="1" collapsed="1" x14ac:dyDescent="0.25">
      <c r="A1863" s="186">
        <f>SUMIFS(МКД!$A$6:$A$389,МКД!$D$6:$D$389,Таблица1[[#This Row],[2]])</f>
        <v>317</v>
      </c>
      <c r="B1863" s="194">
        <f>SUMIFS(Таблица1[6],Таблица1[2],Таблица1[[#This Row],[2]])+SUMIFS(Таблица1[7],Таблица1[2],Таблица1[[#This Row],[2]])</f>
        <v>0</v>
      </c>
      <c r="C1863" s="185" t="s">
        <v>710</v>
      </c>
      <c r="D1863" s="196"/>
      <c r="E1863" s="196"/>
      <c r="F1863" s="196"/>
      <c r="G1863" s="168"/>
      <c r="H1863" s="197"/>
      <c r="I1863" s="196"/>
      <c r="J1863" s="196"/>
      <c r="K1863" s="196"/>
      <c r="L1863" s="196"/>
      <c r="M1863" s="196"/>
      <c r="N1863" s="196"/>
      <c r="O1863" s="196"/>
      <c r="P1863" s="196"/>
      <c r="Q1863" s="196"/>
      <c r="R1863" s="196"/>
      <c r="S1863" s="196"/>
      <c r="T1863" s="196"/>
      <c r="U1863" s="196"/>
      <c r="V1863" s="198"/>
    </row>
    <row r="1864" spans="1:22" ht="15" hidden="1" outlineLevel="2" x14ac:dyDescent="0.25">
      <c r="A1864" s="186">
        <f>SUMIFS(МКД!$A$6:$A$389,МКД!$D$6:$D$389,Таблица1[[#This Row],[2]])</f>
        <v>317</v>
      </c>
      <c r="B1864" s="196"/>
      <c r="C1864" s="182" t="s">
        <v>710</v>
      </c>
      <c r="D1864" s="196"/>
      <c r="E1864" s="196"/>
      <c r="F1864" s="196"/>
      <c r="G1864" s="168">
        <f>SUMIFS(Таблица1[[#This Row],[8]:[19]],$I$5:$T$5,"Выкуп")</f>
        <v>0</v>
      </c>
      <c r="H1864" s="168">
        <f>SUMIFS(Таблица1[[#This Row],[8]:[19]],$I$5:$T$5,"Аренда")</f>
        <v>0</v>
      </c>
      <c r="I1864" s="196"/>
      <c r="J1864" s="196"/>
      <c r="K1864" s="196"/>
      <c r="L1864" s="196"/>
      <c r="M1864" s="196"/>
      <c r="N1864" s="196"/>
      <c r="O1864" s="196"/>
      <c r="P1864" s="196"/>
      <c r="Q1864" s="196"/>
      <c r="R1864" s="196"/>
      <c r="S1864" s="196"/>
      <c r="T1864" s="196"/>
      <c r="U1864" s="196"/>
      <c r="V1864" s="198"/>
    </row>
    <row r="1865" spans="1:22" ht="15" outlineLevel="1" collapsed="1" x14ac:dyDescent="0.25">
      <c r="A1865" s="186">
        <f>SUMIFS(МКД!$A$6:$A$389,МКД!$D$6:$D$389,Таблица1[[#This Row],[2]])</f>
        <v>318</v>
      </c>
      <c r="B1865" s="194">
        <f>SUMIFS(Таблица1[6],Таблица1[2],Таблица1[[#This Row],[2]])+SUMIFS(Таблица1[7],Таблица1[2],Таблица1[[#This Row],[2]])</f>
        <v>28.8</v>
      </c>
      <c r="C1865" s="185" t="s">
        <v>711</v>
      </c>
      <c r="D1865" s="196"/>
      <c r="E1865" s="196"/>
      <c r="F1865" s="196"/>
      <c r="G1865" s="168"/>
      <c r="H1865" s="197"/>
      <c r="I1865" s="196"/>
      <c r="J1865" s="196"/>
      <c r="K1865" s="196"/>
      <c r="L1865" s="196"/>
      <c r="M1865" s="196"/>
      <c r="N1865" s="196"/>
      <c r="O1865" s="196"/>
      <c r="P1865" s="196"/>
      <c r="Q1865" s="196"/>
      <c r="R1865" s="196"/>
      <c r="S1865" s="196"/>
      <c r="T1865" s="196"/>
      <c r="U1865" s="196"/>
      <c r="V1865" s="198"/>
    </row>
    <row r="1866" spans="1:22" hidden="1" outlineLevel="2" x14ac:dyDescent="0.25">
      <c r="A1866" s="186">
        <f>SUMIFS(МКД!$A$6:$A$389,МКД!$D$6:$D$389,Таблица1[[#This Row],[2]])</f>
        <v>318</v>
      </c>
      <c r="B1866" s="170"/>
      <c r="C1866" s="182" t="s">
        <v>711</v>
      </c>
      <c r="D1866" s="167" t="s">
        <v>2098</v>
      </c>
      <c r="E1866" s="167" t="s">
        <v>2097</v>
      </c>
      <c r="F1866" s="167">
        <v>1</v>
      </c>
      <c r="G1866" s="168">
        <f>SUMIFS(Таблица1[[#This Row],[8]:[19]],$I$5:$T$5,"Выкуп")</f>
        <v>28.8</v>
      </c>
      <c r="H1866" s="168">
        <f>SUMIFS(Таблица1[[#This Row],[8]:[19]],$I$5:$T$5,"Аренда")</f>
        <v>0</v>
      </c>
      <c r="I1866" s="169">
        <v>28.8</v>
      </c>
      <c r="J1866" s="169"/>
      <c r="K1866" s="169"/>
      <c r="L1866" s="169"/>
      <c r="M1866" s="169"/>
      <c r="N1866" s="169"/>
      <c r="O1866" s="169"/>
      <c r="P1866" s="169"/>
      <c r="Q1866" s="169"/>
      <c r="R1866" s="169"/>
      <c r="S1866" s="169"/>
      <c r="T1866" s="169"/>
      <c r="U1866" s="170"/>
      <c r="V1866" s="171"/>
    </row>
    <row r="1867" spans="1:22" ht="15" outlineLevel="1" collapsed="1" x14ac:dyDescent="0.25">
      <c r="A1867" s="186">
        <f>SUMIFS(МКД!$A$6:$A$389,МКД!$D$6:$D$389,Таблица1[[#This Row],[2]])</f>
        <v>319</v>
      </c>
      <c r="B1867" s="194">
        <f>SUMIFS(Таблица1[6],Таблица1[2],Таблица1[[#This Row],[2]])+SUMIFS(Таблица1[7],Таблица1[2],Таблица1[[#This Row],[2]])</f>
        <v>58.5</v>
      </c>
      <c r="C1867" s="185" t="s">
        <v>712</v>
      </c>
      <c r="D1867" s="196"/>
      <c r="E1867" s="196"/>
      <c r="F1867" s="196"/>
      <c r="G1867" s="168"/>
      <c r="H1867" s="197"/>
      <c r="I1867" s="196"/>
      <c r="J1867" s="196"/>
      <c r="K1867" s="196"/>
      <c r="L1867" s="196"/>
      <c r="M1867" s="196"/>
      <c r="N1867" s="196"/>
      <c r="O1867" s="196"/>
      <c r="P1867" s="196"/>
      <c r="Q1867" s="196"/>
      <c r="R1867" s="196"/>
      <c r="S1867" s="196"/>
      <c r="T1867" s="196"/>
      <c r="U1867" s="196"/>
      <c r="V1867" s="198"/>
    </row>
    <row r="1868" spans="1:22" ht="15" hidden="1" outlineLevel="2" x14ac:dyDescent="0.25">
      <c r="A1868" s="186">
        <f>SUMIFS(МКД!$A$6:$A$389,МКД!$D$6:$D$389,Таблица1[[#This Row],[2]])</f>
        <v>319</v>
      </c>
      <c r="B1868" s="170"/>
      <c r="C1868" s="182" t="s">
        <v>712</v>
      </c>
      <c r="D1868" s="167"/>
      <c r="E1868" s="167" t="s">
        <v>1816</v>
      </c>
      <c r="F1868" s="167">
        <v>2</v>
      </c>
      <c r="G1868" s="168">
        <f>SUMIFS(Таблица1[[#This Row],[8]:[19]],$I$5:$T$5,"Выкуп")</f>
        <v>0</v>
      </c>
      <c r="H1868" s="168">
        <f>SUMIFS(Таблица1[[#This Row],[8]:[19]],$I$5:$T$5,"Аренда")</f>
        <v>0</v>
      </c>
      <c r="I1868" s="169"/>
      <c r="J1868" s="169"/>
      <c r="K1868" s="169"/>
      <c r="L1868" s="169"/>
      <c r="M1868" s="169"/>
      <c r="N1868" s="169"/>
      <c r="O1868" s="169"/>
      <c r="P1868" s="169">
        <f>8.8*0</f>
        <v>0</v>
      </c>
      <c r="Q1868" s="169"/>
      <c r="R1868" s="169"/>
      <c r="S1868" s="169"/>
      <c r="T1868" s="169"/>
      <c r="U1868" s="170"/>
      <c r="V1868" s="171"/>
    </row>
    <row r="1869" spans="1:22" hidden="1" outlineLevel="2" x14ac:dyDescent="0.25">
      <c r="A1869" s="186">
        <f>SUMIFS(МКД!$A$6:$A$389,МКД!$D$6:$D$389,Таблица1[[#This Row],[2]])</f>
        <v>319</v>
      </c>
      <c r="B1869" s="168"/>
      <c r="C1869" s="182" t="s">
        <v>712</v>
      </c>
      <c r="D1869" s="167" t="s">
        <v>1045</v>
      </c>
      <c r="E1869" s="167" t="s">
        <v>43</v>
      </c>
      <c r="F1869" s="167">
        <v>1</v>
      </c>
      <c r="G1869" s="168">
        <f>SUMIFS(Таблица1[[#This Row],[8]:[19]],$I$5:$T$5,"Выкуп")</f>
        <v>58.5</v>
      </c>
      <c r="H1869" s="168">
        <f>SUMIFS(Таблица1[[#This Row],[8]:[19]],$I$5:$T$5,"Аренда")</f>
        <v>0</v>
      </c>
      <c r="I1869" s="169"/>
      <c r="J1869" s="169"/>
      <c r="K1869" s="169">
        <v>58.5</v>
      </c>
      <c r="L1869" s="169"/>
      <c r="M1869" s="169"/>
      <c r="N1869" s="169"/>
      <c r="O1869" s="169"/>
      <c r="P1869" s="169"/>
      <c r="Q1869" s="169"/>
      <c r="R1869" s="169"/>
      <c r="S1869" s="169"/>
      <c r="T1869" s="169"/>
      <c r="U1869" s="170"/>
      <c r="V1869" s="171"/>
    </row>
    <row r="1870" spans="1:22" ht="15" outlineLevel="1" collapsed="1" x14ac:dyDescent="0.25">
      <c r="A1870" s="186">
        <f>SUMIFS(МКД!$A$6:$A$389,МКД!$D$6:$D$389,Таблица1[[#This Row],[2]])</f>
        <v>320</v>
      </c>
      <c r="B1870" s="194">
        <f>SUMIFS(Таблица1[6],Таблица1[2],Таблица1[[#This Row],[2]])+SUMIFS(Таблица1[7],Таблица1[2],Таблица1[[#This Row],[2]])</f>
        <v>815.5</v>
      </c>
      <c r="C1870" s="185" t="s">
        <v>713</v>
      </c>
      <c r="D1870" s="196"/>
      <c r="E1870" s="196"/>
      <c r="F1870" s="196"/>
      <c r="G1870" s="168"/>
      <c r="H1870" s="197"/>
      <c r="I1870" s="196"/>
      <c r="J1870" s="196"/>
      <c r="K1870" s="196"/>
      <c r="L1870" s="196"/>
      <c r="M1870" s="196"/>
      <c r="N1870" s="196"/>
      <c r="O1870" s="196"/>
      <c r="P1870" s="196"/>
      <c r="Q1870" s="196"/>
      <c r="R1870" s="196"/>
      <c r="S1870" s="196"/>
      <c r="T1870" s="196"/>
      <c r="U1870" s="196"/>
      <c r="V1870" s="198"/>
    </row>
    <row r="1871" spans="1:22" hidden="1" outlineLevel="2" x14ac:dyDescent="0.25">
      <c r="A1871" s="186">
        <f>SUMIFS(МКД!$A$6:$A$389,МКД!$D$6:$D$389,Таблица1[[#This Row],[2]])</f>
        <v>320</v>
      </c>
      <c r="B1871" s="170"/>
      <c r="C1871" s="182" t="s">
        <v>713</v>
      </c>
      <c r="D1871" s="167" t="s">
        <v>1680</v>
      </c>
      <c r="E1871" s="167" t="s">
        <v>65</v>
      </c>
      <c r="F1871" s="167">
        <v>1</v>
      </c>
      <c r="G1871" s="168">
        <f>SUMIFS(Таблица1[[#This Row],[8]:[19]],$I$5:$T$5,"Выкуп")</f>
        <v>221.4</v>
      </c>
      <c r="H1871" s="168">
        <f>SUMIFS(Таблица1[[#This Row],[8]:[19]],$I$5:$T$5,"Аренда")</f>
        <v>0</v>
      </c>
      <c r="I1871" s="169"/>
      <c r="J1871" s="169"/>
      <c r="K1871" s="169">
        <v>221.4</v>
      </c>
      <c r="L1871" s="169"/>
      <c r="M1871" s="169"/>
      <c r="N1871" s="169"/>
      <c r="O1871" s="169"/>
      <c r="P1871" s="169"/>
      <c r="Q1871" s="169"/>
      <c r="R1871" s="169"/>
      <c r="S1871" s="169"/>
      <c r="T1871" s="169"/>
      <c r="U1871" s="170"/>
      <c r="V1871" s="171"/>
    </row>
    <row r="1872" spans="1:22" hidden="1" outlineLevel="2" x14ac:dyDescent="0.25">
      <c r="A1872" s="186">
        <f>SUMIFS(МКД!$A$6:$A$389,МКД!$D$6:$D$389,Таблица1[[#This Row],[2]])</f>
        <v>320</v>
      </c>
      <c r="B1872" s="168"/>
      <c r="C1872" s="182" t="s">
        <v>713</v>
      </c>
      <c r="D1872" s="167" t="s">
        <v>44</v>
      </c>
      <c r="E1872" s="167" t="s">
        <v>2425</v>
      </c>
      <c r="F1872" s="167">
        <v>1</v>
      </c>
      <c r="G1872" s="168">
        <f>SUMIFS(Таблица1[[#This Row],[8]:[19]],$I$5:$T$5,"Выкуп")</f>
        <v>72.400000000000006</v>
      </c>
      <c r="H1872" s="168">
        <f>SUMIFS(Таблица1[[#This Row],[8]:[19]],$I$5:$T$5,"Аренда")</f>
        <v>0</v>
      </c>
      <c r="I1872" s="169">
        <v>72.400000000000006</v>
      </c>
      <c r="J1872" s="169"/>
      <c r="K1872" s="169"/>
      <c r="L1872" s="169"/>
      <c r="M1872" s="169"/>
      <c r="N1872" s="169"/>
      <c r="O1872" s="169"/>
      <c r="P1872" s="169"/>
      <c r="Q1872" s="169"/>
      <c r="R1872" s="169"/>
      <c r="S1872" s="169"/>
      <c r="T1872" s="169"/>
      <c r="U1872" s="170"/>
      <c r="V1872" s="171"/>
    </row>
    <row r="1873" spans="1:22" hidden="1" outlineLevel="2" x14ac:dyDescent="0.25">
      <c r="A1873" s="186">
        <f>SUMIFS(МКД!$A$6:$A$389,МКД!$D$6:$D$389,Таблица1[[#This Row],[2]])</f>
        <v>320</v>
      </c>
      <c r="B1873" s="168"/>
      <c r="C1873" s="182" t="s">
        <v>713</v>
      </c>
      <c r="D1873" s="167" t="s">
        <v>2426</v>
      </c>
      <c r="E1873" s="167" t="s">
        <v>2427</v>
      </c>
      <c r="F1873" s="167">
        <v>1</v>
      </c>
      <c r="G1873" s="168">
        <f>SUMIFS(Таблица1[[#This Row],[8]:[19]],$I$5:$T$5,"Выкуп")</f>
        <v>109.7</v>
      </c>
      <c r="H1873" s="168">
        <f>SUMIFS(Таблица1[[#This Row],[8]:[19]],$I$5:$T$5,"Аренда")</f>
        <v>0</v>
      </c>
      <c r="I1873" s="169">
        <v>109.7</v>
      </c>
      <c r="J1873" s="169"/>
      <c r="K1873" s="169"/>
      <c r="L1873" s="169"/>
      <c r="M1873" s="169"/>
      <c r="N1873" s="169"/>
      <c r="O1873" s="169"/>
      <c r="P1873" s="169"/>
      <c r="Q1873" s="169"/>
      <c r="R1873" s="169"/>
      <c r="S1873" s="169"/>
      <c r="T1873" s="169"/>
      <c r="U1873" s="170"/>
      <c r="V1873" s="171"/>
    </row>
    <row r="1874" spans="1:22" hidden="1" outlineLevel="2" x14ac:dyDescent="0.25">
      <c r="A1874" s="186">
        <f>SUMIFS(МКД!$A$6:$A$389,МКД!$D$6:$D$389,Таблица1[[#This Row],[2]])</f>
        <v>320</v>
      </c>
      <c r="B1874" s="168"/>
      <c r="C1874" s="182" t="s">
        <v>713</v>
      </c>
      <c r="D1874" s="167" t="s">
        <v>1879</v>
      </c>
      <c r="E1874" s="167" t="s">
        <v>2428</v>
      </c>
      <c r="F1874" s="167">
        <v>1</v>
      </c>
      <c r="G1874" s="168">
        <f>SUMIFS(Таблица1[[#This Row],[8]:[19]],$I$5:$T$5,"Выкуп")</f>
        <v>89.2</v>
      </c>
      <c r="H1874" s="168">
        <f>SUMIFS(Таблица1[[#This Row],[8]:[19]],$I$5:$T$5,"Аренда")</f>
        <v>0</v>
      </c>
      <c r="I1874" s="169">
        <v>89.2</v>
      </c>
      <c r="J1874" s="169"/>
      <c r="K1874" s="169"/>
      <c r="L1874" s="169"/>
      <c r="M1874" s="169"/>
      <c r="N1874" s="169"/>
      <c r="O1874" s="169"/>
      <c r="P1874" s="169"/>
      <c r="Q1874" s="169"/>
      <c r="R1874" s="169"/>
      <c r="S1874" s="169"/>
      <c r="T1874" s="169"/>
      <c r="U1874" s="170"/>
      <c r="V1874" s="171"/>
    </row>
    <row r="1875" spans="1:22" hidden="1" outlineLevel="2" x14ac:dyDescent="0.25">
      <c r="A1875" s="186">
        <f>SUMIFS(МКД!$A$6:$A$389,МКД!$D$6:$D$389,Таблица1[[#This Row],[2]])</f>
        <v>320</v>
      </c>
      <c r="B1875" s="168"/>
      <c r="C1875" s="182" t="s">
        <v>713</v>
      </c>
      <c r="D1875" s="167" t="s">
        <v>2804</v>
      </c>
      <c r="E1875" s="167" t="s">
        <v>2429</v>
      </c>
      <c r="F1875" s="167">
        <v>1</v>
      </c>
      <c r="G1875" s="168">
        <f>SUMIFS(Таблица1[[#This Row],[8]:[19]],$I$5:$T$5,"Выкуп")</f>
        <v>75.3</v>
      </c>
      <c r="H1875" s="168">
        <f>SUMIFS(Таблица1[[#This Row],[8]:[19]],$I$5:$T$5,"Аренда")</f>
        <v>0</v>
      </c>
      <c r="I1875" s="169">
        <v>75.3</v>
      </c>
      <c r="J1875" s="169"/>
      <c r="K1875" s="169"/>
      <c r="L1875" s="169"/>
      <c r="M1875" s="169"/>
      <c r="N1875" s="169"/>
      <c r="O1875" s="169"/>
      <c r="P1875" s="169"/>
      <c r="Q1875" s="169"/>
      <c r="R1875" s="169"/>
      <c r="S1875" s="169"/>
      <c r="T1875" s="169"/>
      <c r="U1875" s="170"/>
      <c r="V1875" s="171"/>
    </row>
    <row r="1876" spans="1:22" hidden="1" outlineLevel="2" x14ac:dyDescent="0.25">
      <c r="A1876" s="186">
        <f>SUMIFS(МКД!$A$6:$A$389,МКД!$D$6:$D$389,Таблица1[[#This Row],[2]])</f>
        <v>320</v>
      </c>
      <c r="B1876" s="168"/>
      <c r="C1876" s="182" t="s">
        <v>713</v>
      </c>
      <c r="D1876" s="167" t="s">
        <v>2430</v>
      </c>
      <c r="E1876" s="167" t="s">
        <v>2431</v>
      </c>
      <c r="F1876" s="167">
        <v>1</v>
      </c>
      <c r="G1876" s="168">
        <f>SUMIFS(Таблица1[[#This Row],[8]:[19]],$I$5:$T$5,"Выкуп")</f>
        <v>0</v>
      </c>
      <c r="H1876" s="168">
        <f>SUMIFS(Таблица1[[#This Row],[8]:[19]],$I$5:$T$5,"Аренда")</f>
        <v>13</v>
      </c>
      <c r="I1876" s="169"/>
      <c r="J1876" s="169"/>
      <c r="K1876" s="169"/>
      <c r="L1876" s="169"/>
      <c r="M1876" s="169"/>
      <c r="N1876" s="169"/>
      <c r="O1876" s="167"/>
      <c r="P1876" s="169">
        <v>13</v>
      </c>
      <c r="Q1876" s="169"/>
      <c r="R1876" s="169"/>
      <c r="S1876" s="169"/>
      <c r="T1876" s="169"/>
      <c r="U1876" s="170"/>
      <c r="V1876" s="171"/>
    </row>
    <row r="1877" spans="1:22" hidden="1" outlineLevel="2" x14ac:dyDescent="0.25">
      <c r="A1877" s="186">
        <f>SUMIFS(МКД!$A$6:$A$389,МКД!$D$6:$D$389,Таблица1[[#This Row],[2]])</f>
        <v>320</v>
      </c>
      <c r="B1877" s="168"/>
      <c r="C1877" s="182" t="s">
        <v>713</v>
      </c>
      <c r="D1877" s="167" t="s">
        <v>2432</v>
      </c>
      <c r="E1877" s="167" t="s">
        <v>1365</v>
      </c>
      <c r="F1877" s="167">
        <v>1</v>
      </c>
      <c r="G1877" s="168">
        <f>SUMIFS(Таблица1[[#This Row],[8]:[19]],$I$5:$T$5,"Выкуп")</f>
        <v>76.400000000000006</v>
      </c>
      <c r="H1877" s="168">
        <f>SUMIFS(Таблица1[[#This Row],[8]:[19]],$I$5:$T$5,"Аренда")</f>
        <v>0</v>
      </c>
      <c r="I1877" s="169">
        <v>76.400000000000006</v>
      </c>
      <c r="J1877" s="169"/>
      <c r="K1877" s="169"/>
      <c r="L1877" s="169"/>
      <c r="M1877" s="169"/>
      <c r="N1877" s="169"/>
      <c r="O1877" s="169"/>
      <c r="P1877" s="169"/>
      <c r="Q1877" s="169"/>
      <c r="R1877" s="169"/>
      <c r="S1877" s="169"/>
      <c r="T1877" s="169"/>
      <c r="U1877" s="170"/>
      <c r="V1877" s="171"/>
    </row>
    <row r="1878" spans="1:22" hidden="1" outlineLevel="2" x14ac:dyDescent="0.25">
      <c r="A1878" s="186">
        <f>SUMIFS(МКД!$A$6:$A$389,МКД!$D$6:$D$389,Таблица1[[#This Row],[2]])</f>
        <v>320</v>
      </c>
      <c r="B1878" s="168"/>
      <c r="C1878" s="182" t="s">
        <v>713</v>
      </c>
      <c r="D1878" s="167" t="s">
        <v>2433</v>
      </c>
      <c r="E1878" s="167" t="s">
        <v>762</v>
      </c>
      <c r="F1878" s="167">
        <v>1</v>
      </c>
      <c r="G1878" s="168">
        <f>SUMIFS(Таблица1[[#This Row],[8]:[19]],$I$5:$T$5,"Выкуп")</f>
        <v>31.2</v>
      </c>
      <c r="H1878" s="168">
        <f>SUMIFS(Таблица1[[#This Row],[8]:[19]],$I$5:$T$5,"Аренда")</f>
        <v>0</v>
      </c>
      <c r="I1878" s="169"/>
      <c r="J1878" s="169"/>
      <c r="K1878" s="169">
        <v>31.2</v>
      </c>
      <c r="L1878" s="169"/>
      <c r="M1878" s="169"/>
      <c r="N1878" s="169"/>
      <c r="O1878" s="169"/>
      <c r="P1878" s="169"/>
      <c r="Q1878" s="169"/>
      <c r="R1878" s="169"/>
      <c r="S1878" s="169"/>
      <c r="T1878" s="169"/>
      <c r="U1878" s="170"/>
      <c r="V1878" s="171"/>
    </row>
    <row r="1879" spans="1:22" hidden="1" outlineLevel="2" x14ac:dyDescent="0.25">
      <c r="A1879" s="186">
        <f>SUMIFS(МКД!$A$6:$A$389,МКД!$D$6:$D$389,Таблица1[[#This Row],[2]])</f>
        <v>320</v>
      </c>
      <c r="B1879" s="168"/>
      <c r="C1879" s="182" t="s">
        <v>713</v>
      </c>
      <c r="D1879" s="167" t="s">
        <v>2434</v>
      </c>
      <c r="E1879" s="167" t="s">
        <v>1385</v>
      </c>
      <c r="F1879" s="167">
        <v>1</v>
      </c>
      <c r="G1879" s="168">
        <f>SUMIFS(Таблица1[[#This Row],[8]:[19]],$I$5:$T$5,"Выкуп")</f>
        <v>55.8</v>
      </c>
      <c r="H1879" s="168">
        <f>SUMIFS(Таблица1[[#This Row],[8]:[19]],$I$5:$T$5,"Аренда")</f>
        <v>0</v>
      </c>
      <c r="I1879" s="169">
        <v>55.8</v>
      </c>
      <c r="J1879" s="169"/>
      <c r="K1879" s="169"/>
      <c r="L1879" s="169"/>
      <c r="M1879" s="169"/>
      <c r="N1879" s="169"/>
      <c r="O1879" s="169"/>
      <c r="P1879" s="169"/>
      <c r="Q1879" s="169"/>
      <c r="R1879" s="169"/>
      <c r="S1879" s="169"/>
      <c r="T1879" s="169"/>
      <c r="U1879" s="170"/>
      <c r="V1879" s="171"/>
    </row>
    <row r="1880" spans="1:22" hidden="1" outlineLevel="2" x14ac:dyDescent="0.25">
      <c r="A1880" s="186">
        <f>SUMIFS(МКД!$A$6:$A$389,МКД!$D$6:$D$389,Таблица1[[#This Row],[2]])</f>
        <v>320</v>
      </c>
      <c r="B1880" s="168"/>
      <c r="C1880" s="182" t="s">
        <v>713</v>
      </c>
      <c r="D1880" s="167" t="s">
        <v>189</v>
      </c>
      <c r="E1880" s="167" t="s">
        <v>2435</v>
      </c>
      <c r="F1880" s="167"/>
      <c r="G1880" s="168">
        <f>SUMIFS(Таблица1[[#This Row],[8]:[19]],$I$5:$T$5,"Выкуп")</f>
        <v>71.099999999999994</v>
      </c>
      <c r="H1880" s="168">
        <f>SUMIFS(Таблица1[[#This Row],[8]:[19]],$I$5:$T$5,"Аренда")</f>
        <v>0</v>
      </c>
      <c r="I1880" s="169"/>
      <c r="J1880" s="169"/>
      <c r="K1880" s="167">
        <v>71.099999999999994</v>
      </c>
      <c r="L1880" s="169"/>
      <c r="M1880" s="169"/>
      <c r="N1880" s="169"/>
      <c r="O1880" s="169"/>
      <c r="P1880" s="169"/>
      <c r="Q1880" s="169"/>
      <c r="R1880" s="169"/>
      <c r="S1880" s="169"/>
      <c r="T1880" s="169"/>
      <c r="U1880" s="170"/>
      <c r="V1880" s="171"/>
    </row>
    <row r="1881" spans="1:22" ht="15" outlineLevel="1" collapsed="1" x14ac:dyDescent="0.25">
      <c r="A1881" s="186">
        <f>SUMIFS(МКД!$A$6:$A$389,МКД!$D$6:$D$389,Таблица1[[#This Row],[2]])</f>
        <v>333</v>
      </c>
      <c r="B1881" s="194">
        <f>SUMIFS(Таблица1[6],Таблица1[2],Таблица1[[#This Row],[2]])+SUMIFS(Таблица1[7],Таблица1[2],Таблица1[[#This Row],[2]])</f>
        <v>0</v>
      </c>
      <c r="C1881" s="185" t="s">
        <v>611</v>
      </c>
      <c r="D1881" s="196"/>
      <c r="E1881" s="196"/>
      <c r="F1881" s="196"/>
      <c r="G1881" s="168"/>
      <c r="H1881" s="197"/>
      <c r="I1881" s="196"/>
      <c r="J1881" s="196"/>
      <c r="K1881" s="196"/>
      <c r="L1881" s="196"/>
      <c r="M1881" s="196"/>
      <c r="N1881" s="196"/>
      <c r="O1881" s="196"/>
      <c r="P1881" s="196"/>
      <c r="Q1881" s="196"/>
      <c r="R1881" s="196"/>
      <c r="S1881" s="196"/>
      <c r="T1881" s="196"/>
      <c r="U1881" s="196"/>
      <c r="V1881" s="198"/>
    </row>
    <row r="1882" spans="1:22" ht="15" hidden="1" outlineLevel="2" x14ac:dyDescent="0.25">
      <c r="A1882" s="186">
        <f>SUMIFS(МКД!$A$6:$A$389,МКД!$D$6:$D$389,Таблица1[[#This Row],[2]])</f>
        <v>333</v>
      </c>
      <c r="B1882" s="196"/>
      <c r="C1882" s="182" t="s">
        <v>611</v>
      </c>
      <c r="D1882" s="196"/>
      <c r="E1882" s="196"/>
      <c r="F1882" s="196"/>
      <c r="G1882" s="168">
        <f>SUMIFS(Таблица1[[#This Row],[8]:[19]],$I$5:$T$5,"Выкуп")</f>
        <v>0</v>
      </c>
      <c r="H1882" s="168">
        <f>SUMIFS(Таблица1[[#This Row],[8]:[19]],$I$5:$T$5,"Аренда")</f>
        <v>0</v>
      </c>
      <c r="I1882" s="196"/>
      <c r="J1882" s="196"/>
      <c r="K1882" s="196"/>
      <c r="L1882" s="196"/>
      <c r="M1882" s="196"/>
      <c r="N1882" s="196"/>
      <c r="O1882" s="196"/>
      <c r="P1882" s="196"/>
      <c r="Q1882" s="196"/>
      <c r="R1882" s="196"/>
      <c r="S1882" s="196"/>
      <c r="T1882" s="196"/>
      <c r="U1882" s="196"/>
      <c r="V1882" s="198"/>
    </row>
    <row r="1883" spans="1:22" ht="15" outlineLevel="1" collapsed="1" x14ac:dyDescent="0.25">
      <c r="A1883" s="186">
        <f>SUMIFS(МКД!$A$6:$A$389,МКД!$D$6:$D$389,Таблица1[[#This Row],[2]])</f>
        <v>334</v>
      </c>
      <c r="B1883" s="194">
        <f>SUMIFS(Таблица1[6],Таблица1[2],Таблица1[[#This Row],[2]])+SUMIFS(Таблица1[7],Таблица1[2],Таблица1[[#This Row],[2]])</f>
        <v>77.400000000000006</v>
      </c>
      <c r="C1883" s="185" t="s">
        <v>612</v>
      </c>
      <c r="D1883" s="196"/>
      <c r="E1883" s="196"/>
      <c r="F1883" s="196"/>
      <c r="G1883" s="168"/>
      <c r="H1883" s="197"/>
      <c r="I1883" s="196"/>
      <c r="J1883" s="196"/>
      <c r="K1883" s="196"/>
      <c r="L1883" s="196"/>
      <c r="M1883" s="196"/>
      <c r="N1883" s="196"/>
      <c r="O1883" s="196"/>
      <c r="P1883" s="196"/>
      <c r="Q1883" s="196"/>
      <c r="R1883" s="196"/>
      <c r="S1883" s="196"/>
      <c r="T1883" s="196"/>
      <c r="U1883" s="196"/>
      <c r="V1883" s="198"/>
    </row>
    <row r="1884" spans="1:22" hidden="1" outlineLevel="2" x14ac:dyDescent="0.25">
      <c r="A1884" s="186">
        <f>SUMIFS(МКД!$A$6:$A$389,МКД!$D$6:$D$389,Таблица1[[#This Row],[2]])</f>
        <v>334</v>
      </c>
      <c r="B1884" s="170"/>
      <c r="C1884" s="182" t="s">
        <v>612</v>
      </c>
      <c r="D1884" s="167" t="s">
        <v>189</v>
      </c>
      <c r="E1884" s="167" t="s">
        <v>112</v>
      </c>
      <c r="F1884" s="167"/>
      <c r="G1884" s="168">
        <f>SUMIFS(Таблица1[[#This Row],[8]:[19]],$I$5:$T$5,"Выкуп")</f>
        <v>0</v>
      </c>
      <c r="H1884" s="168">
        <f>SUMIFS(Таблица1[[#This Row],[8]:[19]],$I$5:$T$5,"Аренда")</f>
        <v>32.1</v>
      </c>
      <c r="I1884" s="169"/>
      <c r="J1884" s="169"/>
      <c r="K1884" s="167"/>
      <c r="L1884" s="169">
        <v>32.1</v>
      </c>
      <c r="M1884" s="169"/>
      <c r="N1884" s="169"/>
      <c r="O1884" s="169"/>
      <c r="P1884" s="169"/>
      <c r="Q1884" s="169"/>
      <c r="R1884" s="169"/>
      <c r="S1884" s="169"/>
      <c r="T1884" s="169"/>
      <c r="U1884" s="170"/>
      <c r="V1884" s="171"/>
    </row>
    <row r="1885" spans="1:22" hidden="1" outlineLevel="2" x14ac:dyDescent="0.25">
      <c r="A1885" s="186">
        <f>SUMIFS(МКД!$A$6:$A$389,МКД!$D$6:$D$389,Таблица1[[#This Row],[2]])</f>
        <v>334</v>
      </c>
      <c r="B1885" s="170"/>
      <c r="C1885" s="182" t="s">
        <v>612</v>
      </c>
      <c r="D1885" s="167" t="s">
        <v>1593</v>
      </c>
      <c r="E1885" s="273" t="s">
        <v>1729</v>
      </c>
      <c r="F1885" s="167"/>
      <c r="G1885" s="168">
        <f>SUMIFS(Таблица1[[#This Row],[8]:[19]],$I$5:$T$5,"Выкуп")</f>
        <v>45.3</v>
      </c>
      <c r="H1885" s="168">
        <f>SUMIFS(Таблица1[[#This Row],[8]:[19]],$I$5:$T$5,"Аренда")</f>
        <v>0</v>
      </c>
      <c r="I1885" s="169"/>
      <c r="J1885" s="169"/>
      <c r="K1885" s="167">
        <v>45.3</v>
      </c>
      <c r="L1885" s="169"/>
      <c r="M1885" s="169"/>
      <c r="N1885" s="169"/>
      <c r="O1885" s="169"/>
      <c r="P1885" s="169"/>
      <c r="Q1885" s="169"/>
      <c r="R1885" s="169"/>
      <c r="S1885" s="169"/>
      <c r="T1885" s="169"/>
      <c r="U1885" s="170"/>
      <c r="V1885" s="171"/>
    </row>
    <row r="1886" spans="1:22" ht="15" outlineLevel="1" collapsed="1" x14ac:dyDescent="0.25">
      <c r="A1886" s="186">
        <f>SUMIFS(МКД!$A$6:$A$389,МКД!$D$6:$D$389,Таблица1[[#This Row],[2]])</f>
        <v>328</v>
      </c>
      <c r="B1886" s="194">
        <f>SUMIFS(Таблица1[6],Таблица1[2],Таблица1[[#This Row],[2]])+SUMIFS(Таблица1[7],Таблица1[2],Таблица1[[#This Row],[2]])</f>
        <v>139.6</v>
      </c>
      <c r="C1886" s="185" t="s">
        <v>613</v>
      </c>
      <c r="D1886" s="196"/>
      <c r="E1886" s="196"/>
      <c r="F1886" s="196"/>
      <c r="G1886" s="168"/>
      <c r="H1886" s="197"/>
      <c r="I1886" s="196"/>
      <c r="J1886" s="196"/>
      <c r="K1886" s="196"/>
      <c r="L1886" s="196"/>
      <c r="M1886" s="196"/>
      <c r="N1886" s="196"/>
      <c r="O1886" s="196"/>
      <c r="P1886" s="196"/>
      <c r="Q1886" s="196"/>
      <c r="R1886" s="196"/>
      <c r="S1886" s="196"/>
      <c r="T1886" s="196"/>
      <c r="U1886" s="196"/>
      <c r="V1886" s="198"/>
    </row>
    <row r="1887" spans="1:22" hidden="1" outlineLevel="2" x14ac:dyDescent="0.25">
      <c r="A1887" s="186">
        <f>SUMIFS(МКД!$A$6:$A$389,МКД!$D$6:$D$389,Таблица1[[#This Row],[2]])</f>
        <v>328</v>
      </c>
      <c r="B1887" s="170"/>
      <c r="C1887" s="182" t="s">
        <v>613</v>
      </c>
      <c r="D1887" s="167" t="s">
        <v>1053</v>
      </c>
      <c r="E1887" s="167" t="s">
        <v>2670</v>
      </c>
      <c r="F1887" s="167">
        <v>1</v>
      </c>
      <c r="G1887" s="168">
        <f>SUMIFS(Таблица1[[#This Row],[8]:[19]],$I$5:$T$5,"Выкуп")</f>
        <v>40</v>
      </c>
      <c r="H1887" s="168">
        <f>SUMIFS(Таблица1[[#This Row],[8]:[19]],$I$5:$T$5,"Аренда")</f>
        <v>0</v>
      </c>
      <c r="I1887" s="169">
        <v>40</v>
      </c>
      <c r="J1887" s="169"/>
      <c r="K1887" s="169"/>
      <c r="L1887" s="169"/>
      <c r="M1887" s="169"/>
      <c r="N1887" s="169"/>
      <c r="O1887" s="169"/>
      <c r="P1887" s="169"/>
      <c r="Q1887" s="169"/>
      <c r="R1887" s="169"/>
      <c r="S1887" s="169"/>
      <c r="T1887" s="169"/>
      <c r="U1887" s="170"/>
      <c r="V1887" s="171"/>
    </row>
    <row r="1888" spans="1:22" s="20" customFormat="1" hidden="1" outlineLevel="2" x14ac:dyDescent="0.25">
      <c r="A1888" s="186">
        <f>SUMIFS(МКД!$A$6:$A$389,МКД!$D$6:$D$389,Таблица1[[#This Row],[2]])</f>
        <v>328</v>
      </c>
      <c r="B1888" s="168"/>
      <c r="C1888" s="182" t="s">
        <v>613</v>
      </c>
      <c r="D1888" s="167" t="s">
        <v>2671</v>
      </c>
      <c r="E1888" s="167" t="s">
        <v>2669</v>
      </c>
      <c r="F1888" s="167">
        <v>1</v>
      </c>
      <c r="G1888" s="168">
        <f>SUMIFS(Таблица1[[#This Row],[8]:[19]],$I$5:$T$5,"Выкуп")</f>
        <v>99.6</v>
      </c>
      <c r="H1888" s="168">
        <f>SUMIFS(Таблица1[[#This Row],[8]:[19]],$I$5:$T$5,"Аренда")</f>
        <v>0</v>
      </c>
      <c r="I1888" s="169"/>
      <c r="J1888" s="169"/>
      <c r="K1888" s="169">
        <v>99.6</v>
      </c>
      <c r="L1888" s="169"/>
      <c r="M1888" s="169"/>
      <c r="N1888" s="169"/>
      <c r="O1888" s="169"/>
      <c r="P1888" s="169"/>
      <c r="Q1888" s="169"/>
      <c r="R1888" s="169"/>
      <c r="S1888" s="169"/>
      <c r="T1888" s="169"/>
      <c r="U1888" s="170"/>
      <c r="V1888" s="171"/>
    </row>
    <row r="1889" spans="1:22" s="20" customFormat="1" ht="15" outlineLevel="1" collapsed="1" x14ac:dyDescent="0.25">
      <c r="A1889" s="186">
        <f>SUMIFS(МКД!$A$6:$A$389,МКД!$D$6:$D$389,Таблица1[[#This Row],[2]])</f>
        <v>329</v>
      </c>
      <c r="B1889" s="194">
        <f>SUMIFS(Таблица1[6],Таблица1[2],Таблица1[[#This Row],[2]])+SUMIFS(Таблица1[7],Таблица1[2],Таблица1[[#This Row],[2]])</f>
        <v>0</v>
      </c>
      <c r="C1889" s="185" t="s">
        <v>614</v>
      </c>
      <c r="D1889" s="196"/>
      <c r="E1889" s="196"/>
      <c r="F1889" s="196"/>
      <c r="G1889" s="168"/>
      <c r="H1889" s="197"/>
      <c r="I1889" s="196"/>
      <c r="J1889" s="196"/>
      <c r="K1889" s="196"/>
      <c r="L1889" s="196"/>
      <c r="M1889" s="196"/>
      <c r="N1889" s="196"/>
      <c r="O1889" s="196"/>
      <c r="P1889" s="196"/>
      <c r="Q1889" s="196"/>
      <c r="R1889" s="196"/>
      <c r="S1889" s="196"/>
      <c r="T1889" s="196"/>
      <c r="U1889" s="196"/>
      <c r="V1889" s="198"/>
    </row>
    <row r="1890" spans="1:22" s="20" customFormat="1" ht="15" hidden="1" outlineLevel="2" x14ac:dyDescent="0.25">
      <c r="A1890" s="186">
        <f>SUMIFS(МКД!$A$6:$A$389,МКД!$D$6:$D$389,Таблица1[[#This Row],[2]])</f>
        <v>329</v>
      </c>
      <c r="B1890" s="196"/>
      <c r="C1890" s="182" t="s">
        <v>614</v>
      </c>
      <c r="D1890" s="196"/>
      <c r="E1890" s="196"/>
      <c r="F1890" s="196"/>
      <c r="G1890" s="168">
        <f>SUMIFS(Таблица1[[#This Row],[8]:[19]],$I$5:$T$5,"Выкуп")</f>
        <v>0</v>
      </c>
      <c r="H1890" s="168">
        <f>SUMIFS(Таблица1[[#This Row],[8]:[19]],$I$5:$T$5,"Аренда")</f>
        <v>0</v>
      </c>
      <c r="I1890" s="196"/>
      <c r="J1890" s="196"/>
      <c r="K1890" s="196"/>
      <c r="L1890" s="196"/>
      <c r="M1890" s="196"/>
      <c r="N1890" s="196"/>
      <c r="O1890" s="196"/>
      <c r="P1890" s="196"/>
      <c r="Q1890" s="196"/>
      <c r="R1890" s="196"/>
      <c r="S1890" s="196"/>
      <c r="T1890" s="196"/>
      <c r="U1890" s="196"/>
      <c r="V1890" s="198"/>
    </row>
    <row r="1891" spans="1:22" s="20" customFormat="1" ht="15" outlineLevel="1" collapsed="1" x14ac:dyDescent="0.25">
      <c r="A1891" s="186">
        <f>SUMIFS(МКД!$A$6:$A$389,МКД!$D$6:$D$389,Таблица1[[#This Row],[2]])</f>
        <v>330</v>
      </c>
      <c r="B1891" s="194">
        <f>SUMIFS(Таблица1[6],Таблица1[2],Таблица1[[#This Row],[2]])+SUMIFS(Таблица1[7],Таблица1[2],Таблица1[[#This Row],[2]])</f>
        <v>0</v>
      </c>
      <c r="C1891" s="185" t="s">
        <v>615</v>
      </c>
      <c r="D1891" s="196"/>
      <c r="E1891" s="196"/>
      <c r="F1891" s="196"/>
      <c r="G1891" s="168"/>
      <c r="H1891" s="197"/>
      <c r="I1891" s="196"/>
      <c r="J1891" s="196"/>
      <c r="K1891" s="196"/>
      <c r="L1891" s="196"/>
      <c r="M1891" s="196"/>
      <c r="N1891" s="196"/>
      <c r="O1891" s="196"/>
      <c r="P1891" s="196"/>
      <c r="Q1891" s="196"/>
      <c r="R1891" s="196"/>
      <c r="S1891" s="196"/>
      <c r="T1891" s="196"/>
      <c r="U1891" s="196"/>
      <c r="V1891" s="198"/>
    </row>
    <row r="1892" spans="1:22" s="20" customFormat="1" ht="15" hidden="1" outlineLevel="2" x14ac:dyDescent="0.25">
      <c r="A1892" s="186">
        <f>SUMIFS(МКД!$A$6:$A$389,МКД!$D$6:$D$389,Таблица1[[#This Row],[2]])</f>
        <v>330</v>
      </c>
      <c r="B1892" s="196"/>
      <c r="C1892" s="182" t="s">
        <v>615</v>
      </c>
      <c r="D1892" s="196"/>
      <c r="E1892" s="196"/>
      <c r="F1892" s="196"/>
      <c r="G1892" s="168">
        <f>SUMIFS(Таблица1[[#This Row],[8]:[19]],$I$5:$T$5,"Выкуп")</f>
        <v>0</v>
      </c>
      <c r="H1892" s="168">
        <f>SUMIFS(Таблица1[[#This Row],[8]:[19]],$I$5:$T$5,"Аренда")</f>
        <v>0</v>
      </c>
      <c r="I1892" s="196"/>
      <c r="J1892" s="196"/>
      <c r="K1892" s="196"/>
      <c r="L1892" s="196"/>
      <c r="M1892" s="196"/>
      <c r="N1892" s="196"/>
      <c r="O1892" s="196"/>
      <c r="P1892" s="196"/>
      <c r="Q1892" s="196"/>
      <c r="R1892" s="196"/>
      <c r="S1892" s="196"/>
      <c r="T1892" s="196"/>
      <c r="U1892" s="196"/>
      <c r="V1892" s="198"/>
    </row>
    <row r="1893" spans="1:22" s="20" customFormat="1" ht="15" outlineLevel="1" collapsed="1" x14ac:dyDescent="0.25">
      <c r="A1893" s="186">
        <f>SUMIFS(МКД!$A$6:$A$389,МКД!$D$6:$D$389,Таблица1[[#This Row],[2]])</f>
        <v>331</v>
      </c>
      <c r="B1893" s="194">
        <f>SUMIFS(Таблица1[6],Таблица1[2],Таблица1[[#This Row],[2]])+SUMIFS(Таблица1[7],Таблица1[2],Таблица1[[#This Row],[2]])</f>
        <v>71.7</v>
      </c>
      <c r="C1893" s="185" t="s">
        <v>616</v>
      </c>
      <c r="D1893" s="196"/>
      <c r="E1893" s="196"/>
      <c r="F1893" s="196"/>
      <c r="G1893" s="168"/>
      <c r="H1893" s="197"/>
      <c r="I1893" s="196"/>
      <c r="J1893" s="196"/>
      <c r="K1893" s="196"/>
      <c r="L1893" s="196"/>
      <c r="M1893" s="196"/>
      <c r="N1893" s="196"/>
      <c r="O1893" s="196"/>
      <c r="P1893" s="196"/>
      <c r="Q1893" s="196"/>
      <c r="R1893" s="196"/>
      <c r="S1893" s="196"/>
      <c r="T1893" s="196"/>
      <c r="U1893" s="196"/>
      <c r="V1893" s="198"/>
    </row>
    <row r="1894" spans="1:22" s="20" customFormat="1" hidden="1" outlineLevel="2" x14ac:dyDescent="0.25">
      <c r="A1894" s="186">
        <f>SUMIFS(МКД!$A$6:$A$389,МКД!$D$6:$D$389,Таблица1[[#This Row],[2]])</f>
        <v>331</v>
      </c>
      <c r="B1894" s="170"/>
      <c r="C1894" s="182" t="s">
        <v>616</v>
      </c>
      <c r="D1894" s="167" t="s">
        <v>1126</v>
      </c>
      <c r="E1894" s="167" t="s">
        <v>109</v>
      </c>
      <c r="F1894" s="167"/>
      <c r="G1894" s="168">
        <f>SUMIFS(Таблица1[[#This Row],[8]:[19]],$I$5:$T$5,"Выкуп")</f>
        <v>71.7</v>
      </c>
      <c r="H1894" s="168">
        <f>SUMIFS(Таблица1[[#This Row],[8]:[19]],$I$5:$T$5,"Аренда")</f>
        <v>0</v>
      </c>
      <c r="I1894" s="169">
        <v>71.7</v>
      </c>
      <c r="J1894" s="169"/>
      <c r="K1894" s="169"/>
      <c r="L1894" s="169"/>
      <c r="M1894" s="169"/>
      <c r="N1894" s="169"/>
      <c r="O1894" s="169"/>
      <c r="P1894" s="169"/>
      <c r="Q1894" s="169"/>
      <c r="R1894" s="169"/>
      <c r="S1894" s="169"/>
      <c r="T1894" s="169"/>
      <c r="U1894" s="170"/>
      <c r="V1894" s="171"/>
    </row>
    <row r="1895" spans="1:22" hidden="1" outlineLevel="2" x14ac:dyDescent="0.25">
      <c r="A1895" s="186">
        <f>SUMIFS(МКД!$A$6:$A$389,МКД!$D$6:$D$389,Таблица1[[#This Row],[2]])</f>
        <v>331</v>
      </c>
      <c r="B1895" s="168"/>
      <c r="C1895" s="182" t="s">
        <v>616</v>
      </c>
      <c r="D1895" s="167"/>
      <c r="E1895" s="167"/>
      <c r="F1895" s="167"/>
      <c r="G1895" s="168">
        <f>SUMIFS(Таблица1[[#This Row],[8]:[19]],$I$5:$T$5,"Выкуп")</f>
        <v>0</v>
      </c>
      <c r="H1895" s="168">
        <f>SUMIFS(Таблица1[[#This Row],[8]:[19]],$I$5:$T$5,"Аренда")</f>
        <v>0</v>
      </c>
      <c r="I1895" s="169"/>
      <c r="J1895" s="169"/>
      <c r="K1895" s="169"/>
      <c r="L1895" s="169"/>
      <c r="M1895" s="169"/>
      <c r="N1895" s="169"/>
      <c r="O1895" s="169"/>
      <c r="P1895" s="169"/>
      <c r="Q1895" s="169"/>
      <c r="R1895" s="169"/>
      <c r="S1895" s="169"/>
      <c r="T1895" s="169"/>
      <c r="U1895" s="170"/>
      <c r="V1895" s="171"/>
    </row>
    <row r="1896" spans="1:22" ht="15" outlineLevel="1" collapsed="1" x14ac:dyDescent="0.25">
      <c r="A1896" s="186">
        <f>SUMIFS(МКД!$A$6:$A$389,МКД!$D$6:$D$389,Таблица1[[#This Row],[2]])</f>
        <v>332</v>
      </c>
      <c r="B1896" s="194">
        <f>SUMIFS(Таблица1[6],Таблица1[2],Таблица1[[#This Row],[2]])+SUMIFS(Таблица1[7],Таблица1[2],Таблица1[[#This Row],[2]])</f>
        <v>44.9</v>
      </c>
      <c r="C1896" s="185" t="s">
        <v>617</v>
      </c>
      <c r="D1896" s="196"/>
      <c r="E1896" s="196"/>
      <c r="F1896" s="196"/>
      <c r="G1896" s="168"/>
      <c r="H1896" s="197"/>
      <c r="I1896" s="196"/>
      <c r="J1896" s="196"/>
      <c r="K1896" s="196"/>
      <c r="L1896" s="196"/>
      <c r="M1896" s="196"/>
      <c r="N1896" s="196"/>
      <c r="O1896" s="196"/>
      <c r="P1896" s="196"/>
      <c r="Q1896" s="196"/>
      <c r="R1896" s="196"/>
      <c r="S1896" s="196"/>
      <c r="T1896" s="196"/>
      <c r="U1896" s="196"/>
      <c r="V1896" s="198"/>
    </row>
    <row r="1897" spans="1:22" ht="15" hidden="1" outlineLevel="2" x14ac:dyDescent="0.25">
      <c r="A1897" s="186">
        <f>SUMIFS(МКД!$A$6:$A$389,МКД!$D$6:$D$389,Таблица1[[#This Row],[2]])</f>
        <v>332</v>
      </c>
      <c r="B1897" s="196"/>
      <c r="C1897" s="182" t="s">
        <v>617</v>
      </c>
      <c r="D1897" s="167" t="s">
        <v>1593</v>
      </c>
      <c r="E1897" s="273" t="s">
        <v>1762</v>
      </c>
      <c r="F1897" s="196"/>
      <c r="G1897" s="168">
        <f>SUMIFS(Таблица1[[#This Row],[8]:[19]],$I$5:$T$5,"Выкуп")</f>
        <v>44.9</v>
      </c>
      <c r="H1897" s="168">
        <f>SUMIFS(Таблица1[[#This Row],[8]:[19]],$I$5:$T$5,"Аренда")</f>
        <v>0</v>
      </c>
      <c r="I1897" s="196"/>
      <c r="J1897" s="196"/>
      <c r="K1897" s="196">
        <v>44.9</v>
      </c>
      <c r="L1897" s="196"/>
      <c r="M1897" s="196"/>
      <c r="N1897" s="196"/>
      <c r="O1897" s="196"/>
      <c r="P1897" s="196"/>
      <c r="Q1897" s="196"/>
      <c r="R1897" s="196"/>
      <c r="S1897" s="196"/>
      <c r="T1897" s="196"/>
      <c r="U1897" s="196"/>
      <c r="V1897" s="198"/>
    </row>
    <row r="1898" spans="1:22" ht="15" outlineLevel="1" collapsed="1" x14ac:dyDescent="0.25">
      <c r="A1898" s="186">
        <f>SUMIFS(МКД!$A$6:$A$389,МКД!$D$6:$D$389,Таблица1[[#This Row],[2]])</f>
        <v>335</v>
      </c>
      <c r="B1898" s="194">
        <f>SUMIFS(Таблица1[6],Таблица1[2],Таблица1[[#This Row],[2]])+SUMIFS(Таблица1[7],Таблица1[2],Таблица1[[#This Row],[2]])</f>
        <v>211.89999999999998</v>
      </c>
      <c r="C1898" s="185" t="s">
        <v>720</v>
      </c>
      <c r="D1898" s="196"/>
      <c r="E1898" s="196"/>
      <c r="F1898" s="196"/>
      <c r="G1898" s="168"/>
      <c r="H1898" s="197"/>
      <c r="I1898" s="196"/>
      <c r="J1898" s="196"/>
      <c r="K1898" s="196"/>
      <c r="L1898" s="196"/>
      <c r="M1898" s="196"/>
      <c r="N1898" s="196"/>
      <c r="O1898" s="196"/>
      <c r="P1898" s="196"/>
      <c r="Q1898" s="196"/>
      <c r="R1898" s="196"/>
      <c r="S1898" s="196"/>
      <c r="T1898" s="196"/>
      <c r="U1898" s="196"/>
      <c r="V1898" s="198"/>
    </row>
    <row r="1899" spans="1:22" hidden="1" outlineLevel="2" x14ac:dyDescent="0.25">
      <c r="A1899" s="186">
        <f>SUMIFS(МКД!$A$6:$A$389,МКД!$D$6:$D$389,Таблица1[[#This Row],[2]])</f>
        <v>335</v>
      </c>
      <c r="B1899" s="170"/>
      <c r="C1899" s="182" t="s">
        <v>720</v>
      </c>
      <c r="D1899" s="167" t="s">
        <v>805</v>
      </c>
      <c r="E1899" s="167" t="s">
        <v>45</v>
      </c>
      <c r="F1899" s="167">
        <v>1</v>
      </c>
      <c r="G1899" s="168">
        <f>SUMIFS(Таблица1[[#This Row],[8]:[19]],$I$5:$T$5,"Выкуп")</f>
        <v>150.1</v>
      </c>
      <c r="H1899" s="168">
        <f>SUMIFS(Таблица1[[#This Row],[8]:[19]],$I$5:$T$5,"Аренда")</f>
        <v>0</v>
      </c>
      <c r="I1899" s="169">
        <v>150.1</v>
      </c>
      <c r="J1899" s="169"/>
      <c r="K1899" s="169"/>
      <c r="L1899" s="169"/>
      <c r="M1899" s="169"/>
      <c r="N1899" s="169"/>
      <c r="O1899" s="169"/>
      <c r="P1899" s="169"/>
      <c r="Q1899" s="169"/>
      <c r="R1899" s="169"/>
      <c r="S1899" s="169"/>
      <c r="T1899" s="169"/>
      <c r="U1899" s="170"/>
      <c r="V1899" s="171"/>
    </row>
    <row r="1900" spans="1:22" s="19" customFormat="1" hidden="1" outlineLevel="2" x14ac:dyDescent="0.25">
      <c r="A1900" s="186">
        <f>SUMIFS(МКД!$A$6:$A$389,МКД!$D$6:$D$389,Таблица1[[#This Row],[2]])</f>
        <v>335</v>
      </c>
      <c r="B1900" s="168"/>
      <c r="C1900" s="182" t="s">
        <v>720</v>
      </c>
      <c r="D1900" s="167" t="s">
        <v>1883</v>
      </c>
      <c r="E1900" s="167" t="s">
        <v>1180</v>
      </c>
      <c r="F1900" s="167">
        <v>1</v>
      </c>
      <c r="G1900" s="168">
        <f>SUMIFS(Таблица1[[#This Row],[8]:[19]],$I$5:$T$5,"Выкуп")</f>
        <v>61.8</v>
      </c>
      <c r="H1900" s="168">
        <f>SUMIFS(Таблица1[[#This Row],[8]:[19]],$I$5:$T$5,"Аренда")</f>
        <v>0</v>
      </c>
      <c r="I1900" s="169"/>
      <c r="J1900" s="169"/>
      <c r="K1900" s="169">
        <f>57.9+3.9</f>
        <v>61.8</v>
      </c>
      <c r="L1900" s="169"/>
      <c r="M1900" s="169"/>
      <c r="N1900" s="169"/>
      <c r="O1900" s="169"/>
      <c r="P1900" s="169"/>
      <c r="Q1900" s="169"/>
      <c r="R1900" s="169"/>
      <c r="S1900" s="169"/>
      <c r="T1900" s="169"/>
      <c r="U1900" s="170"/>
      <c r="V1900" s="171"/>
    </row>
    <row r="1901" spans="1:22" ht="15" outlineLevel="1" collapsed="1" x14ac:dyDescent="0.25">
      <c r="A1901" s="186">
        <f>SUMIFS(МКД!$A$6:$A$389,МКД!$D$6:$D$389,Таблица1[[#This Row],[2]])</f>
        <v>336</v>
      </c>
      <c r="B1901" s="194">
        <f>SUMIFS(Таблица1[6],Таблица1[2],Таблица1[[#This Row],[2]])+SUMIFS(Таблица1[7],Таблица1[2],Таблица1[[#This Row],[2]])</f>
        <v>689</v>
      </c>
      <c r="C1901" s="185" t="s">
        <v>402</v>
      </c>
      <c r="D1901" s="196"/>
      <c r="E1901" s="196"/>
      <c r="F1901" s="196"/>
      <c r="G1901" s="168"/>
      <c r="H1901" s="197"/>
      <c r="I1901" s="196"/>
      <c r="J1901" s="196"/>
      <c r="K1901" s="196"/>
      <c r="L1901" s="196"/>
      <c r="M1901" s="196"/>
      <c r="N1901" s="196"/>
      <c r="O1901" s="196"/>
      <c r="P1901" s="196"/>
      <c r="Q1901" s="196"/>
      <c r="R1901" s="196"/>
      <c r="S1901" s="196"/>
      <c r="T1901" s="196"/>
      <c r="U1901" s="196"/>
      <c r="V1901" s="198"/>
    </row>
    <row r="1902" spans="1:22" s="20" customFormat="1" hidden="1" outlineLevel="2" x14ac:dyDescent="0.25">
      <c r="A1902" s="186">
        <f>SUMIFS(МКД!$A$6:$A$389,МКД!$D$6:$D$389,Таблица1[[#This Row],[2]])</f>
        <v>336</v>
      </c>
      <c r="B1902" s="170"/>
      <c r="C1902" s="182" t="s">
        <v>402</v>
      </c>
      <c r="D1902" s="167" t="s">
        <v>1448</v>
      </c>
      <c r="E1902" s="167" t="s">
        <v>1489</v>
      </c>
      <c r="F1902" s="167">
        <v>1</v>
      </c>
      <c r="G1902" s="168">
        <f>SUMIFS(Таблица1[[#This Row],[8]:[19]],$I$5:$T$5,"Выкуп")</f>
        <v>60</v>
      </c>
      <c r="H1902" s="168">
        <f>SUMIFS(Таблица1[[#This Row],[8]:[19]],$I$5:$T$5,"Аренда")</f>
        <v>0</v>
      </c>
      <c r="I1902" s="169"/>
      <c r="J1902" s="169"/>
      <c r="K1902" s="169">
        <v>60</v>
      </c>
      <c r="L1902" s="169"/>
      <c r="M1902" s="169"/>
      <c r="N1902" s="169"/>
      <c r="O1902" s="169"/>
      <c r="P1902" s="169"/>
      <c r="Q1902" s="169"/>
      <c r="R1902" s="169"/>
      <c r="S1902" s="169"/>
      <c r="T1902" s="169"/>
      <c r="U1902" s="170"/>
      <c r="V1902" s="171"/>
    </row>
    <row r="1903" spans="1:22" hidden="1" outlineLevel="2" x14ac:dyDescent="0.25">
      <c r="A1903" s="186">
        <f>SUMIFS(МКД!$A$6:$A$389,МКД!$D$6:$D$389,Таблица1[[#This Row],[2]])</f>
        <v>336</v>
      </c>
      <c r="B1903" s="168"/>
      <c r="C1903" s="182" t="s">
        <v>402</v>
      </c>
      <c r="D1903" s="167" t="s">
        <v>1502</v>
      </c>
      <c r="E1903" s="167" t="s">
        <v>1503</v>
      </c>
      <c r="F1903" s="167">
        <v>1</v>
      </c>
      <c r="G1903" s="168">
        <f>SUMIFS(Таблица1[[#This Row],[8]:[19]],$I$5:$T$5,"Выкуп")</f>
        <v>67.599999999999994</v>
      </c>
      <c r="H1903" s="168">
        <f>SUMIFS(Таблица1[[#This Row],[8]:[19]],$I$5:$T$5,"Аренда")</f>
        <v>0</v>
      </c>
      <c r="I1903" s="169"/>
      <c r="J1903" s="169"/>
      <c r="K1903" s="169">
        <v>67.599999999999994</v>
      </c>
      <c r="L1903" s="169"/>
      <c r="M1903" s="169"/>
      <c r="N1903" s="169"/>
      <c r="O1903" s="169"/>
      <c r="P1903" s="169"/>
      <c r="Q1903" s="169"/>
      <c r="R1903" s="169"/>
      <c r="S1903" s="169"/>
      <c r="T1903" s="169"/>
      <c r="U1903" s="170"/>
      <c r="V1903" s="171"/>
    </row>
    <row r="1904" spans="1:22" hidden="1" outlineLevel="2" x14ac:dyDescent="0.25">
      <c r="A1904" s="186">
        <f>SUMIFS(МКД!$A$6:$A$389,МКД!$D$6:$D$389,Таблица1[[#This Row],[2]])</f>
        <v>336</v>
      </c>
      <c r="B1904" s="168"/>
      <c r="C1904" s="182" t="s">
        <v>402</v>
      </c>
      <c r="D1904" s="167" t="s">
        <v>1593</v>
      </c>
      <c r="E1904" s="273" t="s">
        <v>1778</v>
      </c>
      <c r="F1904" s="167">
        <v>1</v>
      </c>
      <c r="G1904" s="168">
        <f>SUMIFS(Таблица1[[#This Row],[8]:[19]],$I$5:$T$5,"Выкуп")</f>
        <v>72.099999999999994</v>
      </c>
      <c r="H1904" s="168">
        <f>SUMIFS(Таблица1[[#This Row],[8]:[19]],$I$5:$T$5,"Аренда")</f>
        <v>0</v>
      </c>
      <c r="I1904" s="169"/>
      <c r="J1904" s="169"/>
      <c r="K1904" s="169">
        <v>72.099999999999994</v>
      </c>
      <c r="L1904" s="169"/>
      <c r="M1904" s="169"/>
      <c r="N1904" s="169"/>
      <c r="O1904" s="169"/>
      <c r="P1904" s="169"/>
      <c r="Q1904" s="169"/>
      <c r="R1904" s="169"/>
      <c r="S1904" s="169"/>
      <c r="T1904" s="169"/>
      <c r="U1904" s="170"/>
      <c r="V1904" s="171"/>
    </row>
    <row r="1905" spans="1:22" hidden="1" outlineLevel="2" x14ac:dyDescent="0.25">
      <c r="A1905" s="186">
        <f>SUMIFS(МКД!$A$6:$A$389,МКД!$D$6:$D$389,Таблица1[[#This Row],[2]])</f>
        <v>336</v>
      </c>
      <c r="B1905" s="168"/>
      <c r="C1905" s="182" t="s">
        <v>402</v>
      </c>
      <c r="D1905" s="167" t="s">
        <v>1834</v>
      </c>
      <c r="E1905" s="167" t="s">
        <v>1835</v>
      </c>
      <c r="F1905" s="167">
        <v>1</v>
      </c>
      <c r="G1905" s="168">
        <f>SUMIFS(Таблица1[[#This Row],[8]:[19]],$I$5:$T$5,"Выкуп")</f>
        <v>212.3</v>
      </c>
      <c r="H1905" s="168">
        <f>SUMIFS(Таблица1[[#This Row],[8]:[19]],$I$5:$T$5,"Аренда")</f>
        <v>0</v>
      </c>
      <c r="I1905" s="169"/>
      <c r="J1905" s="169"/>
      <c r="K1905" s="169">
        <v>212.3</v>
      </c>
      <c r="L1905" s="169"/>
      <c r="M1905" s="169"/>
      <c r="N1905" s="169"/>
      <c r="O1905" s="169"/>
      <c r="P1905" s="169"/>
      <c r="Q1905" s="169"/>
      <c r="R1905" s="169"/>
      <c r="S1905" s="169"/>
      <c r="T1905" s="169"/>
      <c r="U1905" s="170"/>
      <c r="V1905" s="171"/>
    </row>
    <row r="1906" spans="1:22" hidden="1" outlineLevel="2" x14ac:dyDescent="0.25">
      <c r="A1906" s="186">
        <f>SUMIFS(МКД!$A$6:$A$389,МКД!$D$6:$D$389,Таблица1[[#This Row],[2]])</f>
        <v>336</v>
      </c>
      <c r="B1906" s="168"/>
      <c r="C1906" s="182" t="s">
        <v>402</v>
      </c>
      <c r="D1906" s="167" t="s">
        <v>1490</v>
      </c>
      <c r="E1906" s="167" t="s">
        <v>1492</v>
      </c>
      <c r="F1906" s="167">
        <v>1</v>
      </c>
      <c r="G1906" s="168">
        <f>SUMIFS(Таблица1[[#This Row],[8]:[19]],$I$5:$T$5,"Выкуп")</f>
        <v>42.65</v>
      </c>
      <c r="H1906" s="168">
        <f>SUMIFS(Таблица1[[#This Row],[8]:[19]],$I$5:$T$5,"Аренда")</f>
        <v>0</v>
      </c>
      <c r="I1906" s="169"/>
      <c r="J1906" s="169"/>
      <c r="K1906" s="169">
        <v>42.65</v>
      </c>
      <c r="L1906" s="169"/>
      <c r="M1906" s="169"/>
      <c r="N1906" s="169"/>
      <c r="O1906" s="169"/>
      <c r="P1906" s="169"/>
      <c r="Q1906" s="169"/>
      <c r="R1906" s="169"/>
      <c r="S1906" s="169"/>
      <c r="T1906" s="169"/>
      <c r="U1906" s="170"/>
      <c r="V1906" s="171"/>
    </row>
    <row r="1907" spans="1:22" hidden="1" outlineLevel="2" x14ac:dyDescent="0.25">
      <c r="A1907" s="186">
        <f>SUMIFS(МКД!$A$6:$A$389,МКД!$D$6:$D$389,Таблица1[[#This Row],[2]])</f>
        <v>336</v>
      </c>
      <c r="B1907" s="168"/>
      <c r="C1907" s="182" t="s">
        <v>402</v>
      </c>
      <c r="D1907" s="167" t="s">
        <v>1535</v>
      </c>
      <c r="E1907" s="167" t="s">
        <v>2457</v>
      </c>
      <c r="F1907" s="167">
        <v>1</v>
      </c>
      <c r="G1907" s="168">
        <f>SUMIFS(Таблица1[[#This Row],[8]:[19]],$I$5:$T$5,"Выкуп")</f>
        <v>72.099999999999994</v>
      </c>
      <c r="H1907" s="168">
        <f>SUMIFS(Таблица1[[#This Row],[8]:[19]],$I$5:$T$5,"Аренда")</f>
        <v>0</v>
      </c>
      <c r="I1907" s="169">
        <v>72.099999999999994</v>
      </c>
      <c r="J1907" s="169"/>
      <c r="K1907" s="169"/>
      <c r="L1907" s="169"/>
      <c r="M1907" s="169"/>
      <c r="N1907" s="169"/>
      <c r="O1907" s="169"/>
      <c r="P1907" s="169"/>
      <c r="Q1907" s="169"/>
      <c r="R1907" s="169"/>
      <c r="S1907" s="169"/>
      <c r="T1907" s="169"/>
      <c r="U1907" s="170"/>
      <c r="V1907" s="171"/>
    </row>
    <row r="1908" spans="1:22" hidden="1" outlineLevel="2" x14ac:dyDescent="0.25">
      <c r="A1908" s="186">
        <f>SUMIFS(МКД!$A$6:$A$389,МКД!$D$6:$D$389,Таблица1[[#This Row],[2]])</f>
        <v>336</v>
      </c>
      <c r="B1908" s="168"/>
      <c r="C1908" s="182" t="s">
        <v>402</v>
      </c>
      <c r="D1908" s="167" t="s">
        <v>1449</v>
      </c>
      <c r="E1908" s="167" t="s">
        <v>1491</v>
      </c>
      <c r="F1908" s="167">
        <v>1</v>
      </c>
      <c r="G1908" s="168">
        <f>SUMIFS(Таблица1[[#This Row],[8]:[19]],$I$5:$T$5,"Выкуп")</f>
        <v>53.15</v>
      </c>
      <c r="H1908" s="168">
        <f>SUMIFS(Таблица1[[#This Row],[8]:[19]],$I$5:$T$5,"Аренда")</f>
        <v>0</v>
      </c>
      <c r="I1908" s="169"/>
      <c r="J1908" s="169"/>
      <c r="K1908" s="169">
        <v>53.15</v>
      </c>
      <c r="L1908" s="169"/>
      <c r="M1908" s="169"/>
      <c r="N1908" s="169"/>
      <c r="O1908" s="169"/>
      <c r="P1908" s="169"/>
      <c r="Q1908" s="169"/>
      <c r="R1908" s="169"/>
      <c r="S1908" s="169"/>
      <c r="T1908" s="169"/>
      <c r="U1908" s="170"/>
      <c r="V1908" s="171"/>
    </row>
    <row r="1909" spans="1:22" hidden="1" outlineLevel="2" x14ac:dyDescent="0.25">
      <c r="A1909" s="186">
        <f>SUMIFS(МКД!$A$6:$A$389,МКД!$D$6:$D$389,Таблица1[[#This Row],[2]])</f>
        <v>336</v>
      </c>
      <c r="B1909" s="168"/>
      <c r="C1909" s="182" t="s">
        <v>402</v>
      </c>
      <c r="D1909" s="167" t="s">
        <v>1394</v>
      </c>
      <c r="E1909" s="167" t="s">
        <v>2752</v>
      </c>
      <c r="F1909" s="167">
        <v>1</v>
      </c>
      <c r="G1909" s="168">
        <f>SUMIFS(Таблица1[[#This Row],[8]:[19]],$I$5:$T$5,"Выкуп")</f>
        <v>109.1</v>
      </c>
      <c r="H1909" s="168">
        <f>SUMIFS(Таблица1[[#This Row],[8]:[19]],$I$5:$T$5,"Аренда")</f>
        <v>0</v>
      </c>
      <c r="I1909" s="169"/>
      <c r="J1909" s="169"/>
      <c r="K1909" s="169"/>
      <c r="L1909" s="169"/>
      <c r="M1909" s="169">
        <v>109.1</v>
      </c>
      <c r="N1909" s="169"/>
      <c r="O1909" s="169"/>
      <c r="P1909" s="169"/>
      <c r="Q1909" s="169"/>
      <c r="R1909" s="169"/>
      <c r="S1909" s="169"/>
      <c r="T1909" s="169"/>
      <c r="U1909" s="170"/>
      <c r="V1909" s="171"/>
    </row>
    <row r="1910" spans="1:22" ht="15" outlineLevel="1" collapsed="1" x14ac:dyDescent="0.25">
      <c r="A1910" s="186">
        <f>SUMIFS(МКД!$A$6:$A$389,МКД!$D$6:$D$389,Таблица1[[#This Row],[2]])</f>
        <v>337</v>
      </c>
      <c r="B1910" s="194">
        <f>SUMIFS(Таблица1[6],Таблица1[2],Таблица1[[#This Row],[2]])+SUMIFS(Таблица1[7],Таблица1[2],Таблица1[[#This Row],[2]])</f>
        <v>644.4</v>
      </c>
      <c r="C1910" s="185" t="s">
        <v>403</v>
      </c>
      <c r="D1910" s="196"/>
      <c r="E1910" s="196"/>
      <c r="F1910" s="196"/>
      <c r="G1910" s="168"/>
      <c r="H1910" s="197"/>
      <c r="I1910" s="196"/>
      <c r="J1910" s="196"/>
      <c r="K1910" s="196"/>
      <c r="L1910" s="196"/>
      <c r="M1910" s="196"/>
      <c r="N1910" s="196"/>
      <c r="O1910" s="196"/>
      <c r="P1910" s="196"/>
      <c r="Q1910" s="196"/>
      <c r="R1910" s="196"/>
      <c r="S1910" s="196"/>
      <c r="T1910" s="196"/>
      <c r="U1910" s="196"/>
      <c r="V1910" s="198"/>
    </row>
    <row r="1911" spans="1:22" hidden="1" outlineLevel="2" x14ac:dyDescent="0.25">
      <c r="A1911" s="186">
        <f>SUMIFS(МКД!$A$6:$A$389,МКД!$D$6:$D$389,Таблица1[[#This Row],[2]])</f>
        <v>337</v>
      </c>
      <c r="B1911" s="170"/>
      <c r="C1911" s="182" t="s">
        <v>403</v>
      </c>
      <c r="D1911" s="167" t="s">
        <v>1128</v>
      </c>
      <c r="E1911" s="167" t="s">
        <v>1127</v>
      </c>
      <c r="F1911" s="167">
        <v>1</v>
      </c>
      <c r="G1911" s="168">
        <f>SUMIFS(Таблица1[[#This Row],[8]:[19]],$I$5:$T$5,"Выкуп")</f>
        <v>453.9</v>
      </c>
      <c r="H1911" s="168">
        <f>SUMIFS(Таблица1[[#This Row],[8]:[19]],$I$5:$T$5,"Аренда")</f>
        <v>0</v>
      </c>
      <c r="I1911" s="169">
        <v>453.9</v>
      </c>
      <c r="J1911" s="169"/>
      <c r="K1911" s="169"/>
      <c r="L1911" s="169"/>
      <c r="M1911" s="169"/>
      <c r="N1911" s="169"/>
      <c r="O1911" s="169"/>
      <c r="P1911" s="169"/>
      <c r="Q1911" s="169"/>
      <c r="R1911" s="169"/>
      <c r="S1911" s="169"/>
      <c r="T1911" s="169"/>
      <c r="U1911" s="170"/>
      <c r="V1911" s="171"/>
    </row>
    <row r="1912" spans="1:22" hidden="1" outlineLevel="2" x14ac:dyDescent="0.25">
      <c r="A1912" s="186">
        <f>SUMIFS(МКД!$A$6:$A$389,МКД!$D$6:$D$389,Таблица1[[#This Row],[2]])</f>
        <v>337</v>
      </c>
      <c r="B1912" s="170"/>
      <c r="C1912" s="182" t="s">
        <v>403</v>
      </c>
      <c r="D1912" s="167" t="s">
        <v>1394</v>
      </c>
      <c r="E1912" s="167" t="s">
        <v>2752</v>
      </c>
      <c r="F1912" s="167">
        <v>1</v>
      </c>
      <c r="G1912" s="320">
        <f>SUMIFS(Таблица1[[#This Row],[8]:[19]],$I$5:$T$5,"Выкуп")</f>
        <v>190.5</v>
      </c>
      <c r="H1912" s="168">
        <f>SUMIFS(Таблица1[[#This Row],[8]:[19]],$I$5:$T$5,"Аренда")</f>
        <v>0</v>
      </c>
      <c r="I1912" s="169"/>
      <c r="J1912" s="169"/>
      <c r="K1912" s="169"/>
      <c r="L1912" s="169"/>
      <c r="M1912" s="278">
        <v>190.5</v>
      </c>
      <c r="N1912" s="169"/>
      <c r="O1912" s="169"/>
      <c r="P1912" s="169"/>
      <c r="Q1912" s="169"/>
      <c r="R1912" s="169"/>
      <c r="S1912" s="169"/>
      <c r="T1912" s="169"/>
      <c r="U1912" s="170"/>
      <c r="V1912" s="171"/>
    </row>
    <row r="1913" spans="1:22" ht="15" outlineLevel="1" collapsed="1" x14ac:dyDescent="0.25">
      <c r="A1913" s="186">
        <f>SUMIFS(МКД!$A$6:$A$389,МКД!$D$6:$D$389,Таблица1[[#This Row],[2]])</f>
        <v>338</v>
      </c>
      <c r="B1913" s="194">
        <f>SUMIFS(Таблица1[6],Таблица1[2],Таблица1[[#This Row],[2]])+SUMIFS(Таблица1[7],Таблица1[2],Таблица1[[#This Row],[2]])</f>
        <v>0</v>
      </c>
      <c r="C1913" s="185" t="s">
        <v>404</v>
      </c>
      <c r="D1913" s="196"/>
      <c r="E1913" s="196"/>
      <c r="F1913" s="196"/>
      <c r="G1913" s="168"/>
      <c r="H1913" s="197"/>
      <c r="I1913" s="196"/>
      <c r="J1913" s="196"/>
      <c r="K1913" s="196"/>
      <c r="L1913" s="196"/>
      <c r="M1913" s="196"/>
      <c r="N1913" s="196"/>
      <c r="O1913" s="196"/>
      <c r="P1913" s="196"/>
      <c r="Q1913" s="196"/>
      <c r="R1913" s="196"/>
      <c r="S1913" s="196"/>
      <c r="T1913" s="196"/>
      <c r="U1913" s="196"/>
      <c r="V1913" s="198"/>
    </row>
    <row r="1914" spans="1:22" ht="15" hidden="1" outlineLevel="2" x14ac:dyDescent="0.25">
      <c r="A1914" s="186">
        <f>SUMIFS(МКД!$A$6:$A$389,МКД!$D$6:$D$389,Таблица1[[#This Row],[2]])</f>
        <v>338</v>
      </c>
      <c r="B1914" s="196"/>
      <c r="C1914" s="182" t="s">
        <v>404</v>
      </c>
      <c r="D1914" s="196"/>
      <c r="E1914" s="196"/>
      <c r="F1914" s="196"/>
      <c r="G1914" s="168">
        <f>SUMIFS(Таблица1[[#This Row],[8]:[19]],$I$5:$T$5,"Выкуп")</f>
        <v>0</v>
      </c>
      <c r="H1914" s="168">
        <f>SUMIFS(Таблица1[[#This Row],[8]:[19]],$I$5:$T$5,"Аренда")</f>
        <v>0</v>
      </c>
      <c r="I1914" s="196"/>
      <c r="J1914" s="196"/>
      <c r="K1914" s="196"/>
      <c r="L1914" s="196"/>
      <c r="M1914" s="196"/>
      <c r="N1914" s="196"/>
      <c r="O1914" s="196"/>
      <c r="P1914" s="196"/>
      <c r="Q1914" s="196"/>
      <c r="R1914" s="196"/>
      <c r="S1914" s="196"/>
      <c r="T1914" s="196"/>
      <c r="U1914" s="196"/>
      <c r="V1914" s="198"/>
    </row>
    <row r="1915" spans="1:22" ht="15" outlineLevel="1" collapsed="1" x14ac:dyDescent="0.25">
      <c r="A1915" s="186">
        <f>SUMIFS(МКД!$A$6:$A$389,МКД!$D$6:$D$389,Таблица1[[#This Row],[2]])</f>
        <v>339</v>
      </c>
      <c r="B1915" s="194">
        <f>SUMIFS(Таблица1[6],Таблица1[2],Таблица1[[#This Row],[2]])+SUMIFS(Таблица1[7],Таблица1[2],Таблица1[[#This Row],[2]])</f>
        <v>462.5</v>
      </c>
      <c r="C1915" s="185" t="s">
        <v>405</v>
      </c>
      <c r="D1915" s="196"/>
      <c r="E1915" s="196"/>
      <c r="F1915" s="196"/>
      <c r="G1915" s="168"/>
      <c r="H1915" s="197"/>
      <c r="I1915" s="196"/>
      <c r="J1915" s="196"/>
      <c r="K1915" s="196"/>
      <c r="L1915" s="196"/>
      <c r="M1915" s="196"/>
      <c r="N1915" s="196"/>
      <c r="O1915" s="196"/>
      <c r="P1915" s="196"/>
      <c r="Q1915" s="196"/>
      <c r="R1915" s="196"/>
      <c r="S1915" s="196"/>
      <c r="T1915" s="196"/>
      <c r="U1915" s="196"/>
      <c r="V1915" s="198"/>
    </row>
    <row r="1916" spans="1:22" hidden="1" outlineLevel="2" x14ac:dyDescent="0.25">
      <c r="A1916" s="186">
        <f>SUMIFS(МКД!$A$6:$A$389,МКД!$D$6:$D$389,Таблица1[[#This Row],[2]])</f>
        <v>339</v>
      </c>
      <c r="B1916" s="170"/>
      <c r="C1916" s="182" t="s">
        <v>405</v>
      </c>
      <c r="D1916" s="167" t="s">
        <v>2460</v>
      </c>
      <c r="E1916" s="167" t="s">
        <v>2461</v>
      </c>
      <c r="F1916" s="167">
        <v>1</v>
      </c>
      <c r="G1916" s="168">
        <f>SUMIFS(Таблица1[[#This Row],[8]:[19]],$I$5:$T$5,"Выкуп")</f>
        <v>323.39999999999998</v>
      </c>
      <c r="H1916" s="168">
        <f>SUMIFS(Таблица1[[#This Row],[8]:[19]],$I$5:$T$5,"Аренда")</f>
        <v>0</v>
      </c>
      <c r="I1916" s="169">
        <v>244.4</v>
      </c>
      <c r="J1916" s="169"/>
      <c r="K1916" s="169">
        <v>79</v>
      </c>
      <c r="L1916" s="169"/>
      <c r="M1916" s="169"/>
      <c r="N1916" s="169"/>
      <c r="O1916" s="169"/>
      <c r="P1916" s="169"/>
      <c r="Q1916" s="169"/>
      <c r="R1916" s="169"/>
      <c r="S1916" s="169"/>
      <c r="T1916" s="169"/>
      <c r="U1916" s="170"/>
      <c r="V1916" s="171"/>
    </row>
    <row r="1917" spans="1:22" hidden="1" outlineLevel="2" x14ac:dyDescent="0.25">
      <c r="A1917" s="186">
        <f>SUMIFS(МКД!$A$6:$A$389,МКД!$D$6:$D$389,Таблица1[[#This Row],[2]])</f>
        <v>339</v>
      </c>
      <c r="B1917" s="168"/>
      <c r="C1917" s="182" t="s">
        <v>405</v>
      </c>
      <c r="D1917" s="167" t="s">
        <v>1535</v>
      </c>
      <c r="E1917" s="167" t="s">
        <v>2458</v>
      </c>
      <c r="F1917" s="167"/>
      <c r="G1917" s="168">
        <f>SUMIFS(Таблица1[[#This Row],[8]:[19]],$I$5:$T$5,"Выкуп")</f>
        <v>69.599999999999994</v>
      </c>
      <c r="H1917" s="168">
        <f>SUMIFS(Таблица1[[#This Row],[8]:[19]],$I$5:$T$5,"Аренда")</f>
        <v>0</v>
      </c>
      <c r="I1917" s="169">
        <v>69.599999999999994</v>
      </c>
      <c r="J1917" s="169"/>
      <c r="K1917" s="169"/>
      <c r="L1917" s="169"/>
      <c r="M1917" s="169"/>
      <c r="N1917" s="169"/>
      <c r="O1917" s="169"/>
      <c r="P1917" s="169"/>
      <c r="Q1917" s="169"/>
      <c r="R1917" s="169"/>
      <c r="S1917" s="169"/>
      <c r="T1917" s="169"/>
      <c r="U1917" s="170"/>
      <c r="V1917" s="171"/>
    </row>
    <row r="1918" spans="1:22" hidden="1" outlineLevel="2" x14ac:dyDescent="0.25">
      <c r="A1918" s="186">
        <f>SUMIFS(МКД!$A$6:$A$389,МКД!$D$6:$D$389,Таблица1[[#This Row],[2]])</f>
        <v>339</v>
      </c>
      <c r="B1918" s="168"/>
      <c r="C1918" s="182" t="s">
        <v>405</v>
      </c>
      <c r="D1918" s="167" t="s">
        <v>2459</v>
      </c>
      <c r="E1918" s="167" t="s">
        <v>1177</v>
      </c>
      <c r="F1918" s="167"/>
      <c r="G1918" s="168">
        <f>SUMIFS(Таблица1[[#This Row],[8]:[19]],$I$5:$T$5,"Выкуп")</f>
        <v>69.5</v>
      </c>
      <c r="H1918" s="168">
        <f>SUMIFS(Таблица1[[#This Row],[8]:[19]],$I$5:$T$5,"Аренда")</f>
        <v>0</v>
      </c>
      <c r="I1918" s="169">
        <v>69.5</v>
      </c>
      <c r="J1918" s="169"/>
      <c r="K1918" s="169"/>
      <c r="L1918" s="169"/>
      <c r="M1918" s="169"/>
      <c r="N1918" s="169"/>
      <c r="O1918" s="169"/>
      <c r="P1918" s="169"/>
      <c r="Q1918" s="169"/>
      <c r="R1918" s="169"/>
      <c r="S1918" s="169"/>
      <c r="T1918" s="169"/>
      <c r="U1918" s="170"/>
      <c r="V1918" s="171"/>
    </row>
    <row r="1919" spans="1:22" ht="15" outlineLevel="1" collapsed="1" x14ac:dyDescent="0.25">
      <c r="A1919" s="186">
        <f>SUMIFS(МКД!$A$6:$A$389,МКД!$D$6:$D$389,Таблица1[[#This Row],[2]])</f>
        <v>340</v>
      </c>
      <c r="B1919" s="194">
        <f>SUMIFS(Таблица1[6],Таблица1[2],Таблица1[[#This Row],[2]])+SUMIFS(Таблица1[7],Таблица1[2],Таблица1[[#This Row],[2]])</f>
        <v>683.59999999999991</v>
      </c>
      <c r="C1919" s="185" t="s">
        <v>406</v>
      </c>
      <c r="D1919" s="196"/>
      <c r="E1919" s="196"/>
      <c r="F1919" s="196"/>
      <c r="G1919" s="168"/>
      <c r="H1919" s="197"/>
      <c r="I1919" s="196"/>
      <c r="J1919" s="196"/>
      <c r="K1919" s="196"/>
      <c r="L1919" s="196"/>
      <c r="M1919" s="196"/>
      <c r="N1919" s="196"/>
      <c r="O1919" s="196"/>
      <c r="P1919" s="196"/>
      <c r="Q1919" s="196"/>
      <c r="R1919" s="196"/>
      <c r="S1919" s="196"/>
      <c r="T1919" s="196"/>
      <c r="U1919" s="196"/>
      <c r="V1919" s="198"/>
    </row>
    <row r="1920" spans="1:22" hidden="1" outlineLevel="2" x14ac:dyDescent="0.25">
      <c r="A1920" s="186">
        <f>SUMIFS(МКД!$A$6:$A$389,МКД!$D$6:$D$389,Таблица1[[#This Row],[2]])</f>
        <v>340</v>
      </c>
      <c r="B1920" s="170"/>
      <c r="C1920" s="182" t="s">
        <v>406</v>
      </c>
      <c r="D1920" s="167" t="s">
        <v>48</v>
      </c>
      <c r="E1920" s="167" t="s">
        <v>1763</v>
      </c>
      <c r="F1920" s="167">
        <v>1</v>
      </c>
      <c r="G1920" s="168">
        <f>SUMIFS(Таблица1[[#This Row],[8]:[19]],$I$5:$T$5,"Выкуп")</f>
        <v>169.9</v>
      </c>
      <c r="H1920" s="168">
        <f>SUMIFS(Таблица1[[#This Row],[8]:[19]],$I$5:$T$5,"Аренда")</f>
        <v>0</v>
      </c>
      <c r="I1920" s="169"/>
      <c r="J1920" s="169"/>
      <c r="K1920" s="169">
        <v>169.9</v>
      </c>
      <c r="L1920" s="169"/>
      <c r="M1920" s="169"/>
      <c r="N1920" s="169"/>
      <c r="O1920" s="169"/>
      <c r="P1920" s="169"/>
      <c r="Q1920" s="169"/>
      <c r="R1920" s="169"/>
      <c r="S1920" s="169"/>
      <c r="T1920" s="169"/>
      <c r="U1920" s="170"/>
      <c r="V1920" s="171"/>
    </row>
    <row r="1921" spans="1:22" hidden="1" outlineLevel="2" x14ac:dyDescent="0.25">
      <c r="A1921" s="186">
        <f>SUMIFS(МКД!$A$6:$A$389,МКД!$D$6:$D$389,Таблица1[[#This Row],[2]])</f>
        <v>340</v>
      </c>
      <c r="B1921" s="168"/>
      <c r="C1921" s="182" t="s">
        <v>406</v>
      </c>
      <c r="D1921" s="167" t="s">
        <v>2792</v>
      </c>
      <c r="E1921" s="167" t="s">
        <v>764</v>
      </c>
      <c r="F1921" s="167">
        <v>1</v>
      </c>
      <c r="G1921" s="168">
        <f>SUMIFS(Таблица1[[#This Row],[8]:[19]],$I$5:$T$5,"Выкуп")</f>
        <v>51.2</v>
      </c>
      <c r="H1921" s="168">
        <f>SUMIFS(Таблица1[[#This Row],[8]:[19]],$I$5:$T$5,"Аренда")</f>
        <v>0</v>
      </c>
      <c r="I1921" s="169">
        <v>51.2</v>
      </c>
      <c r="J1921" s="169"/>
      <c r="K1921" s="169"/>
      <c r="L1921" s="169"/>
      <c r="M1921" s="169"/>
      <c r="N1921" s="169"/>
      <c r="O1921" s="169"/>
      <c r="P1921" s="169"/>
      <c r="Q1921" s="169"/>
      <c r="R1921" s="169"/>
      <c r="S1921" s="169"/>
      <c r="T1921" s="169"/>
      <c r="U1921" s="170"/>
      <c r="V1921" s="171"/>
    </row>
    <row r="1922" spans="1:22" hidden="1" outlineLevel="2" x14ac:dyDescent="0.25">
      <c r="A1922" s="186">
        <f>SUMIFS(МКД!$A$6:$A$389,МКД!$D$6:$D$389,Таблица1[[#This Row],[2]])</f>
        <v>340</v>
      </c>
      <c r="B1922" s="168"/>
      <c r="C1922" s="182" t="s">
        <v>406</v>
      </c>
      <c r="D1922" s="167"/>
      <c r="E1922" s="167" t="s">
        <v>2809</v>
      </c>
      <c r="F1922" s="167">
        <v>1</v>
      </c>
      <c r="G1922" s="168">
        <f>SUMIFS(Таблица1[[#This Row],[8]:[19]],$I$5:$T$5,"Выкуп")</f>
        <v>0</v>
      </c>
      <c r="H1922" s="168">
        <f>SUMIFS(Таблица1[[#This Row],[8]:[19]],$I$5:$T$5,"Аренда")</f>
        <v>0</v>
      </c>
      <c r="I1922" s="169">
        <f>91.4*0</f>
        <v>0</v>
      </c>
      <c r="J1922" s="169"/>
      <c r="K1922" s="169"/>
      <c r="L1922" s="169"/>
      <c r="M1922" s="169"/>
      <c r="N1922" s="169"/>
      <c r="O1922" s="169"/>
      <c r="P1922" s="169"/>
      <c r="Q1922" s="169"/>
      <c r="R1922" s="169"/>
      <c r="S1922" s="169"/>
      <c r="T1922" s="169"/>
      <c r="U1922" s="170"/>
      <c r="V1922" s="171"/>
    </row>
    <row r="1923" spans="1:22" hidden="1" outlineLevel="2" x14ac:dyDescent="0.25">
      <c r="A1923" s="186">
        <f>SUMIFS(МКД!$A$6:$A$389,МКД!$D$6:$D$389,Таблица1[[#This Row],[2]])</f>
        <v>340</v>
      </c>
      <c r="B1923" s="168"/>
      <c r="C1923" s="182" t="s">
        <v>406</v>
      </c>
      <c r="D1923" s="167" t="s">
        <v>48</v>
      </c>
      <c r="E1923" s="167" t="s">
        <v>2550</v>
      </c>
      <c r="F1923" s="167">
        <v>1</v>
      </c>
      <c r="G1923" s="168">
        <f>SUMIFS(Таблица1[[#This Row],[8]:[19]],$I$5:$T$5,"Выкуп")</f>
        <v>84.2</v>
      </c>
      <c r="H1923" s="168">
        <f>SUMIFS(Таблица1[[#This Row],[8]:[19]],$I$5:$T$5,"Аренда")</f>
        <v>0</v>
      </c>
      <c r="I1923" s="169"/>
      <c r="J1923" s="169"/>
      <c r="K1923" s="169">
        <v>84.2</v>
      </c>
      <c r="L1923" s="169"/>
      <c r="M1923" s="169"/>
      <c r="N1923" s="169"/>
      <c r="O1923" s="169"/>
      <c r="P1923" s="169"/>
      <c r="Q1923" s="169"/>
      <c r="R1923" s="169"/>
      <c r="S1923" s="169"/>
      <c r="T1923" s="169"/>
      <c r="U1923" s="170"/>
      <c r="V1923" s="171"/>
    </row>
    <row r="1924" spans="1:22" hidden="1" outlineLevel="2" x14ac:dyDescent="0.25">
      <c r="A1924" s="186">
        <f>SUMIFS(МКД!$A$6:$A$389,МКД!$D$6:$D$389,Таблица1[[#This Row],[2]])</f>
        <v>340</v>
      </c>
      <c r="B1924" s="168"/>
      <c r="C1924" s="182" t="s">
        <v>406</v>
      </c>
      <c r="D1924" s="167" t="s">
        <v>47</v>
      </c>
      <c r="E1924" s="167" t="s">
        <v>2551</v>
      </c>
      <c r="F1924" s="167">
        <v>1</v>
      </c>
      <c r="G1924" s="168">
        <f>SUMIFS(Таблица1[[#This Row],[8]:[19]],$I$5:$T$5,"Выкуп")</f>
        <v>45.4</v>
      </c>
      <c r="H1924" s="168">
        <f>SUMIFS(Таблица1[[#This Row],[8]:[19]],$I$5:$T$5,"Аренда")</f>
        <v>0</v>
      </c>
      <c r="I1924" s="169">
        <v>45.4</v>
      </c>
      <c r="J1924" s="169"/>
      <c r="K1924" s="169"/>
      <c r="L1924" s="169"/>
      <c r="M1924" s="169"/>
      <c r="N1924" s="169"/>
      <c r="O1924" s="169"/>
      <c r="P1924" s="169"/>
      <c r="Q1924" s="169"/>
      <c r="R1924" s="169"/>
      <c r="S1924" s="169"/>
      <c r="T1924" s="169"/>
      <c r="U1924" s="170"/>
      <c r="V1924" s="171"/>
    </row>
    <row r="1925" spans="1:22" hidden="1" outlineLevel="2" x14ac:dyDescent="0.25">
      <c r="A1925" s="186">
        <f>SUMIFS(МКД!$A$6:$A$389,МКД!$D$6:$D$389,Таблица1[[#This Row],[2]])</f>
        <v>340</v>
      </c>
      <c r="B1925" s="168"/>
      <c r="C1925" s="182" t="s">
        <v>406</v>
      </c>
      <c r="D1925" s="167" t="s">
        <v>1504</v>
      </c>
      <c r="E1925" s="167" t="s">
        <v>1505</v>
      </c>
      <c r="F1925" s="167">
        <v>1</v>
      </c>
      <c r="G1925" s="168">
        <f>SUMIFS(Таблица1[[#This Row],[8]:[19]],$I$5:$T$5,"Выкуп")</f>
        <v>53</v>
      </c>
      <c r="H1925" s="168">
        <f>SUMIFS(Таблица1[[#This Row],[8]:[19]],$I$5:$T$5,"Аренда")</f>
        <v>0</v>
      </c>
      <c r="I1925" s="169">
        <v>53</v>
      </c>
      <c r="J1925" s="169"/>
      <c r="K1925" s="169"/>
      <c r="L1925" s="169"/>
      <c r="M1925" s="169"/>
      <c r="N1925" s="169"/>
      <c r="O1925" s="169"/>
      <c r="P1925" s="169"/>
      <c r="Q1925" s="169"/>
      <c r="R1925" s="169"/>
      <c r="S1925" s="169"/>
      <c r="T1925" s="169"/>
      <c r="U1925" s="170"/>
      <c r="V1925" s="171"/>
    </row>
    <row r="1926" spans="1:22" hidden="1" outlineLevel="2" x14ac:dyDescent="0.25">
      <c r="A1926" s="186">
        <f>SUMIFS(МКД!$A$6:$A$389,МКД!$D$6:$D$389,Таблица1[[#This Row],[2]])</f>
        <v>340</v>
      </c>
      <c r="B1926" s="168"/>
      <c r="C1926" s="182" t="s">
        <v>406</v>
      </c>
      <c r="D1926" s="167" t="s">
        <v>2054</v>
      </c>
      <c r="E1926" s="167" t="s">
        <v>1004</v>
      </c>
      <c r="F1926" s="167">
        <v>1</v>
      </c>
      <c r="G1926" s="168">
        <f>SUMIFS(Таблица1[[#This Row],[8]:[19]],$I$5:$T$5,"Выкуп")</f>
        <v>131.1</v>
      </c>
      <c r="H1926" s="168">
        <f>SUMIFS(Таблица1[[#This Row],[8]:[19]],$I$5:$T$5,"Аренда")</f>
        <v>0</v>
      </c>
      <c r="I1926" s="169">
        <v>131.1</v>
      </c>
      <c r="J1926" s="169"/>
      <c r="K1926" s="169"/>
      <c r="L1926" s="169"/>
      <c r="M1926" s="169"/>
      <c r="N1926" s="169"/>
      <c r="O1926" s="169"/>
      <c r="P1926" s="169"/>
      <c r="Q1926" s="169"/>
      <c r="R1926" s="169"/>
      <c r="S1926" s="169"/>
      <c r="T1926" s="169"/>
      <c r="U1926" s="170"/>
      <c r="V1926" s="171"/>
    </row>
    <row r="1927" spans="1:22" hidden="1" outlineLevel="2" x14ac:dyDescent="0.25">
      <c r="A1927" s="186">
        <f>SUMIFS(МКД!$A$6:$A$389,МКД!$D$6:$D$389,Таблица1[[#This Row],[2]])</f>
        <v>340</v>
      </c>
      <c r="B1927" s="168"/>
      <c r="C1927" s="182" t="s">
        <v>406</v>
      </c>
      <c r="D1927" s="167" t="s">
        <v>2552</v>
      </c>
      <c r="E1927" s="167" t="s">
        <v>217</v>
      </c>
      <c r="F1927" s="167"/>
      <c r="G1927" s="168">
        <f>SUMIFS(Таблица1[[#This Row],[8]:[19]],$I$5:$T$5,"Выкуп")</f>
        <v>41.6</v>
      </c>
      <c r="H1927" s="168">
        <f>SUMIFS(Таблица1[[#This Row],[8]:[19]],$I$5:$T$5,"Аренда")</f>
        <v>0</v>
      </c>
      <c r="I1927" s="169">
        <v>41.6</v>
      </c>
      <c r="J1927" s="169"/>
      <c r="K1927" s="169"/>
      <c r="L1927" s="169"/>
      <c r="M1927" s="169"/>
      <c r="N1927" s="169"/>
      <c r="O1927" s="169"/>
      <c r="P1927" s="169"/>
      <c r="Q1927" s="169"/>
      <c r="R1927" s="169"/>
      <c r="S1927" s="169"/>
      <c r="T1927" s="169"/>
      <c r="U1927" s="170"/>
      <c r="V1927" s="171"/>
    </row>
    <row r="1928" spans="1:22" hidden="1" outlineLevel="2" x14ac:dyDescent="0.25">
      <c r="A1928" s="186">
        <f>SUMIFS(МКД!$A$6:$A$389,МКД!$D$6:$D$389,Таблица1[[#This Row],[2]])</f>
        <v>340</v>
      </c>
      <c r="B1928" s="168"/>
      <c r="C1928" s="182" t="s">
        <v>406</v>
      </c>
      <c r="D1928" s="167" t="s">
        <v>50</v>
      </c>
      <c r="E1928" s="167" t="s">
        <v>2553</v>
      </c>
      <c r="F1928" s="167">
        <v>1</v>
      </c>
      <c r="G1928" s="168">
        <f>SUMIFS(Таблица1[[#This Row],[8]:[19]],$I$5:$T$5,"Выкуп")</f>
        <v>85.3</v>
      </c>
      <c r="H1928" s="168">
        <f>SUMIFS(Таблица1[[#This Row],[8]:[19]],$I$5:$T$5,"Аренда")</f>
        <v>0</v>
      </c>
      <c r="I1928" s="169">
        <v>85.3</v>
      </c>
      <c r="J1928" s="169"/>
      <c r="K1928" s="169"/>
      <c r="L1928" s="169"/>
      <c r="M1928" s="169"/>
      <c r="N1928" s="169"/>
      <c r="O1928" s="169"/>
      <c r="P1928" s="169"/>
      <c r="Q1928" s="169"/>
      <c r="R1928" s="169"/>
      <c r="S1928" s="169"/>
      <c r="T1928" s="169"/>
      <c r="U1928" s="170"/>
      <c r="V1928" s="171"/>
    </row>
    <row r="1929" spans="1:22" hidden="1" outlineLevel="2" x14ac:dyDescent="0.25">
      <c r="A1929" s="186">
        <f>SUMIFS(МКД!$A$6:$A$389,МКД!$D$6:$D$389,Таблица1[[#This Row],[2]])</f>
        <v>340</v>
      </c>
      <c r="B1929" s="168"/>
      <c r="C1929" s="182" t="s">
        <v>406</v>
      </c>
      <c r="D1929" s="167" t="s">
        <v>239</v>
      </c>
      <c r="E1929" s="167" t="s">
        <v>2593</v>
      </c>
      <c r="F1929" s="167">
        <v>1</v>
      </c>
      <c r="G1929" s="168">
        <f>SUMIFS(Таблица1[[#This Row],[8]:[19]],$I$5:$T$5,"Выкуп")</f>
        <v>0</v>
      </c>
      <c r="H1929" s="168">
        <f>SUMIFS(Таблица1[[#This Row],[8]:[19]],$I$5:$T$5,"Аренда")</f>
        <v>13.8</v>
      </c>
      <c r="I1929" s="169"/>
      <c r="J1929" s="169"/>
      <c r="K1929" s="169"/>
      <c r="L1929" s="169"/>
      <c r="M1929" s="169"/>
      <c r="N1929" s="169"/>
      <c r="O1929" s="169"/>
      <c r="P1929" s="169">
        <v>13.8</v>
      </c>
      <c r="Q1929" s="169"/>
      <c r="R1929" s="169"/>
      <c r="S1929" s="169"/>
      <c r="T1929" s="169"/>
      <c r="U1929" s="170"/>
      <c r="V1929" s="171"/>
    </row>
    <row r="1930" spans="1:22" hidden="1" outlineLevel="2" x14ac:dyDescent="0.25">
      <c r="A1930" s="186">
        <f>SUMIFS(МКД!$A$6:$A$389,МКД!$D$6:$D$389,Таблица1[[#This Row],[2]])</f>
        <v>340</v>
      </c>
      <c r="B1930" s="168"/>
      <c r="C1930" s="182" t="s">
        <v>406</v>
      </c>
      <c r="D1930" s="167" t="s">
        <v>49</v>
      </c>
      <c r="E1930" s="167" t="s">
        <v>2594</v>
      </c>
      <c r="F1930" s="167">
        <v>1</v>
      </c>
      <c r="G1930" s="168">
        <f>SUMIFS(Таблица1[[#This Row],[8]:[19]],$I$5:$T$5,"Выкуп")</f>
        <v>0</v>
      </c>
      <c r="H1930" s="168">
        <f>SUMIFS(Таблица1[[#This Row],[8]:[19]],$I$5:$T$5,"Аренда")</f>
        <v>8.1</v>
      </c>
      <c r="I1930" s="169"/>
      <c r="J1930" s="169"/>
      <c r="K1930" s="169"/>
      <c r="L1930" s="169"/>
      <c r="M1930" s="169"/>
      <c r="N1930" s="169"/>
      <c r="O1930" s="169"/>
      <c r="P1930" s="169">
        <v>8.1</v>
      </c>
      <c r="Q1930" s="169"/>
      <c r="R1930" s="169"/>
      <c r="S1930" s="169"/>
      <c r="T1930" s="169"/>
      <c r="U1930" s="170"/>
      <c r="V1930" s="171"/>
    </row>
    <row r="1931" spans="1:22" hidden="1" outlineLevel="2" x14ac:dyDescent="0.25">
      <c r="A1931" s="186">
        <f>SUMIFS(МКД!$A$6:$A$389,МКД!$D$6:$D$389,Таблица1[[#This Row],[2]])</f>
        <v>340</v>
      </c>
      <c r="B1931" s="168"/>
      <c r="C1931" s="182" t="s">
        <v>406</v>
      </c>
      <c r="D1931" s="167"/>
      <c r="E1931" s="167" t="s">
        <v>2595</v>
      </c>
      <c r="F1931" s="167">
        <v>1</v>
      </c>
      <c r="G1931" s="168">
        <f>SUMIFS(Таблица1[[#This Row],[8]:[19]],$I$5:$T$5,"Выкуп")</f>
        <v>0</v>
      </c>
      <c r="H1931" s="168">
        <f>SUMIFS(Таблица1[[#This Row],[8]:[19]],$I$5:$T$5,"Аренда")</f>
        <v>0</v>
      </c>
      <c r="I1931" s="169"/>
      <c r="J1931" s="169"/>
      <c r="K1931" s="169"/>
      <c r="L1931" s="169"/>
      <c r="M1931" s="169"/>
      <c r="N1931" s="169"/>
      <c r="O1931" s="169"/>
      <c r="P1931" s="169">
        <f>11.2*0</f>
        <v>0</v>
      </c>
      <c r="Q1931" s="169"/>
      <c r="R1931" s="169"/>
      <c r="S1931" s="169"/>
      <c r="T1931" s="169"/>
      <c r="U1931" s="170"/>
      <c r="V1931" s="171"/>
    </row>
    <row r="1932" spans="1:22" ht="15" outlineLevel="1" collapsed="1" x14ac:dyDescent="0.25">
      <c r="A1932" s="186">
        <f>SUMIFS(МКД!$A$6:$A$389,МКД!$D$6:$D$389,Таблица1[[#This Row],[2]])</f>
        <v>341</v>
      </c>
      <c r="B1932" s="194">
        <f>SUMIFS(Таблица1[6],Таблица1[2],Таблица1[[#This Row],[2]])+SUMIFS(Таблица1[7],Таблица1[2],Таблица1[[#This Row],[2]])</f>
        <v>1707.9999999999998</v>
      </c>
      <c r="C1932" s="185" t="s">
        <v>407</v>
      </c>
      <c r="D1932" s="196"/>
      <c r="E1932" s="196"/>
      <c r="F1932" s="196"/>
      <c r="G1932" s="168"/>
      <c r="H1932" s="197"/>
      <c r="I1932" s="196"/>
      <c r="J1932" s="196"/>
      <c r="K1932" s="196"/>
      <c r="L1932" s="196"/>
      <c r="M1932" s="196"/>
      <c r="N1932" s="196"/>
      <c r="O1932" s="196"/>
      <c r="P1932" s="196"/>
      <c r="Q1932" s="196"/>
      <c r="R1932" s="196"/>
      <c r="S1932" s="196"/>
      <c r="T1932" s="196"/>
      <c r="U1932" s="196"/>
      <c r="V1932" s="198"/>
    </row>
    <row r="1933" spans="1:22" hidden="1" outlineLevel="2" x14ac:dyDescent="0.25">
      <c r="A1933" s="186">
        <f>SUMIFS(МКД!$A$6:$A$389,МКД!$D$6:$D$389,Таблица1[[#This Row],[2]])</f>
        <v>341</v>
      </c>
      <c r="B1933" s="170"/>
      <c r="C1933" s="182" t="s">
        <v>407</v>
      </c>
      <c r="D1933" s="167" t="s">
        <v>51</v>
      </c>
      <c r="E1933" s="167" t="s">
        <v>1507</v>
      </c>
      <c r="F1933" s="167">
        <v>2</v>
      </c>
      <c r="G1933" s="168">
        <f>SUMIFS(Таблица1[[#This Row],[8]:[19]],$I$5:$T$5,"Выкуп")</f>
        <v>116.5</v>
      </c>
      <c r="H1933" s="168">
        <f>SUMIFS(Таблица1[[#This Row],[8]:[19]],$I$5:$T$5,"Аренда")</f>
        <v>0</v>
      </c>
      <c r="I1933" s="169">
        <v>116.5</v>
      </c>
      <c r="J1933" s="169"/>
      <c r="K1933" s="169"/>
      <c r="L1933" s="169"/>
      <c r="M1933" s="169"/>
      <c r="N1933" s="169"/>
      <c r="O1933" s="169"/>
      <c r="P1933" s="169"/>
      <c r="Q1933" s="169"/>
      <c r="R1933" s="169"/>
      <c r="S1933" s="169"/>
      <c r="T1933" s="169"/>
      <c r="U1933" s="170"/>
      <c r="V1933" s="171"/>
    </row>
    <row r="1934" spans="1:22" hidden="1" outlineLevel="2" x14ac:dyDescent="0.25">
      <c r="A1934" s="186">
        <f>SUMIFS(МКД!$A$6:$A$389,МКД!$D$6:$D$389,Таблица1[[#This Row],[2]])</f>
        <v>341</v>
      </c>
      <c r="B1934" s="168"/>
      <c r="C1934" s="182" t="s">
        <v>407</v>
      </c>
      <c r="D1934" s="167" t="s">
        <v>2017</v>
      </c>
      <c r="E1934" s="167" t="s">
        <v>1962</v>
      </c>
      <c r="F1934" s="167">
        <v>1</v>
      </c>
      <c r="G1934" s="168">
        <f>SUMIFS(Таблица1[[#This Row],[8]:[19]],$I$5:$T$5,"Выкуп")</f>
        <v>113</v>
      </c>
      <c r="H1934" s="168">
        <f>SUMIFS(Таблица1[[#This Row],[8]:[19]],$I$5:$T$5,"Аренда")</f>
        <v>0</v>
      </c>
      <c r="I1934" s="169">
        <v>113</v>
      </c>
      <c r="J1934" s="169"/>
      <c r="K1934" s="169"/>
      <c r="L1934" s="169"/>
      <c r="M1934" s="169"/>
      <c r="N1934" s="169"/>
      <c r="O1934" s="169"/>
      <c r="P1934" s="169"/>
      <c r="Q1934" s="169"/>
      <c r="R1934" s="169"/>
      <c r="S1934" s="169"/>
      <c r="T1934" s="169"/>
      <c r="U1934" s="170"/>
      <c r="V1934" s="171"/>
    </row>
    <row r="1935" spans="1:22" hidden="1" outlineLevel="2" x14ac:dyDescent="0.25">
      <c r="A1935" s="186">
        <f>SUMIFS(МКД!$A$6:$A$389,МКД!$D$6:$D$389,Таблица1[[#This Row],[2]])</f>
        <v>341</v>
      </c>
      <c r="B1935" s="168"/>
      <c r="C1935" s="182" t="s">
        <v>407</v>
      </c>
      <c r="D1935" s="167" t="s">
        <v>2773</v>
      </c>
      <c r="E1935" s="167" t="s">
        <v>1963</v>
      </c>
      <c r="F1935" s="167">
        <v>1</v>
      </c>
      <c r="G1935" s="168">
        <f>SUMIFS(Таблица1[[#This Row],[8]:[19]],$I$5:$T$5,"Выкуп")</f>
        <v>99.7</v>
      </c>
      <c r="H1935" s="168">
        <f>SUMIFS(Таблица1[[#This Row],[8]:[19]],$I$5:$T$5,"Аренда")</f>
        <v>0</v>
      </c>
      <c r="I1935" s="169">
        <v>99.7</v>
      </c>
      <c r="J1935" s="169"/>
      <c r="K1935" s="169"/>
      <c r="L1935" s="169"/>
      <c r="M1935" s="169"/>
      <c r="N1935" s="169"/>
      <c r="O1935" s="169"/>
      <c r="P1935" s="169"/>
      <c r="Q1935" s="169"/>
      <c r="R1935" s="169"/>
      <c r="S1935" s="169"/>
      <c r="T1935" s="169"/>
      <c r="U1935" s="170"/>
      <c r="V1935" s="171"/>
    </row>
    <row r="1936" spans="1:22" hidden="1" outlineLevel="2" x14ac:dyDescent="0.25">
      <c r="A1936" s="186">
        <f>SUMIFS(МКД!$A$6:$A$389,МКД!$D$6:$D$389,Таблица1[[#This Row],[2]])</f>
        <v>341</v>
      </c>
      <c r="B1936" s="168"/>
      <c r="C1936" s="182" t="s">
        <v>407</v>
      </c>
      <c r="D1936" s="167" t="s">
        <v>2463</v>
      </c>
      <c r="E1936" s="167" t="s">
        <v>2462</v>
      </c>
      <c r="F1936" s="167">
        <v>2</v>
      </c>
      <c r="G1936" s="168">
        <f>SUMIFS(Таблица1[[#This Row],[8]:[19]],$I$5:$T$5,"Выкуп")</f>
        <v>72</v>
      </c>
      <c r="H1936" s="168">
        <f>SUMIFS(Таблица1[[#This Row],[8]:[19]],$I$5:$T$5,"Аренда")</f>
        <v>0</v>
      </c>
      <c r="I1936" s="169">
        <v>72</v>
      </c>
      <c r="J1936" s="169"/>
      <c r="K1936" s="169"/>
      <c r="L1936" s="169"/>
      <c r="M1936" s="169"/>
      <c r="N1936" s="169"/>
      <c r="O1936" s="169"/>
      <c r="P1936" s="169"/>
      <c r="Q1936" s="169"/>
      <c r="R1936" s="169"/>
      <c r="S1936" s="169"/>
      <c r="T1936" s="169"/>
      <c r="U1936" s="170"/>
      <c r="V1936" s="171"/>
    </row>
    <row r="1937" spans="1:22" hidden="1" outlineLevel="2" x14ac:dyDescent="0.25">
      <c r="A1937" s="186">
        <f>SUMIFS(МКД!$A$6:$A$389,МКД!$D$6:$D$389,Таблица1[[#This Row],[2]])</f>
        <v>341</v>
      </c>
      <c r="B1937" s="168"/>
      <c r="C1937" s="182" t="s">
        <v>407</v>
      </c>
      <c r="D1937" s="167" t="s">
        <v>52</v>
      </c>
      <c r="E1937" s="167" t="s">
        <v>2464</v>
      </c>
      <c r="F1937" s="167">
        <v>2</v>
      </c>
      <c r="G1937" s="168">
        <f>SUMIFS(Таблица1[[#This Row],[8]:[19]],$I$5:$T$5,"Выкуп")</f>
        <v>41.9</v>
      </c>
      <c r="H1937" s="168">
        <f>SUMIFS(Таблица1[[#This Row],[8]:[19]],$I$5:$T$5,"Аренда")</f>
        <v>0</v>
      </c>
      <c r="I1937" s="169">
        <v>41.9</v>
      </c>
      <c r="J1937" s="169"/>
      <c r="K1937" s="169"/>
      <c r="L1937" s="169"/>
      <c r="M1937" s="169"/>
      <c r="N1937" s="169"/>
      <c r="O1937" s="169"/>
      <c r="P1937" s="169"/>
      <c r="Q1937" s="169"/>
      <c r="R1937" s="169"/>
      <c r="S1937" s="169"/>
      <c r="T1937" s="169"/>
      <c r="U1937" s="170"/>
      <c r="V1937" s="171"/>
    </row>
    <row r="1938" spans="1:22" hidden="1" outlineLevel="2" x14ac:dyDescent="0.25">
      <c r="A1938" s="186">
        <f>SUMIFS(МКД!$A$6:$A$389,МКД!$D$6:$D$389,Таблица1[[#This Row],[2]])</f>
        <v>341</v>
      </c>
      <c r="B1938" s="168"/>
      <c r="C1938" s="182" t="s">
        <v>407</v>
      </c>
      <c r="D1938" s="167" t="s">
        <v>53</v>
      </c>
      <c r="E1938" s="167" t="s">
        <v>2465</v>
      </c>
      <c r="F1938" s="167">
        <v>2</v>
      </c>
      <c r="G1938" s="168">
        <f>SUMIFS(Таблица1[[#This Row],[8]:[19]],$I$5:$T$5,"Выкуп")</f>
        <v>189</v>
      </c>
      <c r="H1938" s="168">
        <f>SUMIFS(Таблица1[[#This Row],[8]:[19]],$I$5:$T$5,"Аренда")</f>
        <v>0</v>
      </c>
      <c r="I1938" s="169">
        <v>121.3</v>
      </c>
      <c r="J1938" s="169"/>
      <c r="K1938" s="167">
        <v>67.7</v>
      </c>
      <c r="L1938" s="167"/>
      <c r="M1938" s="167"/>
      <c r="N1938" s="167"/>
      <c r="O1938" s="169"/>
      <c r="P1938" s="169"/>
      <c r="Q1938" s="169"/>
      <c r="R1938" s="169"/>
      <c r="S1938" s="169"/>
      <c r="T1938" s="169"/>
      <c r="U1938" s="170"/>
      <c r="V1938" s="171"/>
    </row>
    <row r="1939" spans="1:22" hidden="1" outlineLevel="2" x14ac:dyDescent="0.25">
      <c r="A1939" s="186">
        <f>SUMIFS(МКД!$A$6:$A$389,МКД!$D$6:$D$389,Таблица1[[#This Row],[2]])</f>
        <v>341</v>
      </c>
      <c r="B1939" s="168"/>
      <c r="C1939" s="182" t="s">
        <v>407</v>
      </c>
      <c r="D1939" s="167" t="s">
        <v>1593</v>
      </c>
      <c r="E1939" s="273" t="s">
        <v>1779</v>
      </c>
      <c r="F1939" s="167">
        <v>2</v>
      </c>
      <c r="G1939" s="168">
        <f>SUMIFS(Таблица1[[#This Row],[8]:[19]],$I$5:$T$5,"Выкуп")</f>
        <v>95.6</v>
      </c>
      <c r="H1939" s="168">
        <f>SUMIFS(Таблица1[[#This Row],[8]:[19]],$I$5:$T$5,"Аренда")</f>
        <v>0</v>
      </c>
      <c r="I1939" s="169"/>
      <c r="J1939" s="169"/>
      <c r="K1939" s="167">
        <v>95.6</v>
      </c>
      <c r="L1939" s="167"/>
      <c r="M1939" s="167"/>
      <c r="N1939" s="167"/>
      <c r="O1939" s="169"/>
      <c r="P1939" s="169"/>
      <c r="Q1939" s="169"/>
      <c r="R1939" s="169"/>
      <c r="S1939" s="169"/>
      <c r="T1939" s="169"/>
      <c r="U1939" s="170"/>
      <c r="V1939" s="171"/>
    </row>
    <row r="1940" spans="1:22" hidden="1" outlineLevel="2" x14ac:dyDescent="0.25">
      <c r="A1940" s="186">
        <f>SUMIFS(МКД!$A$6:$A$389,МКД!$D$6:$D$389,Таблица1[[#This Row],[2]])</f>
        <v>341</v>
      </c>
      <c r="B1940" s="168"/>
      <c r="C1940" s="182" t="s">
        <v>407</v>
      </c>
      <c r="D1940" s="167" t="s">
        <v>1053</v>
      </c>
      <c r="E1940" s="167" t="s">
        <v>1949</v>
      </c>
      <c r="F1940" s="167">
        <v>2</v>
      </c>
      <c r="G1940" s="168">
        <f>SUMIFS(Таблица1[[#This Row],[8]:[19]],$I$5:$T$5,"Выкуп")</f>
        <v>39.9</v>
      </c>
      <c r="H1940" s="168">
        <f>SUMIFS(Таблица1[[#This Row],[8]:[19]],$I$5:$T$5,"Аренда")</f>
        <v>0</v>
      </c>
      <c r="I1940" s="169">
        <v>39.9</v>
      </c>
      <c r="J1940" s="169"/>
      <c r="K1940" s="169"/>
      <c r="L1940" s="169"/>
      <c r="M1940" s="169"/>
      <c r="N1940" s="169"/>
      <c r="O1940" s="169"/>
      <c r="P1940" s="169"/>
      <c r="Q1940" s="169"/>
      <c r="R1940" s="169"/>
      <c r="S1940" s="169"/>
      <c r="T1940" s="169"/>
      <c r="U1940" s="170"/>
      <c r="V1940" s="171"/>
    </row>
    <row r="1941" spans="1:22" hidden="1" outlineLevel="2" x14ac:dyDescent="0.25">
      <c r="A1941" s="186">
        <f>SUMIFS(МКД!$A$6:$A$389,МКД!$D$6:$D$389,Таблица1[[#This Row],[2]])</f>
        <v>341</v>
      </c>
      <c r="B1941" s="168"/>
      <c r="C1941" s="182" t="s">
        <v>407</v>
      </c>
      <c r="D1941" s="167" t="s">
        <v>54</v>
      </c>
      <c r="E1941" s="167" t="s">
        <v>1506</v>
      </c>
      <c r="F1941" s="167">
        <v>2</v>
      </c>
      <c r="G1941" s="168">
        <f>SUMIFS(Таблица1[[#This Row],[8]:[19]],$I$5:$T$5,"Выкуп")</f>
        <v>185.2</v>
      </c>
      <c r="H1941" s="168">
        <f>SUMIFS(Таблица1[[#This Row],[8]:[19]],$I$5:$T$5,"Аренда")</f>
        <v>0</v>
      </c>
      <c r="I1941" s="169">
        <v>70.900000000000006</v>
      </c>
      <c r="J1941" s="169"/>
      <c r="K1941" s="167">
        <v>114.3</v>
      </c>
      <c r="L1941" s="167"/>
      <c r="M1941" s="167"/>
      <c r="N1941" s="167"/>
      <c r="O1941" s="169"/>
      <c r="P1941" s="169"/>
      <c r="Q1941" s="169"/>
      <c r="R1941" s="169"/>
      <c r="S1941" s="169"/>
      <c r="T1941" s="169"/>
      <c r="U1941" s="170"/>
      <c r="V1941" s="171"/>
    </row>
    <row r="1942" spans="1:22" hidden="1" outlineLevel="2" x14ac:dyDescent="0.25">
      <c r="A1942" s="186">
        <f>SUMIFS(МКД!$A$6:$A$389,МКД!$D$6:$D$389,Таблица1[[#This Row],[2]])</f>
        <v>341</v>
      </c>
      <c r="B1942" s="168"/>
      <c r="C1942" s="182" t="s">
        <v>407</v>
      </c>
      <c r="D1942" s="167" t="s">
        <v>55</v>
      </c>
      <c r="E1942" s="167" t="s">
        <v>2466</v>
      </c>
      <c r="F1942" s="167">
        <v>2</v>
      </c>
      <c r="G1942" s="168">
        <f>SUMIFS(Таблица1[[#This Row],[8]:[19]],$I$5:$T$5,"Выкуп")</f>
        <v>49.4</v>
      </c>
      <c r="H1942" s="168">
        <f>SUMIFS(Таблица1[[#This Row],[8]:[19]],$I$5:$T$5,"Аренда")</f>
        <v>0</v>
      </c>
      <c r="I1942" s="169">
        <v>49.4</v>
      </c>
      <c r="J1942" s="169"/>
      <c r="K1942" s="169"/>
      <c r="L1942" s="169"/>
      <c r="M1942" s="169"/>
      <c r="N1942" s="169"/>
      <c r="O1942" s="169"/>
      <c r="P1942" s="169"/>
      <c r="Q1942" s="169"/>
      <c r="R1942" s="169"/>
      <c r="S1942" s="169"/>
      <c r="T1942" s="169"/>
      <c r="U1942" s="170"/>
      <c r="V1942" s="171"/>
    </row>
    <row r="1943" spans="1:22" hidden="1" outlineLevel="2" x14ac:dyDescent="0.25">
      <c r="A1943" s="186">
        <f>SUMIFS(МКД!$A$6:$A$389,МКД!$D$6:$D$389,Таблица1[[#This Row],[2]])</f>
        <v>341</v>
      </c>
      <c r="B1943" s="168"/>
      <c r="C1943" s="182" t="s">
        <v>407</v>
      </c>
      <c r="D1943" s="167" t="s">
        <v>2704</v>
      </c>
      <c r="E1943" s="167" t="s">
        <v>1046</v>
      </c>
      <c r="F1943" s="167"/>
      <c r="G1943" s="168">
        <f>SUMIFS(Таблица1[[#This Row],[8]:[19]],$I$5:$T$5,"Выкуп")</f>
        <v>142.5</v>
      </c>
      <c r="H1943" s="168">
        <f>SUMIFS(Таблица1[[#This Row],[8]:[19]],$I$5:$T$5,"Аренда")</f>
        <v>0</v>
      </c>
      <c r="I1943" s="169">
        <v>142.5</v>
      </c>
      <c r="J1943" s="169"/>
      <c r="K1943" s="169"/>
      <c r="L1943" s="169"/>
      <c r="M1943" s="169"/>
      <c r="N1943" s="169"/>
      <c r="O1943" s="169"/>
      <c r="P1943" s="169"/>
      <c r="Q1943" s="169"/>
      <c r="R1943" s="169"/>
      <c r="S1943" s="169"/>
      <c r="T1943" s="169"/>
      <c r="U1943" s="170"/>
      <c r="V1943" s="171"/>
    </row>
    <row r="1944" spans="1:22" hidden="1" outlineLevel="2" x14ac:dyDescent="0.25">
      <c r="A1944" s="186">
        <f>SUMIFS(МКД!$A$6:$A$389,МКД!$D$6:$D$389,Таблица1[[#This Row],[2]])</f>
        <v>341</v>
      </c>
      <c r="B1944" s="168"/>
      <c r="C1944" s="182" t="s">
        <v>407</v>
      </c>
      <c r="D1944" s="167" t="s">
        <v>56</v>
      </c>
      <c r="E1944" s="167" t="s">
        <v>828</v>
      </c>
      <c r="F1944" s="167">
        <v>1</v>
      </c>
      <c r="G1944" s="168">
        <f>SUMIFS(Таблица1[[#This Row],[8]:[19]],$I$5:$T$5,"Выкуп")</f>
        <v>209.1</v>
      </c>
      <c r="H1944" s="168">
        <f>SUMIFS(Таблица1[[#This Row],[8]:[19]],$I$5:$T$5,"Аренда")</f>
        <v>0</v>
      </c>
      <c r="I1944" s="169"/>
      <c r="J1944" s="169"/>
      <c r="K1944" s="169">
        <v>209.1</v>
      </c>
      <c r="L1944" s="169"/>
      <c r="M1944" s="169"/>
      <c r="N1944" s="169"/>
      <c r="O1944" s="169"/>
      <c r="P1944" s="169"/>
      <c r="Q1944" s="169"/>
      <c r="R1944" s="169"/>
      <c r="S1944" s="169"/>
      <c r="T1944" s="169"/>
      <c r="U1944" s="170"/>
      <c r="V1944" s="171"/>
    </row>
    <row r="1945" spans="1:22" hidden="1" outlineLevel="2" x14ac:dyDescent="0.25">
      <c r="A1945" s="186">
        <f>SUMIFS(МКД!$A$6:$A$389,МКД!$D$6:$D$389,Таблица1[[#This Row],[2]])</f>
        <v>341</v>
      </c>
      <c r="B1945" s="168"/>
      <c r="C1945" s="182" t="s">
        <v>407</v>
      </c>
      <c r="D1945" s="167" t="s">
        <v>189</v>
      </c>
      <c r="E1945" s="167" t="s">
        <v>1368</v>
      </c>
      <c r="F1945" s="167">
        <v>1</v>
      </c>
      <c r="G1945" s="168">
        <f>SUMIFS(Таблица1[[#This Row],[8]:[19]],$I$5:$T$5,"Выкуп")</f>
        <v>0</v>
      </c>
      <c r="H1945" s="168">
        <f>SUMIFS(Таблица1[[#This Row],[8]:[19]],$I$5:$T$5,"Аренда")</f>
        <v>25.8</v>
      </c>
      <c r="I1945" s="169"/>
      <c r="J1945" s="169"/>
      <c r="K1945" s="169"/>
      <c r="L1945" s="169">
        <v>25.8</v>
      </c>
      <c r="M1945" s="169"/>
      <c r="N1945" s="169"/>
      <c r="O1945" s="169"/>
      <c r="P1945" s="169"/>
      <c r="Q1945" s="169"/>
      <c r="R1945" s="169"/>
      <c r="S1945" s="169"/>
      <c r="T1945" s="169"/>
      <c r="U1945" s="170"/>
      <c r="V1945" s="171"/>
    </row>
    <row r="1946" spans="1:22" hidden="1" outlineLevel="2" x14ac:dyDescent="0.25">
      <c r="A1946" s="186">
        <f>SUMIFS(МКД!$A$6:$A$389,МКД!$D$6:$D$389,Таблица1[[#This Row],[2]])</f>
        <v>341</v>
      </c>
      <c r="B1946" s="168"/>
      <c r="C1946" s="182" t="s">
        <v>407</v>
      </c>
      <c r="D1946" s="167" t="s">
        <v>1394</v>
      </c>
      <c r="E1946" s="167" t="s">
        <v>2752</v>
      </c>
      <c r="F1946" s="167">
        <v>1</v>
      </c>
      <c r="G1946" s="168">
        <f>SUMIFS(Таблица1[[#This Row],[8]:[19]],$I$5:$T$5,"Выкуп")</f>
        <v>328.4</v>
      </c>
      <c r="H1946" s="168">
        <f>SUMIFS(Таблица1[[#This Row],[8]:[19]],$I$5:$T$5,"Аренда")</f>
        <v>0</v>
      </c>
      <c r="I1946" s="169"/>
      <c r="J1946" s="169"/>
      <c r="K1946" s="169"/>
      <c r="L1946" s="169"/>
      <c r="M1946" s="169">
        <v>328.4</v>
      </c>
      <c r="N1946" s="169"/>
      <c r="O1946" s="169"/>
      <c r="P1946" s="169"/>
      <c r="Q1946" s="169"/>
      <c r="R1946" s="169"/>
      <c r="S1946" s="169"/>
      <c r="T1946" s="169"/>
      <c r="U1946" s="170"/>
      <c r="V1946" s="171"/>
    </row>
    <row r="1947" spans="1:22" ht="15" outlineLevel="1" collapsed="1" x14ac:dyDescent="0.25">
      <c r="A1947" s="186">
        <f>SUMIFS(МКД!$A$6:$A$389,МКД!$D$6:$D$389,Таблица1[[#This Row],[2]])</f>
        <v>342</v>
      </c>
      <c r="B1947" s="194">
        <f>SUMIFS(Таблица1[6],Таблица1[2],Таблица1[[#This Row],[2]])+SUMIFS(Таблица1[7],Таблица1[2],Таблица1[[#This Row],[2]])</f>
        <v>340</v>
      </c>
      <c r="C1947" s="185" t="s">
        <v>408</v>
      </c>
      <c r="D1947" s="196"/>
      <c r="E1947" s="196"/>
      <c r="F1947" s="196"/>
      <c r="G1947" s="168"/>
      <c r="H1947" s="197"/>
      <c r="I1947" s="196"/>
      <c r="J1947" s="196"/>
      <c r="K1947" s="196"/>
      <c r="L1947" s="196"/>
      <c r="M1947" s="196"/>
      <c r="N1947" s="196"/>
      <c r="O1947" s="196"/>
      <c r="P1947" s="196"/>
      <c r="Q1947" s="196"/>
      <c r="R1947" s="196"/>
      <c r="S1947" s="196"/>
      <c r="T1947" s="196"/>
      <c r="U1947" s="196"/>
      <c r="V1947" s="198"/>
    </row>
    <row r="1948" spans="1:22" hidden="1" outlineLevel="2" x14ac:dyDescent="0.25">
      <c r="A1948" s="186">
        <f>SUMIFS(МКД!$A$6:$A$389,МКД!$D$6:$D$389,Таблица1[[#This Row],[2]])</f>
        <v>342</v>
      </c>
      <c r="B1948" s="170"/>
      <c r="C1948" s="182" t="s">
        <v>408</v>
      </c>
      <c r="D1948" s="167" t="s">
        <v>891</v>
      </c>
      <c r="E1948" s="167" t="s">
        <v>2684</v>
      </c>
      <c r="F1948" s="167">
        <v>1</v>
      </c>
      <c r="G1948" s="168">
        <f>SUMIFS(Таблица1[[#This Row],[8]:[19]],$I$5:$T$5,"Выкуп")</f>
        <v>52.3</v>
      </c>
      <c r="H1948" s="168">
        <f>SUMIFS(Таблица1[[#This Row],[8]:[19]],$I$5:$T$5,"Аренда")</f>
        <v>0</v>
      </c>
      <c r="I1948" s="169"/>
      <c r="J1948" s="169"/>
      <c r="K1948" s="169">
        <v>52.3</v>
      </c>
      <c r="L1948" s="169"/>
      <c r="M1948" s="169"/>
      <c r="N1948" s="169"/>
      <c r="O1948" s="169"/>
      <c r="P1948" s="169"/>
      <c r="Q1948" s="169"/>
      <c r="R1948" s="169"/>
      <c r="S1948" s="169"/>
      <c r="T1948" s="169"/>
      <c r="U1948" s="170"/>
      <c r="V1948" s="171"/>
    </row>
    <row r="1949" spans="1:22" hidden="1" outlineLevel="2" x14ac:dyDescent="0.25">
      <c r="A1949" s="186">
        <f>SUMIFS(МКД!$A$6:$A$389,МКД!$D$6:$D$389,Таблица1[[#This Row],[2]])</f>
        <v>342</v>
      </c>
      <c r="B1949" s="168"/>
      <c r="C1949" s="182" t="s">
        <v>408</v>
      </c>
      <c r="D1949" s="167" t="s">
        <v>891</v>
      </c>
      <c r="E1949" s="167" t="s">
        <v>832</v>
      </c>
      <c r="F1949" s="167">
        <v>1</v>
      </c>
      <c r="G1949" s="168">
        <f>SUMIFS(Таблица1[[#This Row],[8]:[19]],$I$5:$T$5,"Выкуп")</f>
        <v>0</v>
      </c>
      <c r="H1949" s="168">
        <f>SUMIFS(Таблица1[[#This Row],[8]:[19]],$I$5:$T$5,"Аренда")</f>
        <v>12.8</v>
      </c>
      <c r="I1949" s="169"/>
      <c r="J1949" s="169"/>
      <c r="K1949" s="169"/>
      <c r="L1949" s="169"/>
      <c r="M1949" s="169"/>
      <c r="N1949" s="169"/>
      <c r="O1949" s="169"/>
      <c r="P1949" s="169">
        <v>12.8</v>
      </c>
      <c r="Q1949" s="169"/>
      <c r="R1949" s="169"/>
      <c r="S1949" s="169"/>
      <c r="T1949" s="169"/>
      <c r="U1949" s="170"/>
      <c r="V1949" s="171"/>
    </row>
    <row r="1950" spans="1:22" hidden="1" outlineLevel="2" x14ac:dyDescent="0.25">
      <c r="A1950" s="186">
        <f>SUMIFS(МКД!$A$6:$A$389,МКД!$D$6:$D$389,Таблица1[[#This Row],[2]])</f>
        <v>342</v>
      </c>
      <c r="B1950" s="168"/>
      <c r="C1950" s="182" t="s">
        <v>408</v>
      </c>
      <c r="D1950" s="167" t="s">
        <v>890</v>
      </c>
      <c r="E1950" s="167" t="s">
        <v>2685</v>
      </c>
      <c r="F1950" s="167">
        <v>1</v>
      </c>
      <c r="G1950" s="168">
        <f>SUMIFS(Таблица1[[#This Row],[8]:[19]],$I$5:$T$5,"Выкуп")</f>
        <v>49</v>
      </c>
      <c r="H1950" s="168">
        <f>SUMIFS(Таблица1[[#This Row],[8]:[19]],$I$5:$T$5,"Аренда")</f>
        <v>0</v>
      </c>
      <c r="I1950" s="169">
        <v>49</v>
      </c>
      <c r="J1950" s="169"/>
      <c r="K1950" s="169"/>
      <c r="L1950" s="169"/>
      <c r="M1950" s="169"/>
      <c r="N1950" s="169"/>
      <c r="O1950" s="169"/>
      <c r="P1950" s="169"/>
      <c r="Q1950" s="169"/>
      <c r="R1950" s="169"/>
      <c r="S1950" s="169"/>
      <c r="T1950" s="169"/>
      <c r="U1950" s="170"/>
      <c r="V1950" s="171"/>
    </row>
    <row r="1951" spans="1:22" hidden="1" outlineLevel="2" x14ac:dyDescent="0.25">
      <c r="A1951" s="186">
        <f>SUMIFS(МКД!$A$6:$A$389,МКД!$D$6:$D$389,Таблица1[[#This Row],[2]])</f>
        <v>342</v>
      </c>
      <c r="B1951" s="168"/>
      <c r="C1951" s="182" t="s">
        <v>408</v>
      </c>
      <c r="D1951" s="167" t="s">
        <v>1053</v>
      </c>
      <c r="E1951" s="167" t="s">
        <v>1180</v>
      </c>
      <c r="F1951" s="167"/>
      <c r="G1951" s="168">
        <f>SUMIFS(Таблица1[[#This Row],[8]:[19]],$I$5:$T$5,"Выкуп")</f>
        <v>107.9</v>
      </c>
      <c r="H1951" s="168">
        <f>SUMIFS(Таблица1[[#This Row],[8]:[19]],$I$5:$T$5,"Аренда")</f>
        <v>0</v>
      </c>
      <c r="I1951" s="169"/>
      <c r="J1951" s="169"/>
      <c r="K1951" s="167">
        <v>107.9</v>
      </c>
      <c r="L1951" s="169"/>
      <c r="M1951" s="169"/>
      <c r="N1951" s="169"/>
      <c r="O1951" s="169"/>
      <c r="P1951" s="169"/>
      <c r="Q1951" s="169"/>
      <c r="R1951" s="169"/>
      <c r="S1951" s="169"/>
      <c r="T1951" s="169"/>
      <c r="U1951" s="170"/>
      <c r="V1951" s="171"/>
    </row>
    <row r="1952" spans="1:22" hidden="1" outlineLevel="2" x14ac:dyDescent="0.25">
      <c r="A1952" s="186">
        <f>SUMIFS(МКД!$A$6:$A$389,МКД!$D$6:$D$389,Таблица1[[#This Row],[2]])</f>
        <v>342</v>
      </c>
      <c r="B1952" s="168"/>
      <c r="C1952" s="182" t="s">
        <v>408</v>
      </c>
      <c r="D1952" s="167" t="s">
        <v>1053</v>
      </c>
      <c r="E1952" s="167" t="s">
        <v>2752</v>
      </c>
      <c r="F1952" s="167"/>
      <c r="G1952" s="168">
        <f>SUMIFS(Таблица1[[#This Row],[8]:[19]],$I$5:$T$5,"Выкуп")</f>
        <v>118</v>
      </c>
      <c r="H1952" s="168">
        <f>SUMIFS(Таблица1[[#This Row],[8]:[19]],$I$5:$T$5,"Аренда")</f>
        <v>0</v>
      </c>
      <c r="I1952" s="169"/>
      <c r="J1952" s="169"/>
      <c r="K1952" s="167"/>
      <c r="L1952" s="169"/>
      <c r="M1952" s="278">
        <v>118</v>
      </c>
      <c r="N1952" s="169"/>
      <c r="O1952" s="169"/>
      <c r="P1952" s="169"/>
      <c r="Q1952" s="169"/>
      <c r="R1952" s="169"/>
      <c r="S1952" s="169"/>
      <c r="T1952" s="169"/>
      <c r="U1952" s="170"/>
      <c r="V1952" s="171"/>
    </row>
    <row r="1953" spans="1:22" ht="15" outlineLevel="1" collapsed="1" x14ac:dyDescent="0.25">
      <c r="A1953" s="186">
        <f>SUMIFS(МКД!$A$6:$A$389,МКД!$D$6:$D$389,Таблица1[[#This Row],[2]])</f>
        <v>343</v>
      </c>
      <c r="B1953" s="194">
        <f>SUMIFS(Таблица1[6],Таблица1[2],Таблица1[[#This Row],[2]])+SUMIFS(Таблица1[7],Таблица1[2],Таблица1[[#This Row],[2]])</f>
        <v>328.20000000000005</v>
      </c>
      <c r="C1953" s="185" t="s">
        <v>409</v>
      </c>
      <c r="D1953" s="196"/>
      <c r="E1953" s="196"/>
      <c r="F1953" s="196"/>
      <c r="G1953" s="168"/>
      <c r="H1953" s="197"/>
      <c r="I1953" s="196"/>
      <c r="J1953" s="196"/>
      <c r="K1953" s="196"/>
      <c r="L1953" s="196"/>
      <c r="M1953" s="196"/>
      <c r="N1953" s="196"/>
      <c r="O1953" s="196"/>
      <c r="P1953" s="196"/>
      <c r="Q1953" s="196"/>
      <c r="R1953" s="196"/>
      <c r="S1953" s="196"/>
      <c r="T1953" s="196"/>
      <c r="U1953" s="196"/>
      <c r="V1953" s="198"/>
    </row>
    <row r="1954" spans="1:22" hidden="1" outlineLevel="2" x14ac:dyDescent="0.25">
      <c r="A1954" s="186">
        <f>SUMIFS(МКД!$A$6:$A$389,МКД!$D$6:$D$389,Таблица1[[#This Row],[2]])</f>
        <v>343</v>
      </c>
      <c r="B1954" s="170"/>
      <c r="C1954" s="182" t="s">
        <v>409</v>
      </c>
      <c r="D1954" s="167" t="s">
        <v>57</v>
      </c>
      <c r="E1954" s="167" t="s">
        <v>9</v>
      </c>
      <c r="F1954" s="167">
        <v>1</v>
      </c>
      <c r="G1954" s="168">
        <f>SUMIFS(Таблица1[[#This Row],[8]:[19]],$I$5:$T$5,"Выкуп")</f>
        <v>0</v>
      </c>
      <c r="H1954" s="168">
        <f>SUMIFS(Таблица1[[#This Row],[8]:[19]],$I$5:$T$5,"Аренда")</f>
        <v>9.9</v>
      </c>
      <c r="I1954" s="169"/>
      <c r="J1954" s="169"/>
      <c r="K1954" s="169"/>
      <c r="L1954" s="169"/>
      <c r="M1954" s="169"/>
      <c r="N1954" s="169"/>
      <c r="O1954" s="167"/>
      <c r="P1954" s="169">
        <v>9.9</v>
      </c>
      <c r="Q1954" s="169"/>
      <c r="R1954" s="169"/>
      <c r="S1954" s="169"/>
      <c r="T1954" s="169"/>
      <c r="U1954" s="170"/>
      <c r="V1954" s="171"/>
    </row>
    <row r="1955" spans="1:22" hidden="1" outlineLevel="2" x14ac:dyDescent="0.25">
      <c r="A1955" s="186">
        <f>SUMIFS(МКД!$A$6:$A$389,МКД!$D$6:$D$389,Таблица1[[#This Row],[2]])</f>
        <v>343</v>
      </c>
      <c r="B1955" s="168"/>
      <c r="C1955" s="182" t="s">
        <v>409</v>
      </c>
      <c r="D1955" s="167" t="s">
        <v>189</v>
      </c>
      <c r="E1955" s="167" t="s">
        <v>112</v>
      </c>
      <c r="F1955" s="167"/>
      <c r="G1955" s="168">
        <f>SUMIFS(Таблица1[[#This Row],[8]:[19]],$I$5:$T$5,"Выкуп")</f>
        <v>0</v>
      </c>
      <c r="H1955" s="168">
        <f>SUMIFS(Таблица1[[#This Row],[8]:[19]],$I$5:$T$5,"Аренда")</f>
        <v>60.7</v>
      </c>
      <c r="I1955" s="169"/>
      <c r="J1955" s="169"/>
      <c r="K1955" s="167"/>
      <c r="L1955" s="169">
        <v>60.7</v>
      </c>
      <c r="M1955" s="169"/>
      <c r="N1955" s="169"/>
      <c r="O1955" s="169"/>
      <c r="P1955" s="169"/>
      <c r="Q1955" s="169"/>
      <c r="R1955" s="169"/>
      <c r="S1955" s="169"/>
      <c r="T1955" s="169"/>
      <c r="U1955" s="170"/>
      <c r="V1955" s="171"/>
    </row>
    <row r="1956" spans="1:22" hidden="1" outlineLevel="2" x14ac:dyDescent="0.25">
      <c r="A1956" s="186">
        <f>SUMIFS(МКД!$A$6:$A$389,МКД!$D$6:$D$389,Таблица1[[#This Row],[2]])</f>
        <v>343</v>
      </c>
      <c r="B1956" s="168"/>
      <c r="C1956" s="182" t="s">
        <v>409</v>
      </c>
      <c r="D1956" s="167" t="s">
        <v>1053</v>
      </c>
      <c r="E1956" s="167" t="s">
        <v>2752</v>
      </c>
      <c r="F1956" s="167"/>
      <c r="G1956" s="168">
        <f>SUMIFS(Таблица1[[#This Row],[8]:[19]],$I$5:$T$5,"Выкуп")</f>
        <v>257.60000000000002</v>
      </c>
      <c r="H1956" s="168">
        <f>SUMIFS(Таблица1[[#This Row],[8]:[19]],$I$5:$T$5,"Аренда")</f>
        <v>0</v>
      </c>
      <c r="I1956" s="169"/>
      <c r="J1956" s="169"/>
      <c r="K1956" s="167"/>
      <c r="L1956" s="169"/>
      <c r="M1956" s="169">
        <v>257.60000000000002</v>
      </c>
      <c r="N1956" s="169"/>
      <c r="O1956" s="169"/>
      <c r="P1956" s="169"/>
      <c r="Q1956" s="169"/>
      <c r="R1956" s="169"/>
      <c r="S1956" s="169"/>
      <c r="T1956" s="169"/>
      <c r="U1956" s="170"/>
      <c r="V1956" s="171"/>
    </row>
    <row r="1957" spans="1:22" ht="15" outlineLevel="1" collapsed="1" x14ac:dyDescent="0.25">
      <c r="A1957" s="186">
        <f>SUMIFS(МКД!$A$6:$A$389,МКД!$D$6:$D$389,Таблица1[[#This Row],[2]])</f>
        <v>344</v>
      </c>
      <c r="B1957" s="194">
        <f>SUMIFS(Таблица1[6],Таблица1[2],Таблица1[[#This Row],[2]])+SUMIFS(Таблица1[7],Таблица1[2],Таблица1[[#This Row],[2]])</f>
        <v>605.70000000000005</v>
      </c>
      <c r="C1957" s="185" t="s">
        <v>410</v>
      </c>
      <c r="D1957" s="196"/>
      <c r="E1957" s="196"/>
      <c r="F1957" s="196"/>
      <c r="G1957" s="168"/>
      <c r="H1957" s="197"/>
      <c r="I1957" s="196"/>
      <c r="J1957" s="196"/>
      <c r="K1957" s="196"/>
      <c r="L1957" s="196"/>
      <c r="M1957" s="196"/>
      <c r="N1957" s="196"/>
      <c r="O1957" s="196"/>
      <c r="P1957" s="196"/>
      <c r="Q1957" s="196"/>
      <c r="R1957" s="196"/>
      <c r="S1957" s="196"/>
      <c r="T1957" s="196"/>
      <c r="U1957" s="196"/>
      <c r="V1957" s="198"/>
    </row>
    <row r="1958" spans="1:22" s="19" customFormat="1" hidden="1" outlineLevel="2" x14ac:dyDescent="0.25">
      <c r="A1958" s="186">
        <f>SUMIFS(МКД!$A$6:$A$389,МКД!$D$6:$D$389,Таблица1[[#This Row],[2]])</f>
        <v>344</v>
      </c>
      <c r="B1958" s="170"/>
      <c r="C1958" s="182" t="s">
        <v>410</v>
      </c>
      <c r="D1958" s="167" t="s">
        <v>348</v>
      </c>
      <c r="E1958" s="167" t="s">
        <v>2774</v>
      </c>
      <c r="F1958" s="167">
        <v>1</v>
      </c>
      <c r="G1958" s="194">
        <f>SUMIFS(Таблица1[[#This Row],[8]:[19]],$I$5:$T$5,"Выкуп")</f>
        <v>128.69999999999999</v>
      </c>
      <c r="H1958" s="168">
        <f>SUMIFS(Таблица1[[#This Row],[8]:[19]],$I$5:$T$5,"Аренда")</f>
        <v>0</v>
      </c>
      <c r="I1958" s="169"/>
      <c r="J1958" s="169"/>
      <c r="K1958" s="169">
        <v>128.69999999999999</v>
      </c>
      <c r="L1958" s="169"/>
      <c r="M1958" s="169"/>
      <c r="N1958" s="169"/>
      <c r="O1958" s="169"/>
      <c r="P1958" s="169"/>
      <c r="Q1958" s="169"/>
      <c r="R1958" s="169"/>
      <c r="S1958" s="169"/>
      <c r="T1958" s="169"/>
      <c r="U1958" s="170"/>
      <c r="V1958" s="171"/>
    </row>
    <row r="1959" spans="1:22" s="19" customFormat="1" hidden="1" outlineLevel="2" x14ac:dyDescent="0.25">
      <c r="A1959" s="186">
        <f>SUMIFS(МКД!$A$6:$A$389,МКД!$D$6:$D$389,Таблица1[[#This Row],[2]])</f>
        <v>344</v>
      </c>
      <c r="B1959" s="170"/>
      <c r="C1959" s="182" t="s">
        <v>410</v>
      </c>
      <c r="D1959" s="167" t="s">
        <v>2776</v>
      </c>
      <c r="E1959" s="167" t="s">
        <v>2775</v>
      </c>
      <c r="F1959" s="167">
        <v>1</v>
      </c>
      <c r="G1959" s="168">
        <f>SUMIFS(Таблица1[[#This Row],[8]:[19]],$I$5:$T$5,"Выкуп")</f>
        <v>337</v>
      </c>
      <c r="H1959" s="168">
        <f>SUMIFS(Таблица1[[#This Row],[8]:[19]],$I$5:$T$5,"Аренда")</f>
        <v>0</v>
      </c>
      <c r="I1959" s="169"/>
      <c r="J1959" s="169"/>
      <c r="K1959" s="169">
        <f>257+80</f>
        <v>337</v>
      </c>
      <c r="L1959" s="169"/>
      <c r="M1959" s="169"/>
      <c r="N1959" s="169"/>
      <c r="O1959" s="169"/>
      <c r="P1959" s="169"/>
      <c r="Q1959" s="169"/>
      <c r="R1959" s="169"/>
      <c r="S1959" s="169"/>
      <c r="T1959" s="169"/>
      <c r="U1959" s="170"/>
      <c r="V1959" s="171"/>
    </row>
    <row r="1960" spans="1:22" s="19" customFormat="1" hidden="1" outlineLevel="2" x14ac:dyDescent="0.25">
      <c r="A1960" s="186">
        <f>SUMIFS(МКД!$A$6:$A$389,МКД!$D$6:$D$389,Таблица1[[#This Row],[2]])</f>
        <v>344</v>
      </c>
      <c r="B1960" s="170"/>
      <c r="C1960" s="182" t="s">
        <v>410</v>
      </c>
      <c r="D1960" s="167" t="s">
        <v>1053</v>
      </c>
      <c r="E1960" s="167" t="s">
        <v>2752</v>
      </c>
      <c r="F1960" s="167">
        <v>1</v>
      </c>
      <c r="G1960" s="168">
        <f>SUMIFS(Таблица1[[#This Row],[8]:[19]],$I$5:$T$5,"Выкуп")</f>
        <v>140</v>
      </c>
      <c r="H1960" s="168">
        <f>SUMIFS(Таблица1[[#This Row],[8]:[19]],$I$5:$T$5,"Аренда")</f>
        <v>0</v>
      </c>
      <c r="I1960" s="169"/>
      <c r="J1960" s="169"/>
      <c r="K1960" s="169"/>
      <c r="L1960" s="169"/>
      <c r="M1960" s="169">
        <v>140</v>
      </c>
      <c r="N1960" s="169"/>
      <c r="O1960" s="169"/>
      <c r="P1960" s="169"/>
      <c r="Q1960" s="169"/>
      <c r="R1960" s="169"/>
      <c r="S1960" s="169"/>
      <c r="T1960" s="169"/>
      <c r="U1960" s="170"/>
      <c r="V1960" s="171"/>
    </row>
    <row r="1961" spans="1:22" s="19" customFormat="1" ht="15" outlineLevel="1" collapsed="1" x14ac:dyDescent="0.25">
      <c r="A1961" s="186">
        <f>SUMIFS(МКД!$A$6:$A$389,МКД!$D$6:$D$389,Таблица1[[#This Row],[2]])</f>
        <v>345</v>
      </c>
      <c r="B1961" s="194">
        <f>SUMIFS(Таблица1[6],Таблица1[2],Таблица1[[#This Row],[2]])+SUMIFS(Таблица1[7],Таблица1[2],Таблица1[[#This Row],[2]])</f>
        <v>190.4</v>
      </c>
      <c r="C1961" s="185" t="s">
        <v>411</v>
      </c>
      <c r="D1961" s="196"/>
      <c r="E1961" s="196"/>
      <c r="F1961" s="196"/>
      <c r="G1961" s="168"/>
      <c r="H1961" s="197"/>
      <c r="I1961" s="196"/>
      <c r="J1961" s="196"/>
      <c r="K1961" s="196"/>
      <c r="L1961" s="196"/>
      <c r="M1961" s="196"/>
      <c r="N1961" s="196"/>
      <c r="O1961" s="196"/>
      <c r="P1961" s="196"/>
      <c r="Q1961" s="196"/>
      <c r="R1961" s="196"/>
      <c r="S1961" s="196"/>
      <c r="T1961" s="196"/>
      <c r="U1961" s="196"/>
      <c r="V1961" s="198"/>
    </row>
    <row r="1962" spans="1:22" s="19" customFormat="1" ht="15" hidden="1" outlineLevel="2" x14ac:dyDescent="0.25">
      <c r="A1962" s="186">
        <f>SUMIFS(МКД!$A$6:$A$389,МКД!$D$6:$D$389,Таблица1[[#This Row],[2]])</f>
        <v>345</v>
      </c>
      <c r="B1962" s="196"/>
      <c r="C1962" s="182" t="s">
        <v>411</v>
      </c>
      <c r="D1962" s="196" t="s">
        <v>1394</v>
      </c>
      <c r="E1962" s="167" t="s">
        <v>2752</v>
      </c>
      <c r="F1962" s="196"/>
      <c r="G1962" s="168">
        <f>SUMIFS(Таблица1[[#This Row],[8]:[19]],$I$5:$T$5,"Выкуп")</f>
        <v>190.4</v>
      </c>
      <c r="H1962" s="168">
        <f>SUMIFS(Таблица1[[#This Row],[8]:[19]],$I$5:$T$5,"Аренда")</f>
        <v>0</v>
      </c>
      <c r="I1962" s="196"/>
      <c r="J1962" s="196"/>
      <c r="K1962" s="196"/>
      <c r="L1962" s="196"/>
      <c r="M1962" s="196">
        <v>190.4</v>
      </c>
      <c r="N1962" s="196"/>
      <c r="O1962" s="196"/>
      <c r="P1962" s="196"/>
      <c r="Q1962" s="196"/>
      <c r="R1962" s="196"/>
      <c r="S1962" s="196"/>
      <c r="T1962" s="196"/>
      <c r="U1962" s="196"/>
      <c r="V1962" s="198"/>
    </row>
    <row r="1963" spans="1:22" s="19" customFormat="1" ht="15" outlineLevel="1" collapsed="1" x14ac:dyDescent="0.25">
      <c r="A1963" s="186">
        <f>SUMIFS(МКД!$A$6:$A$389,МКД!$D$6:$D$389,Таблица1[[#This Row],[2]])</f>
        <v>346</v>
      </c>
      <c r="B1963" s="194">
        <f>SUMIFS(Таблица1[6],Таблица1[2],Таблица1[[#This Row],[2]])+SUMIFS(Таблица1[7],Таблица1[2],Таблица1[[#This Row],[2]])</f>
        <v>82</v>
      </c>
      <c r="C1963" s="185" t="s">
        <v>412</v>
      </c>
      <c r="D1963" s="196"/>
      <c r="E1963" s="196"/>
      <c r="F1963" s="196"/>
      <c r="G1963" s="168"/>
      <c r="H1963" s="197"/>
      <c r="I1963" s="196"/>
      <c r="J1963" s="196"/>
      <c r="K1963" s="196"/>
      <c r="L1963" s="196"/>
      <c r="M1963" s="196"/>
      <c r="N1963" s="196"/>
      <c r="O1963" s="196"/>
      <c r="P1963" s="196"/>
      <c r="Q1963" s="196"/>
      <c r="R1963" s="196"/>
      <c r="S1963" s="196"/>
      <c r="T1963" s="196"/>
      <c r="U1963" s="196"/>
      <c r="V1963" s="198"/>
    </row>
    <row r="1964" spans="1:22" s="19" customFormat="1" ht="15" hidden="1" outlineLevel="2" x14ac:dyDescent="0.25">
      <c r="A1964" s="186">
        <f>SUMIFS(МКД!$A$6:$A$389,МКД!$D$6:$D$389,Таблица1[[#This Row],[2]])</f>
        <v>346</v>
      </c>
      <c r="B1964" s="196"/>
      <c r="C1964" s="182" t="s">
        <v>412</v>
      </c>
      <c r="D1964" s="167" t="s">
        <v>1593</v>
      </c>
      <c r="E1964" s="273" t="s">
        <v>1775</v>
      </c>
      <c r="F1964" s="196"/>
      <c r="G1964" s="168">
        <f>SUMIFS(Таблица1[[#This Row],[8]:[19]],$I$5:$T$5,"Выкуп")</f>
        <v>82</v>
      </c>
      <c r="H1964" s="168">
        <f>SUMIFS(Таблица1[[#This Row],[8]:[19]],$I$5:$T$5,"Аренда")</f>
        <v>0</v>
      </c>
      <c r="I1964" s="196"/>
      <c r="J1964" s="196"/>
      <c r="K1964" s="196">
        <v>82</v>
      </c>
      <c r="L1964" s="196"/>
      <c r="M1964" s="196"/>
      <c r="N1964" s="196"/>
      <c r="O1964" s="196"/>
      <c r="P1964" s="196"/>
      <c r="Q1964" s="196"/>
      <c r="R1964" s="196"/>
      <c r="S1964" s="196"/>
      <c r="T1964" s="196"/>
      <c r="U1964" s="196"/>
      <c r="V1964" s="198"/>
    </row>
    <row r="1965" spans="1:22" s="19" customFormat="1" ht="15" outlineLevel="1" collapsed="1" x14ac:dyDescent="0.25">
      <c r="A1965" s="186">
        <f>SUMIFS(МКД!$A$6:$A$389,МКД!$D$6:$D$389,Таблица1[[#This Row],[2]])</f>
        <v>347</v>
      </c>
      <c r="B1965" s="194">
        <f>SUMIFS(Таблица1[6],Таблица1[2],Таблица1[[#This Row],[2]])+SUMIFS(Таблица1[7],Таблица1[2],Таблица1[[#This Row],[2]])</f>
        <v>224.6</v>
      </c>
      <c r="C1965" s="185" t="s">
        <v>413</v>
      </c>
      <c r="D1965" s="196"/>
      <c r="E1965" s="196"/>
      <c r="F1965" s="196"/>
      <c r="G1965" s="168"/>
      <c r="H1965" s="197"/>
      <c r="I1965" s="196"/>
      <c r="J1965" s="196"/>
      <c r="K1965" s="196"/>
      <c r="L1965" s="196"/>
      <c r="M1965" s="196"/>
      <c r="N1965" s="196"/>
      <c r="O1965" s="196"/>
      <c r="P1965" s="196"/>
      <c r="Q1965" s="196"/>
      <c r="R1965" s="196"/>
      <c r="S1965" s="196"/>
      <c r="T1965" s="196"/>
      <c r="U1965" s="196"/>
      <c r="V1965" s="198"/>
    </row>
    <row r="1966" spans="1:22" s="19" customFormat="1" hidden="1" outlineLevel="2" x14ac:dyDescent="0.25">
      <c r="A1966" s="186">
        <f>SUMIFS(МКД!$A$6:$A$389,МКД!$D$6:$D$389,Таблица1[[#This Row],[2]])</f>
        <v>347</v>
      </c>
      <c r="B1966" s="170"/>
      <c r="C1966" s="182" t="s">
        <v>413</v>
      </c>
      <c r="D1966" s="167" t="s">
        <v>2554</v>
      </c>
      <c r="E1966" s="167" t="s">
        <v>1900</v>
      </c>
      <c r="F1966" s="167">
        <v>1</v>
      </c>
      <c r="G1966" s="168">
        <f>SUMIFS(Таблица1[[#This Row],[8]:[19]],$I$5:$T$5,"Выкуп")</f>
        <v>136.5</v>
      </c>
      <c r="H1966" s="168">
        <f>SUMIFS(Таблица1[[#This Row],[8]:[19]],$I$5:$T$5,"Аренда")</f>
        <v>0</v>
      </c>
      <c r="I1966" s="169"/>
      <c r="J1966" s="169"/>
      <c r="K1966" s="169"/>
      <c r="L1966" s="169"/>
      <c r="M1966" s="169">
        <v>136.5</v>
      </c>
      <c r="N1966" s="169"/>
      <c r="O1966" s="169"/>
      <c r="P1966" s="169"/>
      <c r="Q1966" s="169"/>
      <c r="R1966" s="169"/>
      <c r="S1966" s="169"/>
      <c r="T1966" s="169"/>
      <c r="U1966" s="170"/>
      <c r="V1966" s="171"/>
    </row>
    <row r="1967" spans="1:22" s="19" customFormat="1" hidden="1" outlineLevel="2" x14ac:dyDescent="0.25">
      <c r="A1967" s="186">
        <f>SUMIFS(МКД!$A$6:$A$389,МКД!$D$6:$D$389,Таблица1[[#This Row],[2]])</f>
        <v>347</v>
      </c>
      <c r="B1967" s="170"/>
      <c r="C1967" s="182" t="s">
        <v>413</v>
      </c>
      <c r="D1967" s="167" t="s">
        <v>1593</v>
      </c>
      <c r="E1967" s="273" t="s">
        <v>1731</v>
      </c>
      <c r="F1967" s="167">
        <v>1</v>
      </c>
      <c r="G1967" s="168">
        <f>SUMIFS(Таблица1[[#This Row],[8]:[19]],$I$5:$T$5,"Выкуп")</f>
        <v>88.1</v>
      </c>
      <c r="H1967" s="168">
        <f>SUMIFS(Таблица1[[#This Row],[8]:[19]],$I$5:$T$5,"Аренда")</f>
        <v>0</v>
      </c>
      <c r="I1967" s="169"/>
      <c r="J1967" s="169"/>
      <c r="K1967" s="169">
        <v>88.1</v>
      </c>
      <c r="L1967" s="169"/>
      <c r="M1967" s="169"/>
      <c r="N1967" s="169"/>
      <c r="O1967" s="169"/>
      <c r="P1967" s="169"/>
      <c r="Q1967" s="169"/>
      <c r="R1967" s="169"/>
      <c r="S1967" s="169"/>
      <c r="T1967" s="169"/>
      <c r="U1967" s="170"/>
      <c r="V1967" s="171"/>
    </row>
    <row r="1968" spans="1:22" ht="15" outlineLevel="1" collapsed="1" x14ac:dyDescent="0.25">
      <c r="A1968" s="186">
        <f>SUMIFS(МКД!$A$6:$A$389,МКД!$D$6:$D$389,Таблица1[[#This Row],[2]])</f>
        <v>348</v>
      </c>
      <c r="B1968" s="194">
        <f>SUMIFS(Таблица1[6],Таблица1[2],Таблица1[[#This Row],[2]])+SUMIFS(Таблица1[7],Таблица1[2],Таблица1[[#This Row],[2]])</f>
        <v>0</v>
      </c>
      <c r="C1968" s="185" t="s">
        <v>414</v>
      </c>
      <c r="D1968" s="196"/>
      <c r="E1968" s="196"/>
      <c r="F1968" s="196"/>
      <c r="G1968" s="168"/>
      <c r="H1968" s="197"/>
      <c r="I1968" s="196"/>
      <c r="J1968" s="196"/>
      <c r="K1968" s="196"/>
      <c r="L1968" s="196"/>
      <c r="M1968" s="196"/>
      <c r="N1968" s="196"/>
      <c r="O1968" s="196"/>
      <c r="P1968" s="196"/>
      <c r="Q1968" s="196"/>
      <c r="R1968" s="196"/>
      <c r="S1968" s="196"/>
      <c r="T1968" s="196"/>
      <c r="U1968" s="196"/>
      <c r="V1968" s="198"/>
    </row>
    <row r="1969" spans="1:22" ht="15" hidden="1" outlineLevel="2" x14ac:dyDescent="0.25">
      <c r="A1969" s="186">
        <f>SUMIFS(МКД!$A$6:$A$389,МКД!$D$6:$D$389,Таблица1[[#This Row],[2]])</f>
        <v>348</v>
      </c>
      <c r="B1969" s="196"/>
      <c r="C1969" s="182" t="s">
        <v>414</v>
      </c>
      <c r="D1969" s="196"/>
      <c r="E1969" s="196"/>
      <c r="F1969" s="196"/>
      <c r="G1969" s="168">
        <f>SUMIFS(Таблица1[[#This Row],[8]:[19]],$I$5:$T$5,"Выкуп")</f>
        <v>0</v>
      </c>
      <c r="H1969" s="168">
        <f>SUMIFS(Таблица1[[#This Row],[8]:[19]],$I$5:$T$5,"Аренда")</f>
        <v>0</v>
      </c>
      <c r="I1969" s="196"/>
      <c r="J1969" s="196"/>
      <c r="K1969" s="196"/>
      <c r="L1969" s="196"/>
      <c r="M1969" s="196"/>
      <c r="N1969" s="196"/>
      <c r="O1969" s="196"/>
      <c r="P1969" s="196"/>
      <c r="Q1969" s="196"/>
      <c r="R1969" s="196"/>
      <c r="S1969" s="196"/>
      <c r="T1969" s="196"/>
      <c r="U1969" s="196"/>
      <c r="V1969" s="198"/>
    </row>
    <row r="1970" spans="1:22" ht="15" outlineLevel="1" collapsed="1" x14ac:dyDescent="0.25">
      <c r="A1970" s="186">
        <f>SUMIFS(МКД!$A$6:$A$389,МКД!$D$6:$D$389,Таблица1[[#This Row],[2]])</f>
        <v>349</v>
      </c>
      <c r="B1970" s="194">
        <f>SUMIFS(Таблица1[6],Таблица1[2],Таблица1[[#This Row],[2]])+SUMIFS(Таблица1[7],Таблица1[2],Таблица1[[#This Row],[2]])</f>
        <v>989.3</v>
      </c>
      <c r="C1970" s="185" t="s">
        <v>415</v>
      </c>
      <c r="D1970" s="196"/>
      <c r="E1970" s="196"/>
      <c r="F1970" s="196"/>
      <c r="G1970" s="168"/>
      <c r="H1970" s="197"/>
      <c r="I1970" s="196"/>
      <c r="J1970" s="196"/>
      <c r="K1970" s="196"/>
      <c r="L1970" s="196"/>
      <c r="M1970" s="196"/>
      <c r="N1970" s="196"/>
      <c r="O1970" s="196"/>
      <c r="P1970" s="196"/>
      <c r="Q1970" s="196"/>
      <c r="R1970" s="196"/>
      <c r="S1970" s="196"/>
      <c r="T1970" s="196"/>
      <c r="U1970" s="196"/>
      <c r="V1970" s="198"/>
    </row>
    <row r="1971" spans="1:22" hidden="1" outlineLevel="2" x14ac:dyDescent="0.25">
      <c r="A1971" s="186">
        <f>SUMIFS(МКД!$A$6:$A$389,МКД!$D$6:$D$389,Таблица1[[#This Row],[2]])</f>
        <v>349</v>
      </c>
      <c r="B1971" s="170"/>
      <c r="C1971" s="182" t="s">
        <v>415</v>
      </c>
      <c r="D1971" s="167" t="s">
        <v>2467</v>
      </c>
      <c r="E1971" s="167" t="s">
        <v>2468</v>
      </c>
      <c r="F1971" s="167">
        <v>2</v>
      </c>
      <c r="G1971" s="168">
        <f>SUMIFS(Таблица1[[#This Row],[8]:[19]],$I$5:$T$5,"Выкуп")</f>
        <v>123.7</v>
      </c>
      <c r="H1971" s="168">
        <f>SUMIFS(Таблица1[[#This Row],[8]:[19]],$I$5:$T$5,"Аренда")</f>
        <v>0</v>
      </c>
      <c r="I1971" s="169">
        <v>123.7</v>
      </c>
      <c r="J1971" s="169"/>
      <c r="K1971" s="169"/>
      <c r="L1971" s="169"/>
      <c r="M1971" s="169"/>
      <c r="N1971" s="169"/>
      <c r="O1971" s="169"/>
      <c r="P1971" s="169"/>
      <c r="Q1971" s="169"/>
      <c r="R1971" s="169"/>
      <c r="S1971" s="169"/>
      <c r="T1971" s="169"/>
      <c r="U1971" s="170"/>
      <c r="V1971" s="171"/>
    </row>
    <row r="1972" spans="1:22" hidden="1" outlineLevel="2" x14ac:dyDescent="0.25">
      <c r="A1972" s="186">
        <f>SUMIFS(МКД!$A$6:$A$389,МКД!$D$6:$D$389,Таблица1[[#This Row],[2]])</f>
        <v>349</v>
      </c>
      <c r="B1972" s="168"/>
      <c r="C1972" s="182" t="s">
        <v>415</v>
      </c>
      <c r="D1972" s="167" t="s">
        <v>2544</v>
      </c>
      <c r="E1972" s="167" t="s">
        <v>2652</v>
      </c>
      <c r="F1972" s="167">
        <v>2</v>
      </c>
      <c r="G1972" s="168">
        <f>SUMIFS(Таблица1[[#This Row],[8]:[19]],$I$5:$T$5,"Выкуп")</f>
        <v>59.4</v>
      </c>
      <c r="H1972" s="168">
        <f>SUMIFS(Таблица1[[#This Row],[8]:[19]],$I$5:$T$5,"Аренда")</f>
        <v>0</v>
      </c>
      <c r="I1972" s="169">
        <v>59.4</v>
      </c>
      <c r="J1972" s="169"/>
      <c r="K1972" s="169"/>
      <c r="L1972" s="169"/>
      <c r="M1972" s="169"/>
      <c r="N1972" s="169"/>
      <c r="O1972" s="169"/>
      <c r="P1972" s="169"/>
      <c r="Q1972" s="169"/>
      <c r="R1972" s="169"/>
      <c r="S1972" s="169"/>
      <c r="T1972" s="169"/>
      <c r="U1972" s="170"/>
      <c r="V1972" s="171"/>
    </row>
    <row r="1973" spans="1:22" hidden="1" outlineLevel="2" x14ac:dyDescent="0.25">
      <c r="A1973" s="186">
        <f>SUMIFS(МКД!$A$6:$A$389,МКД!$D$6:$D$389,Таблица1[[#This Row],[2]])</f>
        <v>349</v>
      </c>
      <c r="B1973" s="168"/>
      <c r="C1973" s="182" t="s">
        <v>415</v>
      </c>
      <c r="D1973" s="167"/>
      <c r="E1973" s="167" t="s">
        <v>2469</v>
      </c>
      <c r="F1973" s="167">
        <v>2</v>
      </c>
      <c r="G1973" s="168">
        <f>SUMIFS(Таблица1[[#This Row],[8]:[19]],$I$5:$T$5,"Выкуп")</f>
        <v>0</v>
      </c>
      <c r="H1973" s="168">
        <f>SUMIFS(Таблица1[[#This Row],[8]:[19]],$I$5:$T$5,"Аренда")</f>
        <v>0</v>
      </c>
      <c r="I1973" s="169"/>
      <c r="J1973" s="169"/>
      <c r="K1973" s="169"/>
      <c r="L1973" s="169"/>
      <c r="M1973" s="169"/>
      <c r="N1973" s="169"/>
      <c r="O1973" s="167"/>
      <c r="P1973" s="169">
        <f>9.9*0</f>
        <v>0</v>
      </c>
      <c r="Q1973" s="169"/>
      <c r="R1973" s="169"/>
      <c r="S1973" s="169"/>
      <c r="T1973" s="169"/>
      <c r="U1973" s="170"/>
      <c r="V1973" s="171"/>
    </row>
    <row r="1974" spans="1:22" hidden="1" outlineLevel="2" x14ac:dyDescent="0.25">
      <c r="A1974" s="186">
        <f>SUMIFS(МКД!$A$6:$A$389,МКД!$D$6:$D$389,Таблица1[[#This Row],[2]])</f>
        <v>349</v>
      </c>
      <c r="B1974" s="168"/>
      <c r="C1974" s="182" t="s">
        <v>415</v>
      </c>
      <c r="D1974" s="167" t="s">
        <v>725</v>
      </c>
      <c r="E1974" s="167" t="s">
        <v>2473</v>
      </c>
      <c r="F1974" s="167">
        <v>2</v>
      </c>
      <c r="G1974" s="168">
        <f>SUMIFS(Таблица1[[#This Row],[8]:[19]],$I$5:$T$5,"Выкуп")</f>
        <v>80.099999999999994</v>
      </c>
      <c r="H1974" s="168">
        <f>SUMIFS(Таблица1[[#This Row],[8]:[19]],$I$5:$T$5,"Аренда")</f>
        <v>0</v>
      </c>
      <c r="I1974" s="169">
        <v>80.099999999999994</v>
      </c>
      <c r="J1974" s="169"/>
      <c r="K1974" s="169"/>
      <c r="L1974" s="169"/>
      <c r="M1974" s="169"/>
      <c r="N1974" s="169"/>
      <c r="O1974" s="169"/>
      <c r="P1974" s="169"/>
      <c r="Q1974" s="169"/>
      <c r="R1974" s="169"/>
      <c r="S1974" s="169"/>
      <c r="T1974" s="169"/>
      <c r="U1974" s="170"/>
      <c r="V1974" s="171"/>
    </row>
    <row r="1975" spans="1:22" hidden="1" outlineLevel="2" x14ac:dyDescent="0.25">
      <c r="A1975" s="186">
        <f>SUMIFS(МКД!$A$6:$A$389,МКД!$D$6:$D$389,Таблица1[[#This Row],[2]])</f>
        <v>349</v>
      </c>
      <c r="B1975" s="168"/>
      <c r="C1975" s="182" t="s">
        <v>415</v>
      </c>
      <c r="D1975" s="167" t="s">
        <v>2472</v>
      </c>
      <c r="E1975" s="167" t="s">
        <v>99</v>
      </c>
      <c r="F1975" s="167">
        <v>2</v>
      </c>
      <c r="G1975" s="168">
        <f>SUMIFS(Таблица1[[#This Row],[8]:[19]],$I$5:$T$5,"Выкуп")</f>
        <v>84.3</v>
      </c>
      <c r="H1975" s="168">
        <f>SUMIFS(Таблица1[[#This Row],[8]:[19]],$I$5:$T$5,"Аренда")</f>
        <v>0</v>
      </c>
      <c r="I1975" s="169">
        <v>84.3</v>
      </c>
      <c r="J1975" s="169"/>
      <c r="K1975" s="169"/>
      <c r="L1975" s="169"/>
      <c r="M1975" s="169"/>
      <c r="N1975" s="169"/>
      <c r="O1975" s="169"/>
      <c r="P1975" s="169"/>
      <c r="Q1975" s="169"/>
      <c r="R1975" s="169"/>
      <c r="S1975" s="169"/>
      <c r="T1975" s="169"/>
      <c r="U1975" s="170"/>
      <c r="V1975" s="171"/>
    </row>
    <row r="1976" spans="1:22" hidden="1" outlineLevel="2" x14ac:dyDescent="0.25">
      <c r="A1976" s="186">
        <f>SUMIFS(МКД!$A$6:$A$389,МКД!$D$6:$D$389,Таблица1[[#This Row],[2]])</f>
        <v>349</v>
      </c>
      <c r="B1976" s="168"/>
      <c r="C1976" s="182" t="s">
        <v>415</v>
      </c>
      <c r="D1976" s="167" t="s">
        <v>1021</v>
      </c>
      <c r="E1976" s="167" t="s">
        <v>959</v>
      </c>
      <c r="F1976" s="167">
        <v>2</v>
      </c>
      <c r="G1976" s="168">
        <f>SUMIFS(Таблица1[[#This Row],[8]:[19]],$I$5:$T$5,"Выкуп")</f>
        <v>205</v>
      </c>
      <c r="H1976" s="168">
        <f>SUMIFS(Таблица1[[#This Row],[8]:[19]],$I$5:$T$5,"Аренда")</f>
        <v>0</v>
      </c>
      <c r="I1976" s="169">
        <v>135.4</v>
      </c>
      <c r="J1976" s="169"/>
      <c r="K1976" s="169">
        <v>69.599999999999994</v>
      </c>
      <c r="L1976" s="169"/>
      <c r="M1976" s="169"/>
      <c r="N1976" s="169"/>
      <c r="O1976" s="169"/>
      <c r="P1976" s="169"/>
      <c r="Q1976" s="169"/>
      <c r="R1976" s="169"/>
      <c r="S1976" s="169"/>
      <c r="T1976" s="169"/>
      <c r="U1976" s="170"/>
      <c r="V1976" s="171"/>
    </row>
    <row r="1977" spans="1:22" hidden="1" outlineLevel="2" x14ac:dyDescent="0.25">
      <c r="A1977" s="186">
        <f>SUMIFS(МКД!$A$6:$A$389,МКД!$D$6:$D$389,Таблица1[[#This Row],[2]])</f>
        <v>349</v>
      </c>
      <c r="B1977" s="168"/>
      <c r="C1977" s="182" t="s">
        <v>415</v>
      </c>
      <c r="D1977" s="167" t="s">
        <v>2471</v>
      </c>
      <c r="E1977" s="167" t="s">
        <v>2470</v>
      </c>
      <c r="F1977" s="167">
        <v>2</v>
      </c>
      <c r="G1977" s="168">
        <f>SUMIFS(Таблица1[[#This Row],[8]:[19]],$I$5:$T$5,"Выкуп")</f>
        <v>0</v>
      </c>
      <c r="H1977" s="168">
        <f>SUMIFS(Таблица1[[#This Row],[8]:[19]],$I$5:$T$5,"Аренда")</f>
        <v>11.4</v>
      </c>
      <c r="I1977" s="169"/>
      <c r="J1977" s="169"/>
      <c r="K1977" s="169"/>
      <c r="L1977" s="169"/>
      <c r="M1977" s="169"/>
      <c r="N1977" s="169"/>
      <c r="O1977" s="167"/>
      <c r="P1977" s="169">
        <v>11.4</v>
      </c>
      <c r="Q1977" s="169"/>
      <c r="R1977" s="169"/>
      <c r="S1977" s="169"/>
      <c r="T1977" s="169"/>
      <c r="U1977" s="170"/>
      <c r="V1977" s="171"/>
    </row>
    <row r="1978" spans="1:22" hidden="1" outlineLevel="2" x14ac:dyDescent="0.25">
      <c r="A1978" s="186">
        <f>SUMIFS(МКД!$A$6:$A$389,МКД!$D$6:$D$389,Таблица1[[#This Row],[2]])</f>
        <v>349</v>
      </c>
      <c r="B1978" s="168"/>
      <c r="C1978" s="182" t="s">
        <v>415</v>
      </c>
      <c r="D1978" s="167" t="s">
        <v>727</v>
      </c>
      <c r="E1978" s="167" t="s">
        <v>2474</v>
      </c>
      <c r="F1978" s="167">
        <v>2</v>
      </c>
      <c r="G1978" s="168">
        <f>SUMIFS(Таблица1[[#This Row],[8]:[19]],$I$5:$T$5,"Выкуп")</f>
        <v>57.8</v>
      </c>
      <c r="H1978" s="168">
        <f>SUMIFS(Таблица1[[#This Row],[8]:[19]],$I$5:$T$5,"Аренда")</f>
        <v>0</v>
      </c>
      <c r="I1978" s="169">
        <v>57.8</v>
      </c>
      <c r="J1978" s="169"/>
      <c r="K1978" s="169"/>
      <c r="L1978" s="169"/>
      <c r="M1978" s="169"/>
      <c r="N1978" s="169"/>
      <c r="O1978" s="169"/>
      <c r="P1978" s="169"/>
      <c r="Q1978" s="169"/>
      <c r="R1978" s="169"/>
      <c r="S1978" s="169"/>
      <c r="T1978" s="169"/>
      <c r="U1978" s="170"/>
      <c r="V1978" s="171"/>
    </row>
    <row r="1979" spans="1:22" hidden="1" outlineLevel="2" x14ac:dyDescent="0.25">
      <c r="A1979" s="186">
        <f>SUMIFS(МКД!$A$6:$A$389,МКД!$D$6:$D$389,Таблица1[[#This Row],[2]])</f>
        <v>349</v>
      </c>
      <c r="B1979" s="168"/>
      <c r="C1979" s="182" t="s">
        <v>415</v>
      </c>
      <c r="D1979" s="167" t="s">
        <v>1053</v>
      </c>
      <c r="E1979" s="167" t="s">
        <v>2752</v>
      </c>
      <c r="F1979" s="167">
        <v>2</v>
      </c>
      <c r="G1979" s="168">
        <f>SUMIFS(Таблица1[[#This Row],[8]:[19]],$I$5:$T$5,"Выкуп")</f>
        <v>367.6</v>
      </c>
      <c r="H1979" s="168">
        <f>SUMIFS(Таблица1[[#This Row],[8]:[19]],$I$5:$T$5,"Аренда")</f>
        <v>0</v>
      </c>
      <c r="I1979" s="169"/>
      <c r="J1979" s="169"/>
      <c r="K1979" s="169"/>
      <c r="L1979" s="169"/>
      <c r="M1979" s="169">
        <v>367.6</v>
      </c>
      <c r="N1979" s="169"/>
      <c r="O1979" s="169"/>
      <c r="P1979" s="169"/>
      <c r="Q1979" s="169"/>
      <c r="R1979" s="169"/>
      <c r="S1979" s="169"/>
      <c r="T1979" s="169"/>
      <c r="U1979" s="170"/>
      <c r="V1979" s="171"/>
    </row>
    <row r="1980" spans="1:22" ht="15" outlineLevel="1" collapsed="1" x14ac:dyDescent="0.25">
      <c r="A1980" s="186">
        <f>SUMIFS(МКД!$A$6:$A$389,МКД!$D$6:$D$389,Таблица1[[#This Row],[2]])</f>
        <v>350</v>
      </c>
      <c r="B1980" s="194">
        <f>SUMIFS(Таблица1[6],Таблица1[2],Таблица1[[#This Row],[2]])+SUMIFS(Таблица1[7],Таблица1[2],Таблица1[[#This Row],[2]])</f>
        <v>654.70000000000005</v>
      </c>
      <c r="C1980" s="185" t="s">
        <v>416</v>
      </c>
      <c r="D1980" s="196"/>
      <c r="E1980" s="196"/>
      <c r="F1980" s="196"/>
      <c r="G1980" s="168"/>
      <c r="H1980" s="197"/>
      <c r="I1980" s="196"/>
      <c r="J1980" s="196"/>
      <c r="K1980" s="196"/>
      <c r="L1980" s="196"/>
      <c r="M1980" s="196"/>
      <c r="N1980" s="196"/>
      <c r="O1980" s="196"/>
      <c r="P1980" s="196"/>
      <c r="Q1980" s="196"/>
      <c r="R1980" s="196"/>
      <c r="S1980" s="196"/>
      <c r="T1980" s="196"/>
      <c r="U1980" s="196"/>
      <c r="V1980" s="198"/>
    </row>
    <row r="1981" spans="1:22" hidden="1" outlineLevel="2" x14ac:dyDescent="0.25">
      <c r="A1981" s="186">
        <f>SUMIFS(МКД!$A$6:$A$389,МКД!$D$6:$D$389,Таблица1[[#This Row],[2]])</f>
        <v>350</v>
      </c>
      <c r="B1981" s="170"/>
      <c r="C1981" s="182" t="s">
        <v>416</v>
      </c>
      <c r="D1981" s="167" t="s">
        <v>728</v>
      </c>
      <c r="E1981" s="167" t="s">
        <v>773</v>
      </c>
      <c r="F1981" s="167">
        <v>1</v>
      </c>
      <c r="G1981" s="168">
        <f>SUMIFS(Таблица1[[#This Row],[8]:[19]],$I$5:$T$5,"Выкуп")</f>
        <v>112.4</v>
      </c>
      <c r="H1981" s="168">
        <f>SUMIFS(Таблица1[[#This Row],[8]:[19]],$I$5:$T$5,"Аренда")</f>
        <v>115.7</v>
      </c>
      <c r="I1981" s="169">
        <v>112.4</v>
      </c>
      <c r="J1981" s="169"/>
      <c r="K1981" s="167"/>
      <c r="L1981" s="169">
        <v>115.7</v>
      </c>
      <c r="M1981" s="169"/>
      <c r="N1981" s="169"/>
      <c r="O1981" s="169"/>
      <c r="P1981" s="169"/>
      <c r="Q1981" s="169"/>
      <c r="R1981" s="169"/>
      <c r="S1981" s="169"/>
      <c r="T1981" s="169"/>
      <c r="U1981" s="170"/>
      <c r="V1981" s="171"/>
    </row>
    <row r="1982" spans="1:22" hidden="1" outlineLevel="2" x14ac:dyDescent="0.25">
      <c r="A1982" s="186">
        <f>SUMIFS(МКД!$A$6:$A$389,МКД!$D$6:$D$389,Таблица1[[#This Row],[2]])</f>
        <v>350</v>
      </c>
      <c r="B1982" s="168"/>
      <c r="C1982" s="182" t="s">
        <v>416</v>
      </c>
      <c r="D1982" s="167" t="s">
        <v>729</v>
      </c>
      <c r="E1982" s="167" t="s">
        <v>730</v>
      </c>
      <c r="F1982" s="167">
        <v>1</v>
      </c>
      <c r="G1982" s="168">
        <f>SUMIFS(Таблица1[[#This Row],[8]:[19]],$I$5:$T$5,"Выкуп")</f>
        <v>235.2</v>
      </c>
      <c r="H1982" s="168">
        <f>SUMIFS(Таблица1[[#This Row],[8]:[19]],$I$5:$T$5,"Аренда")</f>
        <v>0</v>
      </c>
      <c r="I1982" s="169">
        <v>235.2</v>
      </c>
      <c r="J1982" s="169"/>
      <c r="K1982" s="169"/>
      <c r="L1982" s="169"/>
      <c r="M1982" s="169"/>
      <c r="N1982" s="169"/>
      <c r="O1982" s="169"/>
      <c r="P1982" s="169"/>
      <c r="Q1982" s="169"/>
      <c r="R1982" s="169"/>
      <c r="S1982" s="169"/>
      <c r="T1982" s="169"/>
      <c r="U1982" s="170"/>
      <c r="V1982" s="171"/>
    </row>
    <row r="1983" spans="1:22" hidden="1" outlineLevel="2" x14ac:dyDescent="0.25">
      <c r="A1983" s="186">
        <f>SUMIFS(МКД!$A$6:$A$389,МКД!$D$6:$D$389,Таблица1[[#This Row],[2]])</f>
        <v>350</v>
      </c>
      <c r="B1983" s="168"/>
      <c r="C1983" s="182" t="s">
        <v>416</v>
      </c>
      <c r="D1983" s="167" t="s">
        <v>1593</v>
      </c>
      <c r="E1983" s="273" t="s">
        <v>1729</v>
      </c>
      <c r="F1983" s="167">
        <v>1</v>
      </c>
      <c r="G1983" s="168">
        <f>SUMIFS(Таблица1[[#This Row],[8]:[19]],$I$5:$T$5,"Выкуп")</f>
        <v>88.8</v>
      </c>
      <c r="H1983" s="168">
        <f>SUMIFS(Таблица1[[#This Row],[8]:[19]],$I$5:$T$5,"Аренда")</f>
        <v>0</v>
      </c>
      <c r="I1983" s="169"/>
      <c r="J1983" s="169"/>
      <c r="K1983" s="169">
        <v>88.8</v>
      </c>
      <c r="L1983" s="169"/>
      <c r="M1983" s="169"/>
      <c r="N1983" s="169"/>
      <c r="O1983" s="169"/>
      <c r="P1983" s="169"/>
      <c r="Q1983" s="169"/>
      <c r="R1983" s="169"/>
      <c r="S1983" s="169"/>
      <c r="T1983" s="169"/>
      <c r="U1983" s="170"/>
      <c r="V1983" s="171"/>
    </row>
    <row r="1984" spans="1:22" hidden="1" outlineLevel="2" x14ac:dyDescent="0.25">
      <c r="A1984" s="186">
        <f>SUMIFS(МКД!$A$6:$A$389,МКД!$D$6:$D$389,Таблица1[[#This Row],[2]])</f>
        <v>350</v>
      </c>
      <c r="B1984" s="168"/>
      <c r="C1984" s="182" t="s">
        <v>416</v>
      </c>
      <c r="D1984" s="167" t="s">
        <v>1394</v>
      </c>
      <c r="E1984" s="167" t="s">
        <v>2752</v>
      </c>
      <c r="F1984" s="167">
        <v>1</v>
      </c>
      <c r="G1984" s="168">
        <f>SUMIFS(Таблица1[[#This Row],[8]:[19]],$I$5:$T$5,"Выкуп")</f>
        <v>102.6</v>
      </c>
      <c r="H1984" s="168">
        <f>SUMIFS(Таблица1[[#This Row],[8]:[19]],$I$5:$T$5,"Аренда")</f>
        <v>0</v>
      </c>
      <c r="I1984" s="169"/>
      <c r="J1984" s="169"/>
      <c r="K1984" s="169"/>
      <c r="L1984" s="169"/>
      <c r="M1984" s="169">
        <v>102.6</v>
      </c>
      <c r="N1984" s="169"/>
      <c r="O1984" s="169"/>
      <c r="P1984" s="169"/>
      <c r="Q1984" s="169"/>
      <c r="R1984" s="169"/>
      <c r="S1984" s="169"/>
      <c r="T1984" s="169"/>
      <c r="U1984" s="170"/>
      <c r="V1984" s="171"/>
    </row>
    <row r="1985" spans="1:22" ht="15" outlineLevel="1" collapsed="1" x14ac:dyDescent="0.25">
      <c r="A1985" s="186">
        <f>SUMIFS(МКД!$A$6:$A$389,МКД!$D$6:$D$389,Таблица1[[#This Row],[2]])</f>
        <v>351</v>
      </c>
      <c r="B1985" s="194">
        <f>SUMIFS(Таблица1[6],Таблица1[2],Таблица1[[#This Row],[2]])+SUMIFS(Таблица1[7],Таблица1[2],Таблица1[[#This Row],[2]])</f>
        <v>612.29999999999995</v>
      </c>
      <c r="C1985" s="185" t="s">
        <v>417</v>
      </c>
      <c r="D1985" s="196"/>
      <c r="E1985" s="196"/>
      <c r="F1985" s="196"/>
      <c r="G1985" s="168"/>
      <c r="H1985" s="197"/>
      <c r="I1985" s="196"/>
      <c r="J1985" s="196"/>
      <c r="K1985" s="196"/>
      <c r="L1985" s="196"/>
      <c r="M1985" s="196"/>
      <c r="N1985" s="196"/>
      <c r="O1985" s="196"/>
      <c r="P1985" s="196"/>
      <c r="Q1985" s="196"/>
      <c r="R1985" s="196"/>
      <c r="S1985" s="196"/>
      <c r="T1985" s="196"/>
      <c r="U1985" s="196"/>
      <c r="V1985" s="198"/>
    </row>
    <row r="1986" spans="1:22" s="156" customFormat="1" hidden="1" outlineLevel="2" x14ac:dyDescent="0.25">
      <c r="A1986" s="186">
        <f>SUMIFS(МКД!$A$6:$A$389,МКД!$D$6:$D$389,Таблица1[[#This Row],[2]])</f>
        <v>351</v>
      </c>
      <c r="B1986" s="170"/>
      <c r="C1986" s="182" t="s">
        <v>417</v>
      </c>
      <c r="D1986" s="167" t="s">
        <v>970</v>
      </c>
      <c r="E1986" s="167" t="s">
        <v>1829</v>
      </c>
      <c r="F1986" s="167"/>
      <c r="G1986" s="168">
        <f>SUMIFS(Таблица1[[#This Row],[8]:[19]],$I$5:$T$5,"Выкуп")</f>
        <v>502.79999999999995</v>
      </c>
      <c r="H1986" s="168">
        <f>SUMIFS(Таблица1[[#This Row],[8]:[19]],$I$5:$T$5,"Аренда")</f>
        <v>0</v>
      </c>
      <c r="I1986" s="169">
        <v>448.4</v>
      </c>
      <c r="J1986" s="169"/>
      <c r="K1986" s="169">
        <v>54.4</v>
      </c>
      <c r="L1986" s="169"/>
      <c r="M1986" s="169"/>
      <c r="N1986" s="169"/>
      <c r="O1986" s="169"/>
      <c r="P1986" s="169"/>
      <c r="Q1986" s="169"/>
      <c r="R1986" s="169"/>
      <c r="S1986" s="169"/>
      <c r="T1986" s="169"/>
      <c r="U1986" s="170"/>
      <c r="V1986" s="171"/>
    </row>
    <row r="1987" spans="1:22" s="156" customFormat="1" hidden="1" outlineLevel="2" x14ac:dyDescent="0.25">
      <c r="A1987" s="186">
        <f>SUMIFS(МКД!$A$6:$A$389,МКД!$D$6:$D$389,Таблица1[[#This Row],[2]])</f>
        <v>351</v>
      </c>
      <c r="B1987" s="170"/>
      <c r="C1987" s="182" t="s">
        <v>417</v>
      </c>
      <c r="D1987" s="167" t="s">
        <v>1053</v>
      </c>
      <c r="E1987" s="167" t="s">
        <v>2752</v>
      </c>
      <c r="F1987" s="167"/>
      <c r="G1987" s="168">
        <f>SUMIFS(Таблица1[[#This Row],[8]:[19]],$I$5:$T$5,"Выкуп")</f>
        <v>109.5</v>
      </c>
      <c r="H1987" s="168">
        <f>SUMIFS(Таблица1[[#This Row],[8]:[19]],$I$5:$T$5,"Аренда")</f>
        <v>0</v>
      </c>
      <c r="I1987" s="169"/>
      <c r="J1987" s="169"/>
      <c r="K1987" s="169"/>
      <c r="L1987" s="169"/>
      <c r="M1987" s="278">
        <v>109.5</v>
      </c>
      <c r="N1987" s="169"/>
      <c r="O1987" s="169"/>
      <c r="P1987" s="169"/>
      <c r="Q1987" s="169"/>
      <c r="R1987" s="169"/>
      <c r="S1987" s="169"/>
      <c r="T1987" s="169"/>
      <c r="U1987" s="170"/>
      <c r="V1987" s="171"/>
    </row>
    <row r="1988" spans="1:22" s="156" customFormat="1" ht="15" outlineLevel="1" collapsed="1" x14ac:dyDescent="0.25">
      <c r="A1988" s="186">
        <f>SUMIFS(МКД!$A$6:$A$389,МКД!$D$6:$D$389,Таблица1[[#This Row],[2]])</f>
        <v>352</v>
      </c>
      <c r="B1988" s="194">
        <f>SUMIFS(Таблица1[6],Таблица1[2],Таблица1[[#This Row],[2]])+SUMIFS(Таблица1[7],Таблица1[2],Таблица1[[#This Row],[2]])</f>
        <v>194.1</v>
      </c>
      <c r="C1988" s="185" t="s">
        <v>418</v>
      </c>
      <c r="D1988" s="196"/>
      <c r="E1988" s="196"/>
      <c r="F1988" s="196"/>
      <c r="G1988" s="168"/>
      <c r="H1988" s="197"/>
      <c r="I1988" s="196"/>
      <c r="J1988" s="196"/>
      <c r="K1988" s="196"/>
      <c r="L1988" s="196"/>
      <c r="M1988" s="196"/>
      <c r="N1988" s="196"/>
      <c r="O1988" s="196"/>
      <c r="P1988" s="196"/>
      <c r="Q1988" s="196"/>
      <c r="R1988" s="196"/>
      <c r="S1988" s="196"/>
      <c r="T1988" s="196"/>
      <c r="U1988" s="196"/>
      <c r="V1988" s="198"/>
    </row>
    <row r="1989" spans="1:22" s="156" customFormat="1" ht="15" hidden="1" outlineLevel="2" x14ac:dyDescent="0.25">
      <c r="A1989" s="186">
        <f>SUMIFS(МКД!$A$6:$A$389,МКД!$D$6:$D$389,Таблица1[[#This Row],[2]])</f>
        <v>352</v>
      </c>
      <c r="B1989" s="194"/>
      <c r="C1989" s="182" t="s">
        <v>418</v>
      </c>
      <c r="D1989" s="196" t="s">
        <v>1394</v>
      </c>
      <c r="E1989" s="167" t="s">
        <v>2752</v>
      </c>
      <c r="F1989" s="196"/>
      <c r="G1989" s="168">
        <f>SUMIFS(Таблица1[[#This Row],[8]:[19]],$I$5:$T$5,"Выкуп")</f>
        <v>165.6</v>
      </c>
      <c r="H1989" s="168">
        <f>SUMIFS(Таблица1[[#This Row],[8]:[19]],$I$5:$T$5,"Аренда")</f>
        <v>0</v>
      </c>
      <c r="I1989" s="196"/>
      <c r="J1989" s="196"/>
      <c r="K1989" s="196"/>
      <c r="L1989" s="196"/>
      <c r="M1989" s="196">
        <v>165.6</v>
      </c>
      <c r="N1989" s="196"/>
      <c r="O1989" s="196"/>
      <c r="P1989" s="196"/>
      <c r="Q1989" s="196"/>
      <c r="R1989" s="196"/>
      <c r="S1989" s="196"/>
      <c r="T1989" s="196"/>
      <c r="U1989" s="196"/>
      <c r="V1989" s="198"/>
    </row>
    <row r="1990" spans="1:22" s="156" customFormat="1" ht="15" hidden="1" outlineLevel="2" x14ac:dyDescent="0.25">
      <c r="A1990" s="186">
        <f>SUMIFS(МКД!$A$6:$A$389,МКД!$D$6:$D$389,Таблица1[[#This Row],[2]])</f>
        <v>352</v>
      </c>
      <c r="B1990" s="194"/>
      <c r="C1990" s="182" t="s">
        <v>418</v>
      </c>
      <c r="D1990" s="196" t="s">
        <v>1053</v>
      </c>
      <c r="E1990" s="196" t="s">
        <v>1949</v>
      </c>
      <c r="F1990" s="196"/>
      <c r="G1990" s="168">
        <f>SUMIFS(Таблица1[[#This Row],[8]:[19]],$I$5:$T$5,"Выкуп")</f>
        <v>28.5</v>
      </c>
      <c r="H1990" s="168">
        <f>SUMIFS(Таблица1[[#This Row],[8]:[19]],$I$5:$T$5,"Аренда")</f>
        <v>0</v>
      </c>
      <c r="I1990" s="196">
        <v>28.5</v>
      </c>
      <c r="J1990" s="196"/>
      <c r="K1990" s="196"/>
      <c r="L1990" s="196"/>
      <c r="M1990" s="196"/>
      <c r="N1990" s="196"/>
      <c r="O1990" s="196"/>
      <c r="P1990" s="196"/>
      <c r="Q1990" s="196"/>
      <c r="R1990" s="196"/>
      <c r="S1990" s="196"/>
      <c r="T1990" s="196"/>
      <c r="U1990" s="196"/>
      <c r="V1990" s="198"/>
    </row>
    <row r="1991" spans="1:22" s="156" customFormat="1" ht="15" outlineLevel="1" collapsed="1" x14ac:dyDescent="0.25">
      <c r="A1991" s="186">
        <f>SUMIFS(МКД!$A$6:$A$389,МКД!$D$6:$D$389,Таблица1[[#This Row],[2]])</f>
        <v>353</v>
      </c>
      <c r="B1991" s="194">
        <f>SUMIFS(Таблица1[6],Таблица1[2],Таблица1[[#This Row],[2]])+SUMIFS(Таблица1[7],Таблица1[2],Таблица1[[#This Row],[2]])</f>
        <v>0</v>
      </c>
      <c r="C1991" s="185" t="s">
        <v>618</v>
      </c>
      <c r="D1991" s="196"/>
      <c r="E1991" s="196"/>
      <c r="F1991" s="196"/>
      <c r="G1991" s="168"/>
      <c r="H1991" s="197"/>
      <c r="I1991" s="196"/>
      <c r="J1991" s="196"/>
      <c r="K1991" s="196"/>
      <c r="L1991" s="196"/>
      <c r="M1991" s="196"/>
      <c r="N1991" s="196"/>
      <c r="O1991" s="196"/>
      <c r="P1991" s="196"/>
      <c r="Q1991" s="196"/>
      <c r="R1991" s="196"/>
      <c r="S1991" s="196"/>
      <c r="T1991" s="196"/>
      <c r="U1991" s="196"/>
      <c r="V1991" s="198"/>
    </row>
    <row r="1992" spans="1:22" s="156" customFormat="1" ht="15" hidden="1" outlineLevel="2" x14ac:dyDescent="0.25">
      <c r="A1992" s="186">
        <f>SUMIFS(МКД!$A$6:$A$389,МКД!$D$6:$D$389,Таблица1[[#This Row],[2]])</f>
        <v>353</v>
      </c>
      <c r="B1992" s="196"/>
      <c r="C1992" s="182" t="s">
        <v>618</v>
      </c>
      <c r="D1992" s="196"/>
      <c r="E1992" s="196"/>
      <c r="F1992" s="196"/>
      <c r="G1992" s="168">
        <f>SUMIFS(Таблица1[[#This Row],[8]:[19]],$I$5:$T$5,"Выкуп")</f>
        <v>0</v>
      </c>
      <c r="H1992" s="168">
        <f>SUMIFS(Таблица1[[#This Row],[8]:[19]],$I$5:$T$5,"Аренда")</f>
        <v>0</v>
      </c>
      <c r="I1992" s="196"/>
      <c r="J1992" s="196"/>
      <c r="K1992" s="196"/>
      <c r="L1992" s="196"/>
      <c r="M1992" s="196"/>
      <c r="N1992" s="196"/>
      <c r="O1992" s="196"/>
      <c r="P1992" s="196"/>
      <c r="Q1992" s="196"/>
      <c r="R1992" s="196"/>
      <c r="S1992" s="196"/>
      <c r="T1992" s="196"/>
      <c r="U1992" s="196"/>
      <c r="V1992" s="198"/>
    </row>
    <row r="1993" spans="1:22" s="156" customFormat="1" ht="15" outlineLevel="1" collapsed="1" x14ac:dyDescent="0.25">
      <c r="A1993" s="186">
        <f>SUMIFS(МКД!$A$6:$A$389,МКД!$D$6:$D$389,Таблица1[[#This Row],[2]])</f>
        <v>354</v>
      </c>
      <c r="B1993" s="194">
        <f>SUMIFS(Таблица1[6],Таблица1[2],Таблица1[[#This Row],[2]])+SUMIFS(Таблица1[7],Таблица1[2],Таблица1[[#This Row],[2]])</f>
        <v>0</v>
      </c>
      <c r="C1993" s="185" t="s">
        <v>1056</v>
      </c>
      <c r="D1993" s="196"/>
      <c r="E1993" s="196"/>
      <c r="F1993" s="196"/>
      <c r="G1993" s="168"/>
      <c r="H1993" s="197"/>
      <c r="I1993" s="196"/>
      <c r="J1993" s="196"/>
      <c r="K1993" s="196"/>
      <c r="L1993" s="196"/>
      <c r="M1993" s="196"/>
      <c r="N1993" s="196"/>
      <c r="O1993" s="196"/>
      <c r="P1993" s="196"/>
      <c r="Q1993" s="196"/>
      <c r="R1993" s="196"/>
      <c r="S1993" s="196"/>
      <c r="T1993" s="196"/>
      <c r="U1993" s="196"/>
      <c r="V1993" s="198"/>
    </row>
    <row r="1994" spans="1:22" s="156" customFormat="1" ht="15" hidden="1" outlineLevel="2" x14ac:dyDescent="0.25">
      <c r="A1994" s="186">
        <f>SUMIFS(МКД!$A$6:$A$389,МКД!$D$6:$D$389,Таблица1[[#This Row],[2]])</f>
        <v>354</v>
      </c>
      <c r="B1994" s="196"/>
      <c r="C1994" s="182" t="s">
        <v>1056</v>
      </c>
      <c r="D1994" s="196"/>
      <c r="E1994" s="196"/>
      <c r="F1994" s="196"/>
      <c r="G1994" s="168">
        <f>SUMIFS(Таблица1[[#This Row],[8]:[19]],$I$5:$T$5,"Выкуп")</f>
        <v>0</v>
      </c>
      <c r="H1994" s="168">
        <f>SUMIFS(Таблица1[[#This Row],[8]:[19]],$I$5:$T$5,"Аренда")</f>
        <v>0</v>
      </c>
      <c r="I1994" s="196"/>
      <c r="J1994" s="196"/>
      <c r="K1994" s="196"/>
      <c r="L1994" s="196"/>
      <c r="M1994" s="196"/>
      <c r="N1994" s="196"/>
      <c r="O1994" s="196"/>
      <c r="P1994" s="196"/>
      <c r="Q1994" s="196"/>
      <c r="R1994" s="196"/>
      <c r="S1994" s="196"/>
      <c r="T1994" s="196"/>
      <c r="U1994" s="196"/>
      <c r="V1994" s="198"/>
    </row>
    <row r="1995" spans="1:22" s="20" customFormat="1" ht="15" outlineLevel="1" collapsed="1" x14ac:dyDescent="0.25">
      <c r="A1995" s="186">
        <f>SUMIFS(МКД!$A$6:$A$389,МКД!$D$6:$D$389,Таблица1[[#This Row],[2]])</f>
        <v>361</v>
      </c>
      <c r="B1995" s="194">
        <f>SUMIFS(Таблица1[6],Таблица1[2],Таблица1[[#This Row],[2]])+SUMIFS(Таблица1[7],Таблица1[2],Таблица1[[#This Row],[2]])</f>
        <v>175.2</v>
      </c>
      <c r="C1995" s="185" t="s">
        <v>491</v>
      </c>
      <c r="D1995" s="196"/>
      <c r="E1995" s="196"/>
      <c r="F1995" s="196"/>
      <c r="G1995" s="168"/>
      <c r="H1995" s="197"/>
      <c r="I1995" s="196"/>
      <c r="J1995" s="196"/>
      <c r="K1995" s="196"/>
      <c r="L1995" s="196"/>
      <c r="M1995" s="196"/>
      <c r="N1995" s="196"/>
      <c r="O1995" s="196"/>
      <c r="P1995" s="196"/>
      <c r="Q1995" s="196"/>
      <c r="R1995" s="196"/>
      <c r="S1995" s="196"/>
      <c r="T1995" s="196"/>
      <c r="U1995" s="196"/>
      <c r="V1995" s="198"/>
    </row>
    <row r="1996" spans="1:22" s="21" customFormat="1" hidden="1" outlineLevel="2" x14ac:dyDescent="0.25">
      <c r="A1996" s="186">
        <f>SUMIFS(МКД!$A$6:$A$389,МКД!$D$6:$D$389,Таблица1[[#This Row],[2]])</f>
        <v>361</v>
      </c>
      <c r="B1996" s="170"/>
      <c r="C1996" s="182" t="s">
        <v>491</v>
      </c>
      <c r="D1996" s="167" t="s">
        <v>1930</v>
      </c>
      <c r="E1996" s="167" t="s">
        <v>1938</v>
      </c>
      <c r="F1996" s="167">
        <v>1</v>
      </c>
      <c r="G1996" s="168">
        <f>SUMIFS(Таблица1[[#This Row],[8]:[19]],$I$5:$T$5,"Выкуп")</f>
        <v>68.3</v>
      </c>
      <c r="H1996" s="168">
        <f>SUMIFS(Таблица1[[#This Row],[8]:[19]],$I$5:$T$5,"Аренда")</f>
        <v>0</v>
      </c>
      <c r="I1996" s="169">
        <f>68.3</f>
        <v>68.3</v>
      </c>
      <c r="J1996" s="169"/>
      <c r="K1996" s="169"/>
      <c r="L1996" s="169"/>
      <c r="M1996" s="169"/>
      <c r="N1996" s="169"/>
      <c r="O1996" s="169"/>
      <c r="P1996" s="169"/>
      <c r="Q1996" s="169"/>
      <c r="R1996" s="169"/>
      <c r="S1996" s="169"/>
      <c r="T1996" s="169"/>
      <c r="U1996" s="170"/>
      <c r="V1996" s="195"/>
    </row>
    <row r="1997" spans="1:22" s="21" customFormat="1" hidden="1" outlineLevel="2" x14ac:dyDescent="0.25">
      <c r="A1997" s="186">
        <f>SUMIFS(МКД!$A$6:$A$389,МКД!$D$6:$D$389,Таблица1[[#This Row],[2]])</f>
        <v>361</v>
      </c>
      <c r="B1997" s="170"/>
      <c r="C1997" s="182" t="s">
        <v>491</v>
      </c>
      <c r="D1997" s="167" t="s">
        <v>2475</v>
      </c>
      <c r="E1997" s="167" t="s">
        <v>1175</v>
      </c>
      <c r="F1997" s="167"/>
      <c r="G1997" s="168">
        <f>SUMIFS(Таблица1[[#This Row],[8]:[19]],$I$5:$T$5,"Выкуп")</f>
        <v>57.6</v>
      </c>
      <c r="H1997" s="168">
        <f>SUMIFS(Таблица1[[#This Row],[8]:[19]],$I$5:$T$5,"Аренда")</f>
        <v>0</v>
      </c>
      <c r="I1997" s="169">
        <v>57.6</v>
      </c>
      <c r="J1997" s="169"/>
      <c r="K1997" s="169"/>
      <c r="L1997" s="169"/>
      <c r="M1997" s="169"/>
      <c r="N1997" s="169"/>
      <c r="O1997" s="169"/>
      <c r="P1997" s="169"/>
      <c r="Q1997" s="169"/>
      <c r="R1997" s="169"/>
      <c r="S1997" s="169"/>
      <c r="T1997" s="169"/>
      <c r="U1997" s="170"/>
      <c r="V1997" s="195"/>
    </row>
    <row r="1998" spans="1:22" hidden="1" outlineLevel="2" x14ac:dyDescent="0.25">
      <c r="A1998" s="186">
        <f>SUMIFS(МКД!$A$6:$A$389,МКД!$D$6:$D$389,Таблица1[[#This Row],[2]])</f>
        <v>361</v>
      </c>
      <c r="B1998" s="168"/>
      <c r="C1998" s="182" t="s">
        <v>491</v>
      </c>
      <c r="D1998" s="167" t="s">
        <v>2476</v>
      </c>
      <c r="E1998" s="167" t="s">
        <v>1508</v>
      </c>
      <c r="F1998" s="167">
        <v>1</v>
      </c>
      <c r="G1998" s="168">
        <f>SUMIFS(Таблица1[[#This Row],[8]:[19]],$I$5:$T$5,"Выкуп")</f>
        <v>49.3</v>
      </c>
      <c r="H1998" s="168">
        <f>SUMIFS(Таблица1[[#This Row],[8]:[19]],$I$5:$T$5,"Аренда")</f>
        <v>0</v>
      </c>
      <c r="I1998" s="169">
        <v>49.3</v>
      </c>
      <c r="J1998" s="169"/>
      <c r="K1998" s="169"/>
      <c r="L1998" s="169"/>
      <c r="M1998" s="169"/>
      <c r="N1998" s="169"/>
      <c r="O1998" s="169"/>
      <c r="P1998" s="169"/>
      <c r="Q1998" s="169"/>
      <c r="R1998" s="169"/>
      <c r="S1998" s="169"/>
      <c r="T1998" s="169"/>
      <c r="U1998" s="170"/>
      <c r="V1998" s="195"/>
    </row>
    <row r="1999" spans="1:22" ht="15" outlineLevel="1" collapsed="1" x14ac:dyDescent="0.25">
      <c r="A1999" s="186">
        <f>SUMIFS(МКД!$A$6:$A$389,МКД!$D$6:$D$389,Таблица1[[#This Row],[2]])</f>
        <v>362</v>
      </c>
      <c r="B1999" s="194">
        <f>SUMIFS(Таблица1[6],Таблица1[2],Таблица1[[#This Row],[2]])+SUMIFS(Таблица1[7],Таблица1[2],Таблица1[[#This Row],[2]])</f>
        <v>0</v>
      </c>
      <c r="C1999" s="185" t="s">
        <v>492</v>
      </c>
      <c r="D1999" s="196"/>
      <c r="E1999" s="196"/>
      <c r="F1999" s="196"/>
      <c r="G1999" s="168"/>
      <c r="H1999" s="197"/>
      <c r="I1999" s="196"/>
      <c r="J1999" s="196"/>
      <c r="K1999" s="196"/>
      <c r="L1999" s="196"/>
      <c r="M1999" s="196"/>
      <c r="N1999" s="196"/>
      <c r="O1999" s="196"/>
      <c r="P1999" s="196"/>
      <c r="Q1999" s="196"/>
      <c r="R1999" s="196"/>
      <c r="S1999" s="196"/>
      <c r="T1999" s="196"/>
      <c r="U1999" s="196"/>
      <c r="V1999" s="198"/>
    </row>
    <row r="2000" spans="1:22" ht="15" hidden="1" outlineLevel="2" x14ac:dyDescent="0.25">
      <c r="A2000" s="186">
        <f>SUMIFS(МКД!$A$6:$A$389,МКД!$D$6:$D$389,Таблица1[[#This Row],[2]])</f>
        <v>362</v>
      </c>
      <c r="B2000" s="196"/>
      <c r="C2000" s="182" t="s">
        <v>492</v>
      </c>
      <c r="D2000" s="196"/>
      <c r="E2000" s="196"/>
      <c r="F2000" s="196"/>
      <c r="G2000" s="168">
        <f>SUMIFS(Таблица1[[#This Row],[8]:[19]],$I$5:$T$5,"Выкуп")</f>
        <v>0</v>
      </c>
      <c r="H2000" s="168">
        <f>SUMIFS(Таблица1[[#This Row],[8]:[19]],$I$5:$T$5,"Аренда")</f>
        <v>0</v>
      </c>
      <c r="I2000" s="196"/>
      <c r="J2000" s="196"/>
      <c r="K2000" s="196"/>
      <c r="L2000" s="196"/>
      <c r="M2000" s="196"/>
      <c r="N2000" s="196"/>
      <c r="O2000" s="196"/>
      <c r="P2000" s="196"/>
      <c r="Q2000" s="196"/>
      <c r="R2000" s="196"/>
      <c r="S2000" s="196"/>
      <c r="T2000" s="196"/>
      <c r="U2000" s="196"/>
      <c r="V2000" s="198"/>
    </row>
    <row r="2001" spans="1:22" ht="15" outlineLevel="1" collapsed="1" x14ac:dyDescent="0.25">
      <c r="A2001" s="186">
        <f>SUMIFS(МКД!$A$6:$A$389,МКД!$D$6:$D$389,Таблица1[[#This Row],[2]])</f>
        <v>355</v>
      </c>
      <c r="B2001" s="194">
        <f>SUMIFS(Таблица1[6],Таблица1[2],Таблица1[[#This Row],[2]])+SUMIFS(Таблица1[7],Таблица1[2],Таблица1[[#This Row],[2]])</f>
        <v>251.5</v>
      </c>
      <c r="C2001" s="185" t="s">
        <v>493</v>
      </c>
      <c r="D2001" s="196"/>
      <c r="E2001" s="196"/>
      <c r="F2001" s="196"/>
      <c r="G2001" s="168"/>
      <c r="H2001" s="197"/>
      <c r="I2001" s="196"/>
      <c r="J2001" s="196"/>
      <c r="K2001" s="196"/>
      <c r="L2001" s="196"/>
      <c r="M2001" s="196"/>
      <c r="N2001" s="196"/>
      <c r="O2001" s="196"/>
      <c r="P2001" s="196"/>
      <c r="Q2001" s="196"/>
      <c r="R2001" s="196"/>
      <c r="S2001" s="196"/>
      <c r="T2001" s="196"/>
      <c r="U2001" s="196"/>
      <c r="V2001" s="198"/>
    </row>
    <row r="2002" spans="1:22" ht="15" hidden="1" outlineLevel="2" x14ac:dyDescent="0.25">
      <c r="A2002" s="186">
        <f>SUMIFS(МКД!$A$6:$A$389,МКД!$D$6:$D$389,Таблица1[[#This Row],[2]])</f>
        <v>355</v>
      </c>
      <c r="B2002" s="196"/>
      <c r="C2002" s="182" t="s">
        <v>493</v>
      </c>
      <c r="D2002" s="167" t="s">
        <v>1593</v>
      </c>
      <c r="E2002" s="273" t="s">
        <v>1780</v>
      </c>
      <c r="F2002" s="196"/>
      <c r="G2002" s="168">
        <f>SUMIFS(Таблица1[[#This Row],[8]:[19]],$I$5:$T$5,"Выкуп")</f>
        <v>95.6</v>
      </c>
      <c r="H2002" s="168">
        <f>SUMIFS(Таблица1[[#This Row],[8]:[19]],$I$5:$T$5,"Аренда")</f>
        <v>0</v>
      </c>
      <c r="I2002" s="196"/>
      <c r="J2002" s="196"/>
      <c r="K2002" s="196">
        <v>95.6</v>
      </c>
      <c r="L2002" s="196"/>
      <c r="M2002" s="196"/>
      <c r="N2002" s="196"/>
      <c r="O2002" s="196"/>
      <c r="P2002" s="196"/>
      <c r="Q2002" s="196"/>
      <c r="R2002" s="196"/>
      <c r="S2002" s="196"/>
      <c r="T2002" s="196"/>
      <c r="U2002" s="196"/>
      <c r="V2002" s="198"/>
    </row>
    <row r="2003" spans="1:22" ht="15" hidden="1" outlineLevel="2" x14ac:dyDescent="0.25">
      <c r="A2003" s="186">
        <f>SUMIFS(МКД!$A$6:$A$389,МКД!$D$6:$D$389,Таблица1[[#This Row],[2]])</f>
        <v>355</v>
      </c>
      <c r="B2003" s="196"/>
      <c r="C2003" s="182" t="s">
        <v>493</v>
      </c>
      <c r="D2003" s="167" t="s">
        <v>1053</v>
      </c>
      <c r="E2003" s="167" t="s">
        <v>2827</v>
      </c>
      <c r="F2003" s="196"/>
      <c r="G2003" s="168">
        <f>SUMIFS(Таблица1[[#This Row],[8]:[19]],$I$5:$T$5,"Выкуп")</f>
        <v>155.9</v>
      </c>
      <c r="H2003" s="168">
        <f>SUMIFS(Таблица1[[#This Row],[8]:[19]],$I$5:$T$5,"Аренда")</f>
        <v>0</v>
      </c>
      <c r="I2003" s="196"/>
      <c r="J2003" s="196"/>
      <c r="K2003" s="196"/>
      <c r="L2003" s="196"/>
      <c r="M2003" s="376">
        <v>155.9</v>
      </c>
      <c r="N2003" s="196"/>
      <c r="O2003" s="196"/>
      <c r="P2003" s="196"/>
      <c r="Q2003" s="196"/>
      <c r="R2003" s="196"/>
      <c r="S2003" s="196"/>
      <c r="T2003" s="196"/>
      <c r="U2003" s="196"/>
      <c r="V2003" s="198"/>
    </row>
    <row r="2004" spans="1:22" ht="15" outlineLevel="1" collapsed="1" x14ac:dyDescent="0.25">
      <c r="A2004" s="186">
        <f>SUMIFS(МКД!$A$6:$A$389,МКД!$D$6:$D$389,Таблица1[[#This Row],[2]])</f>
        <v>356</v>
      </c>
      <c r="B2004" s="194">
        <f>SUMIFS(Таблица1[6],Таблица1[2],Таблица1[[#This Row],[2]])+SUMIFS(Таблица1[7],Таблица1[2],Таблица1[[#This Row],[2]])</f>
        <v>0</v>
      </c>
      <c r="C2004" s="185" t="s">
        <v>494</v>
      </c>
      <c r="D2004" s="196"/>
      <c r="E2004" s="196"/>
      <c r="F2004" s="196"/>
      <c r="G2004" s="168"/>
      <c r="H2004" s="197"/>
      <c r="I2004" s="196"/>
      <c r="J2004" s="196"/>
      <c r="K2004" s="196"/>
      <c r="L2004" s="196"/>
      <c r="M2004" s="196"/>
      <c r="N2004" s="196"/>
      <c r="O2004" s="196"/>
      <c r="P2004" s="196"/>
      <c r="Q2004" s="196"/>
      <c r="R2004" s="196"/>
      <c r="S2004" s="196"/>
      <c r="T2004" s="196"/>
      <c r="U2004" s="196"/>
      <c r="V2004" s="198"/>
    </row>
    <row r="2005" spans="1:22" ht="15" hidden="1" outlineLevel="2" x14ac:dyDescent="0.25">
      <c r="A2005" s="186">
        <f>SUMIFS(МКД!$A$6:$A$389,МКД!$D$6:$D$389,Таблица1[[#This Row],[2]])</f>
        <v>356</v>
      </c>
      <c r="B2005" s="196"/>
      <c r="C2005" s="182" t="s">
        <v>494</v>
      </c>
      <c r="D2005" s="196"/>
      <c r="E2005" s="196"/>
      <c r="F2005" s="196"/>
      <c r="G2005" s="168">
        <f>SUMIFS(Таблица1[[#This Row],[8]:[19]],$I$5:$T$5,"Выкуп")</f>
        <v>0</v>
      </c>
      <c r="H2005" s="168">
        <f>SUMIFS(Таблица1[[#This Row],[8]:[19]],$I$5:$T$5,"Аренда")</f>
        <v>0</v>
      </c>
      <c r="I2005" s="196"/>
      <c r="J2005" s="196"/>
      <c r="K2005" s="196"/>
      <c r="L2005" s="196"/>
      <c r="M2005" s="196"/>
      <c r="N2005" s="196"/>
      <c r="O2005" s="196"/>
      <c r="P2005" s="196"/>
      <c r="Q2005" s="196"/>
      <c r="R2005" s="196"/>
      <c r="S2005" s="196"/>
      <c r="T2005" s="196"/>
      <c r="U2005" s="196"/>
      <c r="V2005" s="198"/>
    </row>
    <row r="2006" spans="1:22" ht="15" outlineLevel="1" collapsed="1" x14ac:dyDescent="0.25">
      <c r="A2006" s="186">
        <f>SUMIFS(МКД!$A$6:$A$389,МКД!$D$6:$D$389,Таблица1[[#This Row],[2]])</f>
        <v>357</v>
      </c>
      <c r="B2006" s="194">
        <f>SUMIFS(Таблица1[6],Таблица1[2],Таблица1[[#This Row],[2]])+SUMIFS(Таблица1[7],Таблица1[2],Таблица1[[#This Row],[2]])</f>
        <v>0</v>
      </c>
      <c r="C2006" s="185" t="s">
        <v>619</v>
      </c>
      <c r="D2006" s="196"/>
      <c r="E2006" s="196"/>
      <c r="F2006" s="196"/>
      <c r="G2006" s="168"/>
      <c r="H2006" s="197"/>
      <c r="I2006" s="196"/>
      <c r="J2006" s="196"/>
      <c r="K2006" s="196"/>
      <c r="L2006" s="196"/>
      <c r="M2006" s="196"/>
      <c r="N2006" s="196"/>
      <c r="O2006" s="196"/>
      <c r="P2006" s="196"/>
      <c r="Q2006" s="196"/>
      <c r="R2006" s="196"/>
      <c r="S2006" s="196"/>
      <c r="T2006" s="196"/>
      <c r="U2006" s="196"/>
      <c r="V2006" s="198"/>
    </row>
    <row r="2007" spans="1:22" ht="15" hidden="1" outlineLevel="2" x14ac:dyDescent="0.25">
      <c r="A2007" s="186">
        <f>SUMIFS(МКД!$A$6:$A$389,МКД!$D$6:$D$389,Таблица1[[#This Row],[2]])</f>
        <v>357</v>
      </c>
      <c r="B2007" s="196"/>
      <c r="C2007" s="182" t="s">
        <v>619</v>
      </c>
      <c r="D2007" s="196"/>
      <c r="E2007" s="196"/>
      <c r="F2007" s="196"/>
      <c r="G2007" s="168">
        <f>SUMIFS(Таблица1[[#This Row],[8]:[19]],$I$5:$T$5,"Выкуп")</f>
        <v>0</v>
      </c>
      <c r="H2007" s="168">
        <f>SUMIFS(Таблица1[[#This Row],[8]:[19]],$I$5:$T$5,"Аренда")</f>
        <v>0</v>
      </c>
      <c r="I2007" s="196"/>
      <c r="J2007" s="196"/>
      <c r="K2007" s="196"/>
      <c r="L2007" s="196"/>
      <c r="M2007" s="196"/>
      <c r="N2007" s="196"/>
      <c r="O2007" s="196"/>
      <c r="P2007" s="196"/>
      <c r="Q2007" s="196"/>
      <c r="R2007" s="196"/>
      <c r="S2007" s="196"/>
      <c r="T2007" s="196"/>
      <c r="U2007" s="196"/>
      <c r="V2007" s="198"/>
    </row>
    <row r="2008" spans="1:22" ht="15" outlineLevel="1" collapsed="1" x14ac:dyDescent="0.25">
      <c r="A2008" s="186">
        <f>SUMIFS(МКД!$A$6:$A$389,МКД!$D$6:$D$389,Таблица1[[#This Row],[2]])</f>
        <v>358</v>
      </c>
      <c r="B2008" s="194">
        <f>SUMIFS(Таблица1[6],Таблица1[2],Таблица1[[#This Row],[2]])+SUMIFS(Таблица1[7],Таблица1[2],Таблица1[[#This Row],[2]])</f>
        <v>0</v>
      </c>
      <c r="C2008" s="185" t="s">
        <v>495</v>
      </c>
      <c r="D2008" s="196"/>
      <c r="E2008" s="196"/>
      <c r="F2008" s="196"/>
      <c r="G2008" s="168"/>
      <c r="H2008" s="197"/>
      <c r="I2008" s="196"/>
      <c r="J2008" s="196"/>
      <c r="K2008" s="196"/>
      <c r="L2008" s="196"/>
      <c r="M2008" s="196"/>
      <c r="N2008" s="196"/>
      <c r="O2008" s="196"/>
      <c r="P2008" s="196"/>
      <c r="Q2008" s="196"/>
      <c r="R2008" s="196"/>
      <c r="S2008" s="196"/>
      <c r="T2008" s="196"/>
      <c r="U2008" s="196"/>
      <c r="V2008" s="198"/>
    </row>
    <row r="2009" spans="1:22" ht="15" hidden="1" outlineLevel="2" x14ac:dyDescent="0.25">
      <c r="A2009" s="186">
        <f>SUMIFS(МКД!$A$6:$A$389,МКД!$D$6:$D$389,Таблица1[[#This Row],[2]])</f>
        <v>358</v>
      </c>
      <c r="B2009" s="196"/>
      <c r="C2009" s="182" t="s">
        <v>495</v>
      </c>
      <c r="D2009" s="196"/>
      <c r="E2009" s="196"/>
      <c r="F2009" s="196"/>
      <c r="G2009" s="168">
        <f>SUMIFS(Таблица1[[#This Row],[8]:[19]],$I$5:$T$5,"Выкуп")</f>
        <v>0</v>
      </c>
      <c r="H2009" s="168">
        <f>SUMIFS(Таблица1[[#This Row],[8]:[19]],$I$5:$T$5,"Аренда")</f>
        <v>0</v>
      </c>
      <c r="I2009" s="196"/>
      <c r="J2009" s="196"/>
      <c r="K2009" s="196"/>
      <c r="L2009" s="196"/>
      <c r="M2009" s="196"/>
      <c r="N2009" s="196"/>
      <c r="O2009" s="196"/>
      <c r="P2009" s="196"/>
      <c r="Q2009" s="196"/>
      <c r="R2009" s="196"/>
      <c r="S2009" s="196"/>
      <c r="T2009" s="196"/>
      <c r="U2009" s="196"/>
      <c r="V2009" s="198"/>
    </row>
    <row r="2010" spans="1:22" ht="15" outlineLevel="1" collapsed="1" x14ac:dyDescent="0.25">
      <c r="A2010" s="186">
        <f>SUMIFS(МКД!$A$6:$A$389,МКД!$D$6:$D$389,Таблица1[[#This Row],[2]])</f>
        <v>359</v>
      </c>
      <c r="B2010" s="194">
        <f>SUMIFS(Таблица1[6],Таблица1[2],Таблица1[[#This Row],[2]])+SUMIFS(Таблица1[7],Таблица1[2],Таблица1[[#This Row],[2]])</f>
        <v>0</v>
      </c>
      <c r="C2010" s="185" t="s">
        <v>620</v>
      </c>
      <c r="D2010" s="196"/>
      <c r="E2010" s="196"/>
      <c r="F2010" s="196"/>
      <c r="G2010" s="168"/>
      <c r="H2010" s="197"/>
      <c r="I2010" s="196"/>
      <c r="J2010" s="196"/>
      <c r="K2010" s="196"/>
      <c r="L2010" s="196"/>
      <c r="M2010" s="196"/>
      <c r="N2010" s="196"/>
      <c r="O2010" s="196"/>
      <c r="P2010" s="196"/>
      <c r="Q2010" s="196"/>
      <c r="R2010" s="196"/>
      <c r="S2010" s="196"/>
      <c r="T2010" s="196"/>
      <c r="U2010" s="196"/>
      <c r="V2010" s="198"/>
    </row>
    <row r="2011" spans="1:22" ht="15" hidden="1" outlineLevel="2" x14ac:dyDescent="0.25">
      <c r="A2011" s="186">
        <f>SUMIFS(МКД!$A$6:$A$389,МКД!$D$6:$D$389,Таблица1[[#This Row],[2]])</f>
        <v>359</v>
      </c>
      <c r="B2011" s="196"/>
      <c r="C2011" s="182" t="s">
        <v>620</v>
      </c>
      <c r="D2011" s="196"/>
      <c r="E2011" s="196"/>
      <c r="F2011" s="196"/>
      <c r="G2011" s="168">
        <f>SUMIFS(Таблица1[[#This Row],[8]:[19]],$I$5:$T$5,"Выкуп")</f>
        <v>0</v>
      </c>
      <c r="H2011" s="168">
        <f>SUMIFS(Таблица1[[#This Row],[8]:[19]],$I$5:$T$5,"Аренда")</f>
        <v>0</v>
      </c>
      <c r="I2011" s="196"/>
      <c r="J2011" s="196"/>
      <c r="K2011" s="196"/>
      <c r="L2011" s="196"/>
      <c r="M2011" s="196"/>
      <c r="N2011" s="196"/>
      <c r="O2011" s="196"/>
      <c r="P2011" s="196"/>
      <c r="Q2011" s="196"/>
      <c r="R2011" s="196"/>
      <c r="S2011" s="196"/>
      <c r="T2011" s="196"/>
      <c r="U2011" s="196"/>
      <c r="V2011" s="198"/>
    </row>
    <row r="2012" spans="1:22" ht="15" outlineLevel="1" collapsed="1" x14ac:dyDescent="0.25">
      <c r="A2012" s="186">
        <f>SUMIFS(МКД!$A$6:$A$389,МКД!$D$6:$D$389,Таблица1[[#This Row],[2]])</f>
        <v>360</v>
      </c>
      <c r="B2012" s="194">
        <f>SUMIFS(Таблица1[6],Таблица1[2],Таблица1[[#This Row],[2]])+SUMIFS(Таблица1[7],Таблица1[2],Таблица1[[#This Row],[2]])</f>
        <v>147.1</v>
      </c>
      <c r="C2012" s="185" t="s">
        <v>496</v>
      </c>
      <c r="D2012" s="196"/>
      <c r="E2012" s="196"/>
      <c r="F2012" s="196"/>
      <c r="G2012" s="168"/>
      <c r="H2012" s="197"/>
      <c r="I2012" s="196"/>
      <c r="J2012" s="196"/>
      <c r="K2012" s="196"/>
      <c r="L2012" s="196"/>
      <c r="M2012" s="196"/>
      <c r="N2012" s="196"/>
      <c r="O2012" s="196"/>
      <c r="P2012" s="196"/>
      <c r="Q2012" s="196"/>
      <c r="R2012" s="196"/>
      <c r="S2012" s="196"/>
      <c r="T2012" s="196"/>
      <c r="U2012" s="196"/>
      <c r="V2012" s="198"/>
    </row>
    <row r="2013" spans="1:22" ht="15" hidden="1" outlineLevel="2" x14ac:dyDescent="0.25">
      <c r="A2013" s="186">
        <f>SUMIFS(МКД!$A$6:$A$389,МКД!$D$6:$D$389,Таблица1[[#This Row],[2]])</f>
        <v>360</v>
      </c>
      <c r="B2013" s="196"/>
      <c r="C2013" s="182" t="s">
        <v>496</v>
      </c>
      <c r="D2013" s="373" t="s">
        <v>1053</v>
      </c>
      <c r="E2013" s="167" t="s">
        <v>2827</v>
      </c>
      <c r="F2013" s="196"/>
      <c r="G2013" s="168">
        <f>SUMIFS(Таблица1[[#This Row],[8]:[19]],$I$5:$T$5,"Выкуп")</f>
        <v>147.1</v>
      </c>
      <c r="H2013" s="168">
        <f>SUMIFS(Таблица1[[#This Row],[8]:[19]],$I$5:$T$5,"Аренда")</f>
        <v>0</v>
      </c>
      <c r="I2013" s="196"/>
      <c r="J2013" s="196"/>
      <c r="K2013" s="196"/>
      <c r="L2013" s="196"/>
      <c r="M2013" s="376">
        <v>147.1</v>
      </c>
      <c r="N2013" s="196"/>
      <c r="O2013" s="196"/>
      <c r="P2013" s="196"/>
      <c r="Q2013" s="196"/>
      <c r="R2013" s="196"/>
      <c r="S2013" s="196"/>
      <c r="T2013" s="196"/>
      <c r="U2013" s="196"/>
      <c r="V2013" s="198"/>
    </row>
    <row r="2014" spans="1:22" ht="15" outlineLevel="1" collapsed="1" x14ac:dyDescent="0.25">
      <c r="A2014" s="186">
        <f>SUMIFS(МКД!$A$6:$A$389,МКД!$D$6:$D$389,Таблица1[[#This Row],[2]])</f>
        <v>375</v>
      </c>
      <c r="B2014" s="194">
        <f>SUMIFS(Таблица1[6],Таблица1[2],Таблица1[[#This Row],[2]])+SUMIFS(Таблица1[7],Таблица1[2],Таблица1[[#This Row],[2]])</f>
        <v>255.39999999999998</v>
      </c>
      <c r="C2014" s="185" t="s">
        <v>419</v>
      </c>
      <c r="D2014" s="196"/>
      <c r="E2014" s="196"/>
      <c r="F2014" s="196"/>
      <c r="G2014" s="168"/>
      <c r="H2014" s="197"/>
      <c r="I2014" s="196"/>
      <c r="J2014" s="196"/>
      <c r="K2014" s="196"/>
      <c r="L2014" s="196"/>
      <c r="M2014" s="196"/>
      <c r="N2014" s="196"/>
      <c r="O2014" s="196"/>
      <c r="P2014" s="196"/>
      <c r="Q2014" s="196"/>
      <c r="R2014" s="196"/>
      <c r="S2014" s="196"/>
      <c r="T2014" s="196"/>
      <c r="U2014" s="196"/>
      <c r="V2014" s="198"/>
    </row>
    <row r="2015" spans="1:22" s="21" customFormat="1" hidden="1" outlineLevel="2" x14ac:dyDescent="0.25">
      <c r="A2015" s="186">
        <f>SUMIFS(МКД!$A$6:$A$389,МКД!$D$6:$D$389,Таблица1[[#This Row],[2]])</f>
        <v>375</v>
      </c>
      <c r="B2015" s="170"/>
      <c r="C2015" s="182" t="s">
        <v>419</v>
      </c>
      <c r="D2015" s="167" t="s">
        <v>1529</v>
      </c>
      <c r="E2015" s="167" t="s">
        <v>218</v>
      </c>
      <c r="F2015" s="167"/>
      <c r="G2015" s="168">
        <f>SUMIFS(Таблица1[[#This Row],[8]:[19]],$I$5:$T$5,"Выкуп")</f>
        <v>47.2</v>
      </c>
      <c r="H2015" s="168">
        <f>SUMIFS(Таблица1[[#This Row],[8]:[19]],$I$5:$T$5,"Аренда")</f>
        <v>0</v>
      </c>
      <c r="I2015" s="169">
        <v>47.2</v>
      </c>
      <c r="J2015" s="169"/>
      <c r="K2015" s="169"/>
      <c r="L2015" s="169"/>
      <c r="M2015" s="169"/>
      <c r="N2015" s="169"/>
      <c r="O2015" s="169"/>
      <c r="P2015" s="169"/>
      <c r="Q2015" s="169"/>
      <c r="R2015" s="169"/>
      <c r="S2015" s="169"/>
      <c r="T2015" s="169"/>
      <c r="U2015" s="170"/>
      <c r="V2015" s="171"/>
    </row>
    <row r="2016" spans="1:22" hidden="1" outlineLevel="2" x14ac:dyDescent="0.25">
      <c r="A2016" s="186">
        <f>SUMIFS(МКД!$A$6:$A$389,МКД!$D$6:$D$389,Таблица1[[#This Row],[2]])</f>
        <v>375</v>
      </c>
      <c r="B2016" s="170"/>
      <c r="C2016" s="182" t="s">
        <v>419</v>
      </c>
      <c r="D2016" s="167"/>
      <c r="E2016" s="167" t="s">
        <v>1721</v>
      </c>
      <c r="F2016" s="167">
        <v>1</v>
      </c>
      <c r="G2016" s="168">
        <f>SUMIFS(Таблица1[[#This Row],[8]:[19]],$I$5:$T$5,"Выкуп")</f>
        <v>0</v>
      </c>
      <c r="H2016" s="168">
        <f>SUMIFS(Таблица1[[#This Row],[8]:[19]],$I$5:$T$5,"Аренда")</f>
        <v>0</v>
      </c>
      <c r="I2016" s="169"/>
      <c r="J2016" s="169"/>
      <c r="K2016" s="169"/>
      <c r="L2016" s="169"/>
      <c r="M2016" s="169"/>
      <c r="N2016" s="169"/>
      <c r="O2016" s="169"/>
      <c r="P2016" s="169">
        <f>11.1*0</f>
        <v>0</v>
      </c>
      <c r="Q2016" s="169"/>
      <c r="R2016" s="169"/>
      <c r="S2016" s="169"/>
      <c r="T2016" s="169"/>
      <c r="U2016" s="170"/>
      <c r="V2016" s="171"/>
    </row>
    <row r="2017" spans="1:22" s="21" customFormat="1" hidden="1" outlineLevel="2" x14ac:dyDescent="0.25">
      <c r="A2017" s="186">
        <f>SUMIFS(МКД!$A$6:$A$389,МКД!$D$6:$D$389,Таблица1[[#This Row],[2]])</f>
        <v>375</v>
      </c>
      <c r="B2017" s="170"/>
      <c r="C2017" s="182" t="s">
        <v>419</v>
      </c>
      <c r="D2017" s="167" t="s">
        <v>1053</v>
      </c>
      <c r="E2017" s="167" t="s">
        <v>2752</v>
      </c>
      <c r="F2017" s="167"/>
      <c r="G2017" s="168">
        <f>SUMIFS(Таблица1[[#This Row],[8]:[19]],$I$5:$T$5,"Выкуп")</f>
        <v>208.2</v>
      </c>
      <c r="H2017" s="168">
        <f>SUMIFS(Таблица1[[#This Row],[8]:[19]],$I$5:$T$5,"Аренда")</f>
        <v>0</v>
      </c>
      <c r="I2017" s="169"/>
      <c r="J2017" s="169"/>
      <c r="K2017" s="169"/>
      <c r="L2017" s="169"/>
      <c r="M2017" s="278">
        <v>208.2</v>
      </c>
      <c r="N2017" s="169"/>
      <c r="O2017" s="169"/>
      <c r="P2017" s="169"/>
      <c r="Q2017" s="169"/>
      <c r="R2017" s="169"/>
      <c r="S2017" s="169"/>
      <c r="T2017" s="169"/>
      <c r="U2017" s="170"/>
      <c r="V2017" s="171"/>
    </row>
    <row r="2018" spans="1:22" s="21" customFormat="1" ht="15" outlineLevel="1" collapsed="1" x14ac:dyDescent="0.25">
      <c r="A2018" s="186">
        <f>SUMIFS(МКД!$A$6:$A$389,МКД!$D$6:$D$389,Таблица1[[#This Row],[2]])</f>
        <v>377</v>
      </c>
      <c r="B2018" s="194">
        <f>SUMIFS(Таблица1[6],Таблица1[2],Таблица1[[#This Row],[2]])+SUMIFS(Таблица1[7],Таблица1[2],Таблица1[[#This Row],[2]])</f>
        <v>104.9</v>
      </c>
      <c r="C2018" s="185" t="s">
        <v>420</v>
      </c>
      <c r="D2018" s="196"/>
      <c r="E2018" s="196"/>
      <c r="F2018" s="196"/>
      <c r="G2018" s="168"/>
      <c r="H2018" s="197"/>
      <c r="I2018" s="196"/>
      <c r="J2018" s="196"/>
      <c r="K2018" s="196"/>
      <c r="L2018" s="196"/>
      <c r="M2018" s="196"/>
      <c r="N2018" s="196"/>
      <c r="O2018" s="196"/>
      <c r="P2018" s="196"/>
      <c r="Q2018" s="196"/>
      <c r="R2018" s="196"/>
      <c r="S2018" s="196"/>
      <c r="T2018" s="196"/>
      <c r="U2018" s="196"/>
      <c r="V2018" s="198"/>
    </row>
    <row r="2019" spans="1:22" hidden="1" outlineLevel="2" x14ac:dyDescent="0.25">
      <c r="A2019" s="186">
        <f>SUMIFS(МКД!$A$6:$A$389,МКД!$D$6:$D$389,Таблица1[[#This Row],[2]])</f>
        <v>377</v>
      </c>
      <c r="B2019" s="170"/>
      <c r="C2019" s="182" t="s">
        <v>420</v>
      </c>
      <c r="D2019" s="167" t="s">
        <v>2811</v>
      </c>
      <c r="E2019" s="167" t="s">
        <v>2810</v>
      </c>
      <c r="F2019" s="167">
        <v>1</v>
      </c>
      <c r="G2019" s="168">
        <f>SUMIFS(Таблица1[[#This Row],[8]:[19]],$I$5:$T$5,"Выкуп")</f>
        <v>104.9</v>
      </c>
      <c r="H2019" s="168">
        <f>SUMIFS(Таблица1[[#This Row],[8]:[19]],$I$5:$T$5,"Аренда")</f>
        <v>0</v>
      </c>
      <c r="I2019" s="169">
        <v>104.9</v>
      </c>
      <c r="J2019" s="169"/>
      <c r="K2019" s="169"/>
      <c r="L2019" s="169"/>
      <c r="M2019" s="169"/>
      <c r="N2019" s="169"/>
      <c r="O2019" s="169"/>
      <c r="P2019" s="169"/>
      <c r="Q2019" s="169"/>
      <c r="R2019" s="169"/>
      <c r="S2019" s="169"/>
      <c r="T2019" s="169"/>
      <c r="U2019" s="170"/>
      <c r="V2019" s="195"/>
    </row>
    <row r="2020" spans="1:22" ht="15" outlineLevel="1" collapsed="1" x14ac:dyDescent="0.25">
      <c r="A2020" s="186">
        <f>SUMIFS(МКД!$A$6:$A$389,МКД!$D$6:$D$389,Таблица1[[#This Row],[2]])</f>
        <v>378</v>
      </c>
      <c r="B2020" s="194">
        <f>SUMIFS(Таблица1[6],Таблица1[2],Таблица1[[#This Row],[2]])+SUMIFS(Таблица1[7],Таблица1[2],Таблица1[[#This Row],[2]])</f>
        <v>170.9</v>
      </c>
      <c r="C2020" s="185" t="s">
        <v>421</v>
      </c>
      <c r="D2020" s="196"/>
      <c r="E2020" s="196"/>
      <c r="F2020" s="196"/>
      <c r="G2020" s="168"/>
      <c r="H2020" s="197"/>
      <c r="I2020" s="196"/>
      <c r="J2020" s="196"/>
      <c r="K2020" s="196"/>
      <c r="L2020" s="196"/>
      <c r="M2020" s="196"/>
      <c r="N2020" s="196"/>
      <c r="O2020" s="196"/>
      <c r="P2020" s="196"/>
      <c r="Q2020" s="196"/>
      <c r="R2020" s="196"/>
      <c r="S2020" s="196"/>
      <c r="T2020" s="196"/>
      <c r="U2020" s="196"/>
      <c r="V2020" s="198"/>
    </row>
    <row r="2021" spans="1:22" s="21" customFormat="1" hidden="1" outlineLevel="2" x14ac:dyDescent="0.25">
      <c r="A2021" s="186">
        <f>SUMIFS(МКД!$A$6:$A$389,МКД!$D$6:$D$389,Таблица1[[#This Row],[2]])</f>
        <v>378</v>
      </c>
      <c r="B2021" s="170"/>
      <c r="C2021" s="182" t="s">
        <v>421</v>
      </c>
      <c r="D2021" s="167" t="s">
        <v>74</v>
      </c>
      <c r="E2021" s="167" t="s">
        <v>2536</v>
      </c>
      <c r="F2021" s="167">
        <v>1</v>
      </c>
      <c r="G2021" s="168">
        <f>SUMIFS(Таблица1[[#This Row],[8]:[19]],$I$5:$T$5,"Выкуп")</f>
        <v>50.3</v>
      </c>
      <c r="H2021" s="168">
        <f>SUMIFS(Таблица1[[#This Row],[8]:[19]],$I$5:$T$5,"Аренда")</f>
        <v>0</v>
      </c>
      <c r="I2021" s="169">
        <v>50.3</v>
      </c>
      <c r="J2021" s="169"/>
      <c r="K2021" s="167"/>
      <c r="L2021" s="169"/>
      <c r="M2021" s="169"/>
      <c r="N2021" s="169"/>
      <c r="O2021" s="169"/>
      <c r="P2021" s="169"/>
      <c r="Q2021" s="169"/>
      <c r="R2021" s="169"/>
      <c r="S2021" s="169"/>
      <c r="T2021" s="169"/>
      <c r="U2021" s="170"/>
      <c r="V2021" s="171"/>
    </row>
    <row r="2022" spans="1:22" s="21" customFormat="1" hidden="1" outlineLevel="2" x14ac:dyDescent="0.25">
      <c r="A2022" s="186">
        <f>SUMIFS(МКД!$A$6:$A$389,МКД!$D$6:$D$389,Таблица1[[#This Row],[2]])</f>
        <v>378</v>
      </c>
      <c r="B2022" s="168"/>
      <c r="C2022" s="182" t="s">
        <v>421</v>
      </c>
      <c r="D2022" s="167" t="s">
        <v>74</v>
      </c>
      <c r="E2022" s="167" t="s">
        <v>2537</v>
      </c>
      <c r="F2022" s="167">
        <v>1</v>
      </c>
      <c r="G2022" s="168">
        <f>SUMIFS(Таблица1[[#This Row],[8]:[19]],$I$5:$T$5,"Выкуп")</f>
        <v>46.7</v>
      </c>
      <c r="H2022" s="168">
        <f>SUMIFS(Таблица1[[#This Row],[8]:[19]],$I$5:$T$5,"Аренда")</f>
        <v>0</v>
      </c>
      <c r="I2022" s="169">
        <v>46.7</v>
      </c>
      <c r="J2022" s="169"/>
      <c r="K2022" s="169"/>
      <c r="L2022" s="169"/>
      <c r="M2022" s="169"/>
      <c r="N2022" s="169"/>
      <c r="O2022" s="169"/>
      <c r="P2022" s="169"/>
      <c r="Q2022" s="169"/>
      <c r="R2022" s="169"/>
      <c r="S2022" s="169"/>
      <c r="T2022" s="169"/>
      <c r="U2022" s="170"/>
      <c r="V2022" s="195"/>
    </row>
    <row r="2023" spans="1:22" s="21" customFormat="1" hidden="1" outlineLevel="2" x14ac:dyDescent="0.25">
      <c r="A2023" s="186">
        <f>SUMIFS(МКД!$A$6:$A$389,МКД!$D$6:$D$389,Таблица1[[#This Row],[2]])</f>
        <v>378</v>
      </c>
      <c r="B2023" s="168"/>
      <c r="C2023" s="182" t="s">
        <v>421</v>
      </c>
      <c r="D2023" s="167" t="s">
        <v>74</v>
      </c>
      <c r="E2023" s="167" t="s">
        <v>2538</v>
      </c>
      <c r="F2023" s="167">
        <v>1</v>
      </c>
      <c r="G2023" s="168">
        <f>SUMIFS(Таблица1[[#This Row],[8]:[19]],$I$5:$T$5,"Выкуп")</f>
        <v>0</v>
      </c>
      <c r="H2023" s="168">
        <f>SUMIFS(Таблица1[[#This Row],[8]:[19]],$I$5:$T$5,"Аренда")</f>
        <v>11.1</v>
      </c>
      <c r="I2023" s="169"/>
      <c r="J2023" s="169"/>
      <c r="K2023" s="169"/>
      <c r="L2023" s="169"/>
      <c r="M2023" s="169"/>
      <c r="N2023" s="169"/>
      <c r="O2023" s="169"/>
      <c r="P2023" s="169">
        <v>11.1</v>
      </c>
      <c r="Q2023" s="169"/>
      <c r="R2023" s="169"/>
      <c r="S2023" s="169"/>
      <c r="T2023" s="169"/>
      <c r="U2023" s="170"/>
      <c r="V2023" s="195"/>
    </row>
    <row r="2024" spans="1:22" hidden="1" outlineLevel="2" x14ac:dyDescent="0.25">
      <c r="A2024" s="186">
        <f>SUMIFS(МКД!$A$6:$A$389,МКД!$D$6:$D$389,Таблица1[[#This Row],[2]])</f>
        <v>378</v>
      </c>
      <c r="B2024" s="168"/>
      <c r="C2024" s="182" t="s">
        <v>421</v>
      </c>
      <c r="D2024" s="167" t="s">
        <v>1053</v>
      </c>
      <c r="E2024" s="167" t="s">
        <v>828</v>
      </c>
      <c r="F2024" s="167">
        <v>1</v>
      </c>
      <c r="G2024" s="168">
        <f>SUMIFS(Таблица1[[#This Row],[8]:[19]],$I$5:$T$5,"Выкуп")</f>
        <v>62.8</v>
      </c>
      <c r="H2024" s="168">
        <f>SUMIFS(Таблица1[[#This Row],[8]:[19]],$I$5:$T$5,"Аренда")</f>
        <v>0</v>
      </c>
      <c r="I2024" s="168"/>
      <c r="J2024" s="169"/>
      <c r="K2024" s="169">
        <v>62.8</v>
      </c>
      <c r="L2024" s="169"/>
      <c r="M2024" s="169"/>
      <c r="N2024" s="169"/>
      <c r="O2024" s="169"/>
      <c r="P2024" s="169"/>
      <c r="Q2024" s="169"/>
      <c r="R2024" s="169"/>
      <c r="S2024" s="169"/>
      <c r="T2024" s="169"/>
      <c r="U2024" s="170"/>
      <c r="V2024" s="195"/>
    </row>
    <row r="2025" spans="1:22" ht="15" outlineLevel="1" collapsed="1" x14ac:dyDescent="0.25">
      <c r="A2025" s="186">
        <f>SUMIFS(МКД!$A$6:$A$389,МКД!$D$6:$D$389,Таблица1[[#This Row],[2]])</f>
        <v>379</v>
      </c>
      <c r="B2025" s="194">
        <f>SUMIFS(Таблица1[6],Таблица1[2],Таблица1[[#This Row],[2]])+SUMIFS(Таблица1[7],Таблица1[2],Таблица1[[#This Row],[2]])</f>
        <v>219</v>
      </c>
      <c r="C2025" s="185" t="s">
        <v>422</v>
      </c>
      <c r="D2025" s="196"/>
      <c r="E2025" s="196"/>
      <c r="F2025" s="196"/>
      <c r="G2025" s="168"/>
      <c r="H2025" s="197"/>
      <c r="I2025" s="196"/>
      <c r="J2025" s="196"/>
      <c r="K2025" s="196"/>
      <c r="L2025" s="196"/>
      <c r="M2025" s="196"/>
      <c r="N2025" s="196"/>
      <c r="O2025" s="196"/>
      <c r="P2025" s="196"/>
      <c r="Q2025" s="196"/>
      <c r="R2025" s="196"/>
      <c r="S2025" s="196"/>
      <c r="T2025" s="196"/>
      <c r="U2025" s="196"/>
      <c r="V2025" s="198"/>
    </row>
    <row r="2026" spans="1:22" ht="15" hidden="1" outlineLevel="2" x14ac:dyDescent="0.25">
      <c r="A2026" s="186">
        <f>SUMIFS(МКД!$A$6:$A$389,МКД!$D$6:$D$389,Таблица1[[#This Row],[2]])</f>
        <v>379</v>
      </c>
      <c r="B2026" s="196"/>
      <c r="C2026" s="182" t="s">
        <v>422</v>
      </c>
      <c r="D2026" s="196" t="s">
        <v>1053</v>
      </c>
      <c r="E2026" s="373" t="s">
        <v>2752</v>
      </c>
      <c r="F2026" s="196"/>
      <c r="G2026" s="168">
        <f>SUMIFS(Таблица1[[#This Row],[8]:[19]],$I$5:$T$5,"Выкуп")</f>
        <v>219</v>
      </c>
      <c r="H2026" s="168">
        <f>SUMIFS(Таблица1[[#This Row],[8]:[19]],$I$5:$T$5,"Аренда")</f>
        <v>0</v>
      </c>
      <c r="I2026" s="196"/>
      <c r="J2026" s="196"/>
      <c r="K2026" s="196"/>
      <c r="L2026" s="196"/>
      <c r="M2026" s="277">
        <v>219</v>
      </c>
      <c r="N2026" s="196"/>
      <c r="O2026" s="196"/>
      <c r="P2026" s="196"/>
      <c r="Q2026" s="196"/>
      <c r="R2026" s="196"/>
      <c r="S2026" s="196"/>
      <c r="T2026" s="196"/>
      <c r="U2026" s="196"/>
      <c r="V2026" s="198"/>
    </row>
    <row r="2027" spans="1:22" ht="15" outlineLevel="1" collapsed="1" x14ac:dyDescent="0.25">
      <c r="A2027" s="186">
        <f>SUMIFS(МКД!$A$6:$A$389,МКД!$D$6:$D$389,Таблица1[[#This Row],[2]])</f>
        <v>380</v>
      </c>
      <c r="B2027" s="194">
        <f>SUMIFS(Таблица1[6],Таблица1[2],Таблица1[[#This Row],[2]])+SUMIFS(Таблица1[7],Таблица1[2],Таблица1[[#This Row],[2]])</f>
        <v>412.30000000000007</v>
      </c>
      <c r="C2027" s="185" t="s">
        <v>423</v>
      </c>
      <c r="D2027" s="196"/>
      <c r="E2027" s="196"/>
      <c r="F2027" s="196"/>
      <c r="G2027" s="168"/>
      <c r="H2027" s="197"/>
      <c r="I2027" s="196"/>
      <c r="J2027" s="196"/>
      <c r="K2027" s="196"/>
      <c r="L2027" s="196"/>
      <c r="M2027" s="196"/>
      <c r="N2027" s="196"/>
      <c r="O2027" s="196"/>
      <c r="P2027" s="196"/>
      <c r="Q2027" s="196"/>
      <c r="R2027" s="196"/>
      <c r="S2027" s="196"/>
      <c r="T2027" s="196"/>
      <c r="U2027" s="196"/>
      <c r="V2027" s="198"/>
    </row>
    <row r="2028" spans="1:22" hidden="1" outlineLevel="2" x14ac:dyDescent="0.25">
      <c r="A2028" s="186">
        <f>SUMIFS(МКД!$A$6:$A$389,МКД!$D$6:$D$389,Таблица1[[#This Row],[2]])</f>
        <v>380</v>
      </c>
      <c r="B2028" s="170"/>
      <c r="C2028" s="182" t="s">
        <v>423</v>
      </c>
      <c r="D2028" s="167" t="s">
        <v>75</v>
      </c>
      <c r="E2028" s="167" t="s">
        <v>2681</v>
      </c>
      <c r="F2028" s="167">
        <v>1</v>
      </c>
      <c r="G2028" s="168">
        <f>SUMIFS(Таблица1[[#This Row],[8]:[19]],$I$5:$T$5,"Выкуп")</f>
        <v>54.7</v>
      </c>
      <c r="H2028" s="168">
        <f>SUMIFS(Таблица1[[#This Row],[8]:[19]],$I$5:$T$5,"Аренда")</f>
        <v>0</v>
      </c>
      <c r="I2028" s="169">
        <v>54.7</v>
      </c>
      <c r="J2028" s="169"/>
      <c r="K2028" s="167"/>
      <c r="L2028" s="167"/>
      <c r="M2028" s="167"/>
      <c r="N2028" s="167"/>
      <c r="O2028" s="169"/>
      <c r="P2028" s="169"/>
      <c r="Q2028" s="169"/>
      <c r="R2028" s="169"/>
      <c r="S2028" s="169"/>
      <c r="T2028" s="169"/>
      <c r="U2028" s="170"/>
      <c r="V2028" s="171"/>
    </row>
    <row r="2029" spans="1:22" hidden="1" outlineLevel="2" x14ac:dyDescent="0.25">
      <c r="A2029" s="186">
        <f>SUMIFS(МКД!$A$6:$A$389,МКД!$D$6:$D$389,Таблица1[[#This Row],[2]])</f>
        <v>380</v>
      </c>
      <c r="B2029" s="168"/>
      <c r="C2029" s="182" t="s">
        <v>423</v>
      </c>
      <c r="D2029" s="167" t="s">
        <v>2678</v>
      </c>
      <c r="E2029" s="167" t="s">
        <v>2679</v>
      </c>
      <c r="F2029" s="167">
        <v>1</v>
      </c>
      <c r="G2029" s="168">
        <f>SUMIFS(Таблица1[[#This Row],[8]:[19]],$I$5:$T$5,"Выкуп")</f>
        <v>44.5</v>
      </c>
      <c r="H2029" s="168">
        <f>SUMIFS(Таблица1[[#This Row],[8]:[19]],$I$5:$T$5,"Аренда")</f>
        <v>0</v>
      </c>
      <c r="I2029" s="169">
        <v>44.5</v>
      </c>
      <c r="J2029" s="169"/>
      <c r="K2029" s="169"/>
      <c r="L2029" s="169"/>
      <c r="M2029" s="169"/>
      <c r="N2029" s="169"/>
      <c r="O2029" s="169"/>
      <c r="P2029" s="169"/>
      <c r="Q2029" s="169"/>
      <c r="R2029" s="169"/>
      <c r="S2029" s="169"/>
      <c r="T2029" s="169"/>
      <c r="U2029" s="170"/>
      <c r="V2029" s="171"/>
    </row>
    <row r="2030" spans="1:22" s="21" customFormat="1" hidden="1" outlineLevel="2" x14ac:dyDescent="0.25">
      <c r="A2030" s="186">
        <f>SUMIFS(МКД!$A$6:$A$389,МКД!$D$6:$D$389,Таблица1[[#This Row],[2]])</f>
        <v>380</v>
      </c>
      <c r="B2030" s="168"/>
      <c r="C2030" s="182" t="s">
        <v>423</v>
      </c>
      <c r="D2030" s="167" t="s">
        <v>2678</v>
      </c>
      <c r="E2030" s="167" t="s">
        <v>2682</v>
      </c>
      <c r="F2030" s="167">
        <v>1</v>
      </c>
      <c r="G2030" s="168">
        <f>SUMIFS(Таблица1[[#This Row],[8]:[19]],$I$5:$T$5,"Выкуп")</f>
        <v>0</v>
      </c>
      <c r="H2030" s="168">
        <f>SUMIFS(Таблица1[[#This Row],[8]:[19]],$I$5:$T$5,"Аренда")</f>
        <v>14.8</v>
      </c>
      <c r="I2030" s="169"/>
      <c r="J2030" s="169"/>
      <c r="K2030" s="169"/>
      <c r="L2030" s="169"/>
      <c r="M2030" s="169"/>
      <c r="N2030" s="169"/>
      <c r="O2030" s="167"/>
      <c r="P2030" s="169">
        <v>14.8</v>
      </c>
      <c r="Q2030" s="169"/>
      <c r="R2030" s="169"/>
      <c r="S2030" s="169"/>
      <c r="T2030" s="169"/>
      <c r="U2030" s="170"/>
      <c r="V2030" s="171"/>
    </row>
    <row r="2031" spans="1:22" s="21" customFormat="1" hidden="1" outlineLevel="2" x14ac:dyDescent="0.25">
      <c r="A2031" s="186">
        <f>SUMIFS(МКД!$A$6:$A$389,МКД!$D$6:$D$389,Таблица1[[#This Row],[2]])</f>
        <v>380</v>
      </c>
      <c r="B2031" s="168"/>
      <c r="C2031" s="182" t="s">
        <v>423</v>
      </c>
      <c r="D2031" s="167" t="s">
        <v>1636</v>
      </c>
      <c r="E2031" s="167" t="s">
        <v>2680</v>
      </c>
      <c r="F2031" s="167">
        <v>1</v>
      </c>
      <c r="G2031" s="168">
        <f>SUMIFS(Таблица1[[#This Row],[8]:[19]],$I$5:$T$5,"Выкуп")</f>
        <v>76.099999999999994</v>
      </c>
      <c r="H2031" s="168">
        <f>SUMIFS(Таблица1[[#This Row],[8]:[19]],$I$5:$T$5,"Аренда")</f>
        <v>0</v>
      </c>
      <c r="I2031" s="169">
        <v>76.099999999999994</v>
      </c>
      <c r="J2031" s="169"/>
      <c r="K2031" s="169"/>
      <c r="L2031" s="169"/>
      <c r="M2031" s="169"/>
      <c r="N2031" s="169"/>
      <c r="O2031" s="169"/>
      <c r="P2031" s="169"/>
      <c r="Q2031" s="169"/>
      <c r="R2031" s="169"/>
      <c r="S2031" s="169"/>
      <c r="T2031" s="169"/>
      <c r="U2031" s="170"/>
      <c r="V2031" s="195"/>
    </row>
    <row r="2032" spans="1:22" s="21" customFormat="1" hidden="1" outlineLevel="2" x14ac:dyDescent="0.25">
      <c r="A2032" s="186">
        <f>SUMIFS(МКД!$A$6:$A$389,МКД!$D$6:$D$389,Таблица1[[#This Row],[2]])</f>
        <v>380</v>
      </c>
      <c r="B2032" s="168"/>
      <c r="C2032" s="182" t="s">
        <v>423</v>
      </c>
      <c r="D2032" s="167" t="s">
        <v>1636</v>
      </c>
      <c r="E2032" s="167" t="s">
        <v>2683</v>
      </c>
      <c r="F2032" s="167">
        <v>1</v>
      </c>
      <c r="G2032" s="168">
        <f>SUMIFS(Таблица1[[#This Row],[8]:[19]],$I$5:$T$5,"Выкуп")</f>
        <v>0</v>
      </c>
      <c r="H2032" s="168">
        <f>SUMIFS(Таблица1[[#This Row],[8]:[19]],$I$5:$T$5,"Аренда")</f>
        <v>13.8</v>
      </c>
      <c r="I2032" s="169"/>
      <c r="J2032" s="169"/>
      <c r="K2032" s="169"/>
      <c r="L2032" s="169"/>
      <c r="M2032" s="169"/>
      <c r="N2032" s="169"/>
      <c r="O2032" s="169"/>
      <c r="P2032" s="169">
        <v>13.8</v>
      </c>
      <c r="Q2032" s="169"/>
      <c r="R2032" s="169"/>
      <c r="S2032" s="169"/>
      <c r="T2032" s="169"/>
      <c r="U2032" s="170"/>
      <c r="V2032" s="195"/>
    </row>
    <row r="2033" spans="1:22" s="21" customFormat="1" hidden="1" outlineLevel="2" x14ac:dyDescent="0.25">
      <c r="A2033" s="186">
        <f>SUMIFS(МКД!$A$6:$A$389,МКД!$D$6:$D$389,Таблица1[[#This Row],[2]])</f>
        <v>380</v>
      </c>
      <c r="B2033" s="168"/>
      <c r="C2033" s="182" t="s">
        <v>423</v>
      </c>
      <c r="D2033" s="167" t="s">
        <v>1394</v>
      </c>
      <c r="E2033" s="167" t="s">
        <v>2752</v>
      </c>
      <c r="F2033" s="167">
        <v>1</v>
      </c>
      <c r="G2033" s="168">
        <f>SUMIFS(Таблица1[[#This Row],[8]:[19]],$I$5:$T$5,"Выкуп")</f>
        <v>208.4</v>
      </c>
      <c r="H2033" s="168">
        <f>SUMIFS(Таблица1[[#This Row],[8]:[19]],$I$5:$T$5,"Аренда")</f>
        <v>0</v>
      </c>
      <c r="I2033" s="169"/>
      <c r="J2033" s="169"/>
      <c r="K2033" s="169"/>
      <c r="L2033" s="169"/>
      <c r="M2033" s="169">
        <v>208.4</v>
      </c>
      <c r="N2033" s="169"/>
      <c r="O2033" s="169"/>
      <c r="P2033" s="169"/>
      <c r="Q2033" s="169"/>
      <c r="R2033" s="169"/>
      <c r="S2033" s="169"/>
      <c r="T2033" s="169"/>
      <c r="U2033" s="170"/>
      <c r="V2033" s="195"/>
    </row>
    <row r="2034" spans="1:22" s="21" customFormat="1" ht="15" outlineLevel="1" collapsed="1" x14ac:dyDescent="0.25">
      <c r="A2034" s="186">
        <f>SUMIFS(МКД!$A$6:$A$389,МКД!$D$6:$D$389,Таблица1[[#This Row],[2]])</f>
        <v>381</v>
      </c>
      <c r="B2034" s="194">
        <f>SUMIFS(Таблица1[6],Таблица1[2],Таблица1[[#This Row],[2]])+SUMIFS(Таблица1[7],Таблица1[2],Таблица1[[#This Row],[2]])</f>
        <v>80.400000000000006</v>
      </c>
      <c r="C2034" s="185" t="s">
        <v>424</v>
      </c>
      <c r="D2034" s="196"/>
      <c r="E2034" s="196"/>
      <c r="F2034" s="196"/>
      <c r="G2034" s="168"/>
      <c r="H2034" s="197"/>
      <c r="I2034" s="196"/>
      <c r="J2034" s="196"/>
      <c r="K2034" s="196"/>
      <c r="L2034" s="196"/>
      <c r="M2034" s="196"/>
      <c r="N2034" s="196"/>
      <c r="O2034" s="196"/>
      <c r="P2034" s="196"/>
      <c r="Q2034" s="196"/>
      <c r="R2034" s="196"/>
      <c r="S2034" s="196"/>
      <c r="T2034" s="196"/>
      <c r="U2034" s="196"/>
      <c r="V2034" s="198"/>
    </row>
    <row r="2035" spans="1:22" s="21" customFormat="1" ht="15" hidden="1" outlineLevel="2" x14ac:dyDescent="0.25">
      <c r="A2035" s="186">
        <f>SUMIFS(МКД!$A$6:$A$389,МКД!$D$6:$D$389,Таблица1[[#This Row],[2]])</f>
        <v>381</v>
      </c>
      <c r="B2035" s="196"/>
      <c r="C2035" s="182" t="s">
        <v>424</v>
      </c>
      <c r="D2035" s="167" t="s">
        <v>1593</v>
      </c>
      <c r="E2035" s="273" t="s">
        <v>1781</v>
      </c>
      <c r="F2035" s="196"/>
      <c r="G2035" s="168">
        <f>SUMIFS(Таблица1[[#This Row],[8]:[19]],$I$5:$T$5,"Выкуп")</f>
        <v>80.400000000000006</v>
      </c>
      <c r="H2035" s="168">
        <f>SUMIFS(Таблица1[[#This Row],[8]:[19]],$I$5:$T$5,"Аренда")</f>
        <v>0</v>
      </c>
      <c r="I2035" s="196"/>
      <c r="J2035" s="196"/>
      <c r="K2035" s="196">
        <v>80.400000000000006</v>
      </c>
      <c r="L2035" s="196"/>
      <c r="M2035" s="196"/>
      <c r="N2035" s="196"/>
      <c r="O2035" s="196"/>
      <c r="P2035" s="196"/>
      <c r="Q2035" s="196"/>
      <c r="R2035" s="196"/>
      <c r="S2035" s="196"/>
      <c r="T2035" s="196"/>
      <c r="U2035" s="196"/>
      <c r="V2035" s="198"/>
    </row>
    <row r="2036" spans="1:22" s="21" customFormat="1" ht="15" outlineLevel="1" collapsed="1" x14ac:dyDescent="0.25">
      <c r="A2036" s="186">
        <f>SUMIFS(МКД!$A$6:$A$389,МКД!$D$6:$D$389,Таблица1[[#This Row],[2]])</f>
        <v>382</v>
      </c>
      <c r="B2036" s="194">
        <f>SUMIFS(Таблица1[6],Таблица1[2],Таблица1[[#This Row],[2]])+SUMIFS(Таблица1[7],Таблица1[2],Таблица1[[#This Row],[2]])</f>
        <v>174.5</v>
      </c>
      <c r="C2036" s="185" t="s">
        <v>425</v>
      </c>
      <c r="D2036" s="196"/>
      <c r="E2036" s="196"/>
      <c r="F2036" s="196"/>
      <c r="G2036" s="168"/>
      <c r="H2036" s="197"/>
      <c r="I2036" s="196"/>
      <c r="J2036" s="196"/>
      <c r="K2036" s="196"/>
      <c r="L2036" s="196"/>
      <c r="M2036" s="196"/>
      <c r="N2036" s="196"/>
      <c r="O2036" s="196"/>
      <c r="P2036" s="196"/>
      <c r="Q2036" s="196"/>
      <c r="R2036" s="196"/>
      <c r="S2036" s="196"/>
      <c r="T2036" s="196"/>
      <c r="U2036" s="196"/>
      <c r="V2036" s="198"/>
    </row>
    <row r="2037" spans="1:22" hidden="1" outlineLevel="2" x14ac:dyDescent="0.25">
      <c r="A2037" s="186">
        <f>SUMIFS(МКД!$A$6:$A$389,МКД!$D$6:$D$389,Таблица1[[#This Row],[2]])</f>
        <v>382</v>
      </c>
      <c r="B2037" s="170"/>
      <c r="C2037" s="182" t="s">
        <v>425</v>
      </c>
      <c r="D2037" s="167" t="s">
        <v>2805</v>
      </c>
      <c r="E2037" s="167" t="s">
        <v>764</v>
      </c>
      <c r="F2037" s="167">
        <v>1</v>
      </c>
      <c r="G2037" s="168">
        <f>SUMIFS(Таблица1[[#This Row],[8]:[19]],$I$5:$T$5,"Выкуп")</f>
        <v>91.4</v>
      </c>
      <c r="H2037" s="168">
        <f>SUMIFS(Таблица1[[#This Row],[8]:[19]],$I$5:$T$5,"Аренда")</f>
        <v>0</v>
      </c>
      <c r="I2037" s="169"/>
      <c r="J2037" s="169"/>
      <c r="K2037" s="169">
        <v>91.4</v>
      </c>
      <c r="L2037" s="169"/>
      <c r="M2037" s="169"/>
      <c r="N2037" s="169"/>
      <c r="O2037" s="169"/>
      <c r="P2037" s="169"/>
      <c r="Q2037" s="169"/>
      <c r="R2037" s="169"/>
      <c r="S2037" s="169"/>
      <c r="T2037" s="169"/>
      <c r="U2037" s="170"/>
      <c r="V2037" s="195"/>
    </row>
    <row r="2038" spans="1:22" s="21" customFormat="1" hidden="1" outlineLevel="2" x14ac:dyDescent="0.25">
      <c r="A2038" s="186">
        <f>SUMIFS(МКД!$A$6:$A$389,МКД!$D$6:$D$389,Таблица1[[#This Row],[2]])</f>
        <v>382</v>
      </c>
      <c r="B2038" s="168"/>
      <c r="C2038" s="182" t="s">
        <v>425</v>
      </c>
      <c r="D2038" s="167" t="s">
        <v>1053</v>
      </c>
      <c r="E2038" s="167" t="s">
        <v>76</v>
      </c>
      <c r="F2038" s="167">
        <v>1</v>
      </c>
      <c r="G2038" s="168">
        <f>SUMIFS(Таблица1[[#This Row],[8]:[19]],$I$5:$T$5,"Выкуп")</f>
        <v>83.1</v>
      </c>
      <c r="H2038" s="168">
        <f>SUMIFS(Таблица1[[#This Row],[8]:[19]],$I$5:$T$5,"Аренда")</f>
        <v>0</v>
      </c>
      <c r="I2038" s="169"/>
      <c r="J2038" s="169"/>
      <c r="K2038" s="169">
        <f>79.8+3.3</f>
        <v>83.1</v>
      </c>
      <c r="L2038" s="169"/>
      <c r="M2038" s="169"/>
      <c r="N2038" s="169"/>
      <c r="O2038" s="169"/>
      <c r="P2038" s="169"/>
      <c r="Q2038" s="169"/>
      <c r="R2038" s="169"/>
      <c r="S2038" s="169"/>
      <c r="T2038" s="169"/>
      <c r="U2038" s="170"/>
      <c r="V2038" s="171"/>
    </row>
    <row r="2039" spans="1:22" s="21" customFormat="1" ht="15" outlineLevel="1" collapsed="1" x14ac:dyDescent="0.25">
      <c r="A2039" s="186">
        <f>SUMIFS(МКД!$A$6:$A$389,МКД!$D$6:$D$389,Таблица1[[#This Row],[2]])</f>
        <v>383</v>
      </c>
      <c r="B2039" s="194">
        <f>SUMIFS(Таблица1[6],Таблица1[2],Таблица1[[#This Row],[2]])+SUMIFS(Таблица1[7],Таблица1[2],Таблица1[[#This Row],[2]])</f>
        <v>187.1</v>
      </c>
      <c r="C2039" s="185" t="s">
        <v>1323</v>
      </c>
      <c r="D2039" s="196"/>
      <c r="E2039" s="196"/>
      <c r="F2039" s="196"/>
      <c r="G2039" s="168"/>
      <c r="H2039" s="197"/>
      <c r="I2039" s="196"/>
      <c r="J2039" s="196"/>
      <c r="K2039" s="196"/>
      <c r="L2039" s="196"/>
      <c r="M2039" s="196"/>
      <c r="N2039" s="196"/>
      <c r="O2039" s="196"/>
      <c r="P2039" s="196"/>
      <c r="Q2039" s="196"/>
      <c r="R2039" s="196"/>
      <c r="S2039" s="196"/>
      <c r="T2039" s="196"/>
      <c r="U2039" s="196"/>
      <c r="V2039" s="198"/>
    </row>
    <row r="2040" spans="1:22" hidden="1" outlineLevel="2" x14ac:dyDescent="0.25">
      <c r="A2040" s="186">
        <f>SUMIFS(МКД!$A$6:$A$389,МКД!$D$6:$D$389,Таблица1[[#This Row],[2]])</f>
        <v>383</v>
      </c>
      <c r="B2040" s="170"/>
      <c r="C2040" s="182" t="s">
        <v>1323</v>
      </c>
      <c r="D2040" s="167" t="s">
        <v>77</v>
      </c>
      <c r="E2040" s="167" t="s">
        <v>762</v>
      </c>
      <c r="F2040" s="167">
        <v>1</v>
      </c>
      <c r="G2040" s="168">
        <f>SUMIFS(Таблица1[[#This Row],[8]:[19]],$I$5:$T$5,"Выкуп")</f>
        <v>137.5</v>
      </c>
      <c r="H2040" s="168">
        <f>SUMIFS(Таблица1[[#This Row],[8]:[19]],$I$5:$T$5,"Аренда")</f>
        <v>0</v>
      </c>
      <c r="I2040" s="169"/>
      <c r="J2040" s="169"/>
      <c r="K2040" s="169">
        <v>137.5</v>
      </c>
      <c r="L2040" s="169"/>
      <c r="M2040" s="169"/>
      <c r="N2040" s="169"/>
      <c r="O2040" s="169"/>
      <c r="P2040" s="169"/>
      <c r="Q2040" s="169"/>
      <c r="R2040" s="169"/>
      <c r="S2040" s="169"/>
      <c r="T2040" s="169"/>
      <c r="U2040" s="170"/>
      <c r="V2040" s="195"/>
    </row>
    <row r="2041" spans="1:22" s="21" customFormat="1" hidden="1" outlineLevel="2" x14ac:dyDescent="0.25">
      <c r="A2041" s="186">
        <f>SUMIFS(МКД!$A$6:$A$389,МКД!$D$6:$D$389,Таблица1[[#This Row],[2]])</f>
        <v>383</v>
      </c>
      <c r="B2041" s="168"/>
      <c r="C2041" s="182" t="s">
        <v>1323</v>
      </c>
      <c r="D2041" s="167" t="s">
        <v>1993</v>
      </c>
      <c r="E2041" s="167" t="s">
        <v>206</v>
      </c>
      <c r="F2041" s="167">
        <v>1</v>
      </c>
      <c r="G2041" s="168">
        <f>SUMIFS(Таблица1[[#This Row],[8]:[19]],$I$5:$T$5,"Выкуп")</f>
        <v>49.6</v>
      </c>
      <c r="H2041" s="168">
        <f>SUMIFS(Таблица1[[#This Row],[8]:[19]],$I$5:$T$5,"Аренда")</f>
        <v>0</v>
      </c>
      <c r="I2041" s="167"/>
      <c r="J2041" s="167"/>
      <c r="K2041" s="169">
        <v>49.6</v>
      </c>
      <c r="L2041" s="169"/>
      <c r="M2041" s="169"/>
      <c r="N2041" s="169"/>
      <c r="O2041" s="169"/>
      <c r="P2041" s="169"/>
      <c r="Q2041" s="169"/>
      <c r="R2041" s="169"/>
      <c r="S2041" s="169"/>
      <c r="T2041" s="169"/>
      <c r="U2041" s="170"/>
      <c r="V2041" s="171"/>
    </row>
    <row r="2042" spans="1:22" s="21" customFormat="1" ht="15" outlineLevel="1" collapsed="1" x14ac:dyDescent="0.25">
      <c r="A2042" s="186">
        <f>SUMIFS(МКД!$A$6:$A$389,МКД!$D$6:$D$389,Таблица1[[#This Row],[2]])</f>
        <v>384</v>
      </c>
      <c r="B2042" s="194">
        <f>SUMIFS(Таблица1[6],Таблица1[2],Таблица1[[#This Row],[2]])+SUMIFS(Таблица1[7],Таблица1[2],Таблица1[[#This Row],[2]])</f>
        <v>719.7</v>
      </c>
      <c r="C2042" s="185" t="s">
        <v>426</v>
      </c>
      <c r="D2042" s="196"/>
      <c r="E2042" s="196"/>
      <c r="F2042" s="196"/>
      <c r="G2042" s="168"/>
      <c r="H2042" s="197"/>
      <c r="I2042" s="196"/>
      <c r="J2042" s="196"/>
      <c r="K2042" s="196"/>
      <c r="L2042" s="196"/>
      <c r="M2042" s="196"/>
      <c r="N2042" s="196"/>
      <c r="O2042" s="196"/>
      <c r="P2042" s="196"/>
      <c r="Q2042" s="196"/>
      <c r="R2042" s="196"/>
      <c r="S2042" s="196"/>
      <c r="T2042" s="196"/>
      <c r="U2042" s="196"/>
      <c r="V2042" s="198"/>
    </row>
    <row r="2043" spans="1:22" hidden="1" outlineLevel="2" x14ac:dyDescent="0.25">
      <c r="A2043" s="186">
        <f>SUMIFS(МКД!$A$6:$A$389,МКД!$D$6:$D$389,Таблица1[[#This Row],[2]])</f>
        <v>384</v>
      </c>
      <c r="B2043" s="170"/>
      <c r="C2043" s="182" t="s">
        <v>426</v>
      </c>
      <c r="D2043" s="167" t="s">
        <v>78</v>
      </c>
      <c r="E2043" s="167" t="s">
        <v>79</v>
      </c>
      <c r="F2043" s="167">
        <v>1</v>
      </c>
      <c r="G2043" s="168">
        <f>SUMIFS(Таблица1[[#This Row],[8]:[19]],$I$5:$T$5,"Выкуп")</f>
        <v>398</v>
      </c>
      <c r="H2043" s="168">
        <f>SUMIFS(Таблица1[[#This Row],[8]:[19]],$I$5:$T$5,"Аренда")</f>
        <v>0</v>
      </c>
      <c r="I2043" s="169">
        <v>398</v>
      </c>
      <c r="J2043" s="169"/>
      <c r="K2043" s="169"/>
      <c r="L2043" s="169"/>
      <c r="M2043" s="169"/>
      <c r="N2043" s="169"/>
      <c r="O2043" s="169"/>
      <c r="P2043" s="169"/>
      <c r="Q2043" s="169"/>
      <c r="R2043" s="169"/>
      <c r="S2043" s="169"/>
      <c r="T2043" s="169"/>
      <c r="U2043" s="170"/>
      <c r="V2043" s="195"/>
    </row>
    <row r="2044" spans="1:22" hidden="1" outlineLevel="2" x14ac:dyDescent="0.25">
      <c r="A2044" s="186">
        <f>SUMIFS(МКД!$A$6:$A$389,МКД!$D$6:$D$389,Таблица1[[#This Row],[2]])</f>
        <v>384</v>
      </c>
      <c r="B2044" s="170"/>
      <c r="C2044" s="182" t="s">
        <v>426</v>
      </c>
      <c r="D2044" s="167" t="s">
        <v>1053</v>
      </c>
      <c r="E2044" s="167" t="s">
        <v>1949</v>
      </c>
      <c r="F2044" s="167">
        <v>1</v>
      </c>
      <c r="G2044" s="168">
        <f>SUMIFS(Таблица1[[#This Row],[8]:[19]],$I$5:$T$5,"Выкуп")</f>
        <v>28.1</v>
      </c>
      <c r="H2044" s="168">
        <f>SUMIFS(Таблица1[[#This Row],[8]:[19]],$I$5:$T$5,"Аренда")</f>
        <v>0</v>
      </c>
      <c r="I2044" s="169">
        <f>8.9+9.1+10.1</f>
        <v>28.1</v>
      </c>
      <c r="J2044" s="169"/>
      <c r="K2044" s="169"/>
      <c r="L2044" s="169"/>
      <c r="M2044" s="169"/>
      <c r="N2044" s="169"/>
      <c r="O2044" s="169"/>
      <c r="P2044" s="169"/>
      <c r="Q2044" s="169"/>
      <c r="R2044" s="169"/>
      <c r="S2044" s="169"/>
      <c r="T2044" s="169"/>
      <c r="U2044" s="170"/>
      <c r="V2044" s="195"/>
    </row>
    <row r="2045" spans="1:22" s="19" customFormat="1" hidden="1" outlineLevel="2" x14ac:dyDescent="0.25">
      <c r="A2045" s="186">
        <f>SUMIFS(МКД!$A$6:$A$389,МКД!$D$6:$D$389,Таблица1[[#This Row],[2]])</f>
        <v>384</v>
      </c>
      <c r="B2045" s="168"/>
      <c r="C2045" s="182" t="s">
        <v>426</v>
      </c>
      <c r="D2045" s="167" t="s">
        <v>927</v>
      </c>
      <c r="E2045" s="167"/>
      <c r="F2045" s="167">
        <v>1</v>
      </c>
      <c r="G2045" s="168">
        <f>SUMIFS(Таблица1[[#This Row],[8]:[19]],$I$5:$T$5,"Выкуп")</f>
        <v>293.60000000000002</v>
      </c>
      <c r="H2045" s="168">
        <f>SUMIFS(Таблица1[[#This Row],[8]:[19]],$I$5:$T$5,"Аренда")</f>
        <v>0</v>
      </c>
      <c r="I2045" s="169">
        <v>293.60000000000002</v>
      </c>
      <c r="J2045" s="169"/>
      <c r="K2045" s="167"/>
      <c r="L2045" s="167"/>
      <c r="M2045" s="167"/>
      <c r="N2045" s="167"/>
      <c r="O2045" s="169"/>
      <c r="P2045" s="169"/>
      <c r="Q2045" s="169"/>
      <c r="R2045" s="169"/>
      <c r="S2045" s="169"/>
      <c r="T2045" s="169"/>
      <c r="U2045" s="170"/>
      <c r="V2045" s="171"/>
    </row>
    <row r="2046" spans="1:22" s="19" customFormat="1" ht="15" outlineLevel="1" collapsed="1" x14ac:dyDescent="0.25">
      <c r="A2046" s="186">
        <f>SUMIFS(МКД!$A$6:$A$389,МКД!$D$6:$D$389,Таблица1[[#This Row],[2]])</f>
        <v>363</v>
      </c>
      <c r="B2046" s="194">
        <f>SUMIFS(Таблица1[6],Таблица1[2],Таблица1[[#This Row],[2]])+SUMIFS(Таблица1[7],Таблица1[2],Таблица1[[#This Row],[2]])</f>
        <v>138</v>
      </c>
      <c r="C2046" s="185" t="s">
        <v>427</v>
      </c>
      <c r="D2046" s="196"/>
      <c r="E2046" s="196"/>
      <c r="F2046" s="196"/>
      <c r="G2046" s="168"/>
      <c r="H2046" s="197"/>
      <c r="I2046" s="196"/>
      <c r="J2046" s="196"/>
      <c r="K2046" s="196"/>
      <c r="L2046" s="196"/>
      <c r="M2046" s="196"/>
      <c r="N2046" s="196"/>
      <c r="O2046" s="196"/>
      <c r="P2046" s="196"/>
      <c r="Q2046" s="196"/>
      <c r="R2046" s="196"/>
      <c r="S2046" s="196"/>
      <c r="T2046" s="196"/>
      <c r="U2046" s="196"/>
      <c r="V2046" s="198"/>
    </row>
    <row r="2047" spans="1:22" s="21" customFormat="1" hidden="1" outlineLevel="2" x14ac:dyDescent="0.25">
      <c r="A2047" s="186">
        <f>SUMIFS(МКД!$A$6:$A$389,МКД!$D$6:$D$389,Таблица1[[#This Row],[2]])</f>
        <v>363</v>
      </c>
      <c r="B2047" s="170"/>
      <c r="C2047" s="182" t="s">
        <v>427</v>
      </c>
      <c r="D2047" s="167" t="s">
        <v>80</v>
      </c>
      <c r="E2047" s="167" t="s">
        <v>1889</v>
      </c>
      <c r="F2047" s="167">
        <v>1</v>
      </c>
      <c r="G2047" s="168">
        <f>SUMIFS(Таблица1[[#This Row],[8]:[19]],$I$5:$T$5,"Выкуп")</f>
        <v>59.5</v>
      </c>
      <c r="H2047" s="168">
        <f>SUMIFS(Таблица1[[#This Row],[8]:[19]],$I$5:$T$5,"Аренда")</f>
        <v>0</v>
      </c>
      <c r="I2047" s="169">
        <f>10.4+49.1</f>
        <v>59.5</v>
      </c>
      <c r="J2047" s="169"/>
      <c r="K2047" s="169"/>
      <c r="L2047" s="169"/>
      <c r="M2047" s="169"/>
      <c r="N2047" s="169"/>
      <c r="O2047" s="169"/>
      <c r="P2047" s="169"/>
      <c r="Q2047" s="169"/>
      <c r="R2047" s="169"/>
      <c r="S2047" s="169"/>
      <c r="T2047" s="169"/>
      <c r="U2047" s="170"/>
      <c r="V2047" s="171"/>
    </row>
    <row r="2048" spans="1:22" s="21" customFormat="1" hidden="1" outlineLevel="2" x14ac:dyDescent="0.25">
      <c r="A2048" s="186">
        <f>SUMIFS(МКД!$A$6:$A$389,МКД!$D$6:$D$389,Таблица1[[#This Row],[2]])</f>
        <v>363</v>
      </c>
      <c r="B2048" s="170"/>
      <c r="C2048" s="182" t="s">
        <v>427</v>
      </c>
      <c r="D2048" s="167" t="s">
        <v>1053</v>
      </c>
      <c r="E2048" s="167" t="s">
        <v>2099</v>
      </c>
      <c r="F2048" s="167">
        <v>1</v>
      </c>
      <c r="G2048" s="168">
        <f>SUMIFS(Таблица1[[#This Row],[8]:[19]],$I$5:$T$5,"Выкуп")</f>
        <v>78.5</v>
      </c>
      <c r="H2048" s="168">
        <f>SUMIFS(Таблица1[[#This Row],[8]:[19]],$I$5:$T$5,"Аренда")</f>
        <v>0</v>
      </c>
      <c r="I2048" s="169"/>
      <c r="J2048" s="169"/>
      <c r="K2048" s="169">
        <f>78.5</f>
        <v>78.5</v>
      </c>
      <c r="L2048" s="169"/>
      <c r="M2048" s="169"/>
      <c r="N2048" s="169"/>
      <c r="O2048" s="169"/>
      <c r="P2048" s="169"/>
      <c r="Q2048" s="169"/>
      <c r="R2048" s="169"/>
      <c r="S2048" s="169"/>
      <c r="T2048" s="169"/>
      <c r="U2048" s="170"/>
      <c r="V2048" s="171"/>
    </row>
    <row r="2049" spans="1:262" s="21" customFormat="1" ht="15" outlineLevel="1" collapsed="1" x14ac:dyDescent="0.25">
      <c r="A2049" s="186">
        <f>SUMIFS(МКД!$A$6:$A$389,МКД!$D$6:$D$389,Таблица1[[#This Row],[2]])</f>
        <v>364</v>
      </c>
      <c r="B2049" s="194">
        <f>SUMIFS(Таблица1[6],Таблица1[2],Таблица1[[#This Row],[2]])+SUMIFS(Таблица1[7],Таблица1[2],Таблица1[[#This Row],[2]])</f>
        <v>611.1</v>
      </c>
      <c r="C2049" s="185" t="s">
        <v>547</v>
      </c>
      <c r="D2049" s="196"/>
      <c r="E2049" s="196"/>
      <c r="F2049" s="196"/>
      <c r="G2049" s="168"/>
      <c r="H2049" s="197"/>
      <c r="I2049" s="196"/>
      <c r="J2049" s="196"/>
      <c r="K2049" s="196"/>
      <c r="L2049" s="196"/>
      <c r="M2049" s="196"/>
      <c r="N2049" s="196"/>
      <c r="O2049" s="196"/>
      <c r="P2049" s="196"/>
      <c r="Q2049" s="196"/>
      <c r="R2049" s="196"/>
      <c r="S2049" s="196"/>
      <c r="T2049" s="196"/>
      <c r="U2049" s="196"/>
      <c r="V2049" s="198"/>
    </row>
    <row r="2050" spans="1:262" hidden="1" outlineLevel="2" x14ac:dyDescent="0.25">
      <c r="A2050" s="186">
        <f>SUMIFS(МКД!$A$6:$A$389,МКД!$D$6:$D$389,Таблица1[[#This Row],[2]])</f>
        <v>364</v>
      </c>
      <c r="B2050" s="170"/>
      <c r="C2050" s="182" t="s">
        <v>547</v>
      </c>
      <c r="D2050" s="167" t="s">
        <v>2806</v>
      </c>
      <c r="E2050" s="167" t="s">
        <v>67</v>
      </c>
      <c r="F2050" s="167">
        <v>1</v>
      </c>
      <c r="G2050" s="168">
        <f>SUMIFS(Таблица1[[#This Row],[8]:[19]],$I$5:$T$5,"Выкуп")</f>
        <v>191.6</v>
      </c>
      <c r="H2050" s="168">
        <f>SUMIFS(Таблица1[[#This Row],[8]:[19]],$I$5:$T$5,"Аренда")</f>
        <v>0</v>
      </c>
      <c r="I2050" s="169">
        <v>191.6</v>
      </c>
      <c r="J2050" s="169"/>
      <c r="K2050" s="169"/>
      <c r="L2050" s="169"/>
      <c r="M2050" s="169"/>
      <c r="N2050" s="169"/>
      <c r="O2050" s="169"/>
      <c r="P2050" s="169"/>
      <c r="Q2050" s="169"/>
      <c r="R2050" s="169"/>
      <c r="S2050" s="169"/>
      <c r="T2050" s="169"/>
      <c r="U2050" s="170"/>
      <c r="V2050" s="195"/>
    </row>
    <row r="2051" spans="1:262" hidden="1" outlineLevel="2" x14ac:dyDescent="0.25">
      <c r="A2051" s="186">
        <f>SUMIFS(МКД!$A$6:$A$389,МКД!$D$6:$D$389,Таблица1[[#This Row],[2]])</f>
        <v>364</v>
      </c>
      <c r="B2051" s="168"/>
      <c r="C2051" s="182" t="s">
        <v>547</v>
      </c>
      <c r="D2051" s="167" t="s">
        <v>1722</v>
      </c>
      <c r="E2051" s="167" t="s">
        <v>1180</v>
      </c>
      <c r="F2051" s="167">
        <v>1</v>
      </c>
      <c r="G2051" s="168">
        <f>SUMIFS(Таблица1[[#This Row],[8]:[19]],$I$5:$T$5,"Выкуп")</f>
        <v>51.4</v>
      </c>
      <c r="H2051" s="168">
        <f>SUMIFS(Таблица1[[#This Row],[8]:[19]],$I$5:$T$5,"Аренда")</f>
        <v>0</v>
      </c>
      <c r="I2051" s="169"/>
      <c r="J2051" s="169"/>
      <c r="K2051" s="169">
        <v>51.4</v>
      </c>
      <c r="L2051" s="169"/>
      <c r="M2051" s="169"/>
      <c r="N2051" s="169"/>
      <c r="O2051" s="169"/>
      <c r="P2051" s="169"/>
      <c r="Q2051" s="169"/>
      <c r="R2051" s="169"/>
      <c r="S2051" s="169"/>
      <c r="T2051" s="169"/>
      <c r="U2051" s="170"/>
      <c r="V2051" s="171"/>
    </row>
    <row r="2052" spans="1:262" hidden="1" outlineLevel="2" x14ac:dyDescent="0.25">
      <c r="A2052" s="186">
        <f>SUMIFS(МКД!$A$6:$A$389,МКД!$D$6:$D$389,Таблица1[[#This Row],[2]])</f>
        <v>364</v>
      </c>
      <c r="B2052" s="168"/>
      <c r="C2052" s="182" t="s">
        <v>547</v>
      </c>
      <c r="D2052" s="167" t="s">
        <v>219</v>
      </c>
      <c r="E2052" s="167" t="s">
        <v>220</v>
      </c>
      <c r="F2052" s="167"/>
      <c r="G2052" s="168">
        <f>SUMIFS(Таблица1[[#This Row],[8]:[19]],$I$5:$T$5,"Выкуп")</f>
        <v>73.3</v>
      </c>
      <c r="H2052" s="168">
        <f>SUMIFS(Таблица1[[#This Row],[8]:[19]],$I$5:$T$5,"Аренда")</f>
        <v>0</v>
      </c>
      <c r="I2052" s="169">
        <v>73.3</v>
      </c>
      <c r="J2052" s="169"/>
      <c r="K2052" s="169"/>
      <c r="L2052" s="169"/>
      <c r="M2052" s="169"/>
      <c r="N2052" s="169"/>
      <c r="O2052" s="169"/>
      <c r="P2052" s="169"/>
      <c r="Q2052" s="169"/>
      <c r="R2052" s="169"/>
      <c r="S2052" s="169"/>
      <c r="T2052" s="169"/>
      <c r="U2052" s="170"/>
      <c r="V2052" s="171"/>
      <c r="W2052" s="141"/>
      <c r="X2052" s="10"/>
      <c r="Y2052" s="10"/>
      <c r="Z2052" s="10"/>
      <c r="AA2052" s="10"/>
      <c r="AB2052" s="10"/>
      <c r="AC2052" s="10"/>
      <c r="AD2052" s="10"/>
      <c r="AE2052" s="10"/>
      <c r="AF2052" s="10"/>
      <c r="AG2052" s="10"/>
      <c r="AH2052" s="10"/>
      <c r="AI2052" s="10"/>
      <c r="AJ2052" s="10"/>
      <c r="AK2052" s="10"/>
      <c r="AL2052" s="10"/>
      <c r="AM2052" s="10"/>
      <c r="AN2052" s="10"/>
      <c r="AO2052" s="10"/>
      <c r="AP2052" s="10"/>
      <c r="AQ2052" s="10"/>
      <c r="AR2052" s="10"/>
      <c r="AS2052" s="10"/>
      <c r="AT2052" s="10"/>
      <c r="AU2052" s="10"/>
      <c r="AV2052" s="10"/>
      <c r="AW2052" s="10"/>
      <c r="AX2052" s="10"/>
      <c r="AY2052" s="10"/>
      <c r="AZ2052" s="10"/>
      <c r="BA2052" s="10"/>
      <c r="BB2052" s="10"/>
      <c r="BC2052" s="10"/>
      <c r="BD2052" s="10"/>
      <c r="BE2052" s="10"/>
      <c r="BF2052" s="10"/>
      <c r="BG2052" s="10"/>
      <c r="BH2052" s="10"/>
      <c r="BI2052" s="10"/>
      <c r="BJ2052" s="10"/>
      <c r="BK2052" s="10"/>
      <c r="BL2052" s="10"/>
      <c r="BM2052" s="10"/>
      <c r="BN2052" s="10"/>
      <c r="BO2052" s="10"/>
      <c r="BP2052" s="10"/>
      <c r="BQ2052" s="10"/>
      <c r="BR2052" s="10"/>
      <c r="BS2052" s="10"/>
      <c r="BT2052" s="10"/>
      <c r="BU2052" s="10"/>
      <c r="BV2052" s="10"/>
      <c r="BW2052" s="10"/>
      <c r="BX2052" s="10"/>
      <c r="BY2052" s="10"/>
      <c r="BZ2052" s="10"/>
      <c r="CA2052" s="10"/>
      <c r="CB2052" s="10"/>
      <c r="CC2052" s="10"/>
      <c r="CD2052" s="10"/>
      <c r="CE2052" s="10"/>
      <c r="CF2052" s="10"/>
      <c r="CG2052" s="10"/>
      <c r="CH2052" s="10"/>
      <c r="CI2052" s="10"/>
      <c r="CJ2052" s="10"/>
      <c r="CK2052" s="10"/>
      <c r="CL2052" s="10"/>
      <c r="CM2052" s="10"/>
      <c r="CN2052" s="10"/>
      <c r="CO2052" s="10"/>
      <c r="CP2052" s="10"/>
      <c r="CQ2052" s="10"/>
      <c r="CR2052" s="10"/>
      <c r="CS2052" s="10"/>
      <c r="CT2052" s="10"/>
      <c r="CU2052" s="10"/>
      <c r="CV2052" s="10"/>
      <c r="CW2052" s="10"/>
      <c r="CX2052" s="10"/>
      <c r="CY2052" s="10"/>
      <c r="CZ2052" s="10"/>
      <c r="DA2052" s="10"/>
      <c r="DB2052" s="10"/>
      <c r="DC2052" s="10"/>
      <c r="DD2052" s="10"/>
      <c r="DE2052" s="10"/>
      <c r="DF2052" s="10"/>
      <c r="DG2052" s="10"/>
      <c r="DH2052" s="10"/>
      <c r="DI2052" s="10"/>
      <c r="DJ2052" s="10"/>
      <c r="DK2052" s="10"/>
      <c r="DL2052" s="10"/>
      <c r="DM2052" s="10"/>
      <c r="DN2052" s="10"/>
      <c r="DO2052" s="10"/>
      <c r="DP2052" s="10"/>
      <c r="DQ2052" s="10"/>
      <c r="DR2052" s="10"/>
      <c r="DS2052" s="10"/>
      <c r="DT2052" s="10"/>
      <c r="DU2052" s="10"/>
      <c r="DV2052" s="10"/>
      <c r="DW2052" s="10"/>
      <c r="DX2052" s="10"/>
      <c r="DY2052" s="10"/>
      <c r="DZ2052" s="10"/>
      <c r="EA2052" s="10"/>
      <c r="EB2052" s="10"/>
      <c r="EC2052" s="10"/>
      <c r="ED2052" s="10"/>
      <c r="EE2052" s="10"/>
      <c r="EF2052" s="10"/>
      <c r="EG2052" s="10"/>
      <c r="EH2052" s="10"/>
      <c r="EI2052" s="10"/>
      <c r="EJ2052" s="10"/>
      <c r="EK2052" s="10"/>
      <c r="EL2052" s="10"/>
      <c r="EM2052" s="10"/>
      <c r="EN2052" s="10"/>
      <c r="EO2052" s="10"/>
      <c r="EP2052" s="10"/>
      <c r="EQ2052" s="10"/>
      <c r="ER2052" s="10"/>
      <c r="ES2052" s="10"/>
      <c r="ET2052" s="10"/>
      <c r="EU2052" s="10"/>
      <c r="EV2052" s="10"/>
      <c r="EW2052" s="10"/>
      <c r="EX2052" s="10"/>
      <c r="EY2052" s="10"/>
      <c r="EZ2052" s="10"/>
      <c r="FA2052" s="10"/>
      <c r="FB2052" s="10"/>
      <c r="FC2052" s="10"/>
      <c r="FD2052" s="10"/>
      <c r="FE2052" s="10"/>
      <c r="FF2052" s="10"/>
      <c r="FG2052" s="10"/>
      <c r="FH2052" s="10"/>
      <c r="FI2052" s="10"/>
      <c r="FJ2052" s="10"/>
      <c r="FK2052" s="10"/>
      <c r="FL2052" s="10"/>
      <c r="FM2052" s="10"/>
      <c r="FN2052" s="10"/>
      <c r="FO2052" s="10"/>
      <c r="FP2052" s="10"/>
      <c r="FQ2052" s="10"/>
      <c r="FR2052" s="10"/>
      <c r="FS2052" s="10"/>
      <c r="FT2052" s="10"/>
      <c r="FU2052" s="10"/>
      <c r="FV2052" s="10"/>
      <c r="FW2052" s="10"/>
      <c r="FX2052" s="10"/>
      <c r="FY2052" s="10"/>
      <c r="FZ2052" s="10"/>
      <c r="GA2052" s="10"/>
      <c r="GB2052" s="10"/>
      <c r="GC2052" s="10"/>
      <c r="GD2052" s="10"/>
      <c r="GE2052" s="10"/>
      <c r="GF2052" s="10"/>
      <c r="GG2052" s="10"/>
      <c r="GH2052" s="10"/>
      <c r="GI2052" s="10"/>
      <c r="GJ2052" s="10"/>
      <c r="GK2052" s="10"/>
      <c r="GL2052" s="10"/>
      <c r="GM2052" s="10"/>
      <c r="GN2052" s="10"/>
      <c r="GO2052" s="10"/>
      <c r="GP2052" s="10"/>
      <c r="GQ2052" s="10"/>
      <c r="GR2052" s="10"/>
      <c r="GS2052" s="10"/>
      <c r="GT2052" s="10"/>
      <c r="GU2052" s="10"/>
      <c r="GV2052" s="10"/>
      <c r="GW2052" s="10"/>
      <c r="GX2052" s="10"/>
      <c r="GY2052" s="10"/>
      <c r="GZ2052" s="10"/>
      <c r="HA2052" s="10"/>
      <c r="HB2052" s="10"/>
      <c r="HC2052" s="10"/>
      <c r="HD2052" s="10"/>
      <c r="HE2052" s="10"/>
      <c r="HF2052" s="10"/>
      <c r="HG2052" s="10"/>
      <c r="HH2052" s="10"/>
      <c r="HI2052" s="10"/>
      <c r="HJ2052" s="10"/>
      <c r="HK2052" s="10"/>
      <c r="HL2052" s="10"/>
      <c r="HM2052" s="10"/>
      <c r="HN2052" s="10"/>
      <c r="HO2052" s="10"/>
      <c r="HP2052" s="10"/>
      <c r="HQ2052" s="10"/>
      <c r="HR2052" s="10"/>
      <c r="HS2052" s="10"/>
      <c r="HT2052" s="10"/>
      <c r="HU2052" s="10"/>
      <c r="HV2052" s="10"/>
      <c r="HW2052" s="10"/>
      <c r="HX2052" s="10"/>
      <c r="HY2052" s="10"/>
      <c r="HZ2052" s="10"/>
      <c r="IA2052" s="10"/>
      <c r="IB2052" s="10"/>
      <c r="IC2052" s="10"/>
      <c r="ID2052" s="10"/>
      <c r="IE2052" s="10"/>
      <c r="IF2052" s="10"/>
      <c r="IG2052" s="10"/>
      <c r="IH2052" s="10"/>
      <c r="II2052" s="10"/>
      <c r="IJ2052" s="10"/>
      <c r="IK2052" s="10"/>
      <c r="IL2052" s="10"/>
      <c r="IM2052" s="10"/>
      <c r="IN2052" s="10"/>
      <c r="IO2052" s="10"/>
      <c r="IP2052" s="10"/>
      <c r="IQ2052" s="10"/>
      <c r="IR2052" s="10"/>
      <c r="IS2052" s="10"/>
      <c r="IT2052" s="10"/>
      <c r="IU2052" s="10"/>
      <c r="IV2052" s="10"/>
      <c r="IW2052" s="10"/>
      <c r="IX2052" s="10"/>
      <c r="IY2052" s="10"/>
      <c r="IZ2052" s="10"/>
      <c r="JA2052" s="10"/>
      <c r="JB2052" s="10"/>
    </row>
    <row r="2053" spans="1:262" hidden="1" outlineLevel="2" x14ac:dyDescent="0.25">
      <c r="A2053" s="186">
        <f>SUMIFS(МКД!$A$6:$A$389,МКД!$D$6:$D$389,Таблица1[[#This Row],[2]])</f>
        <v>364</v>
      </c>
      <c r="B2053" s="168"/>
      <c r="C2053" s="182" t="s">
        <v>547</v>
      </c>
      <c r="D2053" s="167" t="s">
        <v>2301</v>
      </c>
      <c r="E2053" s="167" t="s">
        <v>1366</v>
      </c>
      <c r="F2053" s="167"/>
      <c r="G2053" s="168">
        <f>SUMIFS(Таблица1[[#This Row],[8]:[19]],$I$5:$T$5,"Выкуп")</f>
        <v>50.5</v>
      </c>
      <c r="H2053" s="168">
        <f>SUMIFS(Таблица1[[#This Row],[8]:[19]],$I$5:$T$5,"Аренда")</f>
        <v>0</v>
      </c>
      <c r="I2053" s="167">
        <v>50.5</v>
      </c>
      <c r="J2053" s="167"/>
      <c r="K2053" s="167"/>
      <c r="L2053" s="167"/>
      <c r="M2053" s="167"/>
      <c r="N2053" s="167"/>
      <c r="O2053" s="167"/>
      <c r="P2053" s="167"/>
      <c r="Q2053" s="167"/>
      <c r="R2053" s="167"/>
      <c r="S2053" s="167"/>
      <c r="T2053" s="167"/>
      <c r="U2053" s="170"/>
      <c r="V2053" s="171"/>
    </row>
    <row r="2054" spans="1:262" hidden="1" outlineLevel="2" x14ac:dyDescent="0.25">
      <c r="A2054" s="186">
        <f>SUMIFS(МКД!$A$6:$A$389,МКД!$D$6:$D$389,Таблица1[[#This Row],[2]])</f>
        <v>364</v>
      </c>
      <c r="B2054" s="168"/>
      <c r="C2054" s="182" t="s">
        <v>547</v>
      </c>
      <c r="D2054" s="167" t="s">
        <v>2477</v>
      </c>
      <c r="E2054" s="167" t="s">
        <v>1815</v>
      </c>
      <c r="F2054" s="167"/>
      <c r="G2054" s="168">
        <f>SUMIFS(Таблица1[[#This Row],[8]:[19]],$I$5:$T$5,"Выкуп")</f>
        <v>52.6</v>
      </c>
      <c r="H2054" s="168">
        <f>SUMIFS(Таблица1[[#This Row],[8]:[19]],$I$5:$T$5,"Аренда")</f>
        <v>0</v>
      </c>
      <c r="I2054" s="167"/>
      <c r="J2054" s="167"/>
      <c r="K2054" s="167">
        <v>52.6</v>
      </c>
      <c r="L2054" s="167"/>
      <c r="M2054" s="167"/>
      <c r="N2054" s="167"/>
      <c r="O2054" s="167"/>
      <c r="P2054" s="167"/>
      <c r="Q2054" s="167"/>
      <c r="R2054" s="167"/>
      <c r="S2054" s="167"/>
      <c r="T2054" s="167"/>
      <c r="U2054" s="170"/>
      <c r="V2054" s="171"/>
    </row>
    <row r="2055" spans="1:262" hidden="1" outlineLevel="2" x14ac:dyDescent="0.25">
      <c r="A2055" s="186">
        <f>SUMIFS(МКД!$A$6:$A$389,МКД!$D$6:$D$389,Таблица1[[#This Row],[2]])</f>
        <v>364</v>
      </c>
      <c r="B2055" s="168"/>
      <c r="C2055" s="182" t="s">
        <v>547</v>
      </c>
      <c r="D2055" s="167" t="s">
        <v>1053</v>
      </c>
      <c r="E2055" s="167" t="s">
        <v>2828</v>
      </c>
      <c r="F2055" s="167"/>
      <c r="G2055" s="168">
        <f>SUMIFS(Таблица1[[#This Row],[8]:[19]],$I$5:$T$5,"Выкуп")</f>
        <v>191.7</v>
      </c>
      <c r="H2055" s="168">
        <f>SUMIFS(Таблица1[[#This Row],[8]:[19]],$I$5:$T$5,"Аренда")</f>
        <v>0</v>
      </c>
      <c r="I2055" s="167"/>
      <c r="J2055" s="167"/>
      <c r="K2055" s="167"/>
      <c r="L2055" s="167"/>
      <c r="M2055" s="374">
        <v>191.7</v>
      </c>
      <c r="N2055" s="167"/>
      <c r="O2055" s="167"/>
      <c r="P2055" s="167"/>
      <c r="Q2055" s="167"/>
      <c r="R2055" s="167"/>
      <c r="S2055" s="167"/>
      <c r="T2055" s="167"/>
      <c r="U2055" s="170"/>
      <c r="V2055" s="171"/>
    </row>
    <row r="2056" spans="1:262" ht="15" outlineLevel="1" collapsed="1" x14ac:dyDescent="0.25">
      <c r="A2056" s="186">
        <f>SUMIFS(МКД!$A$6:$A$389,МКД!$D$6:$D$389,Таблица1[[#This Row],[2]])</f>
        <v>365</v>
      </c>
      <c r="B2056" s="194">
        <f>SUMIFS(Таблица1[6],Таблица1[2],Таблица1[[#This Row],[2]])+SUMIFS(Таблица1[7],Таблица1[2],Таблица1[[#This Row],[2]])</f>
        <v>625.4</v>
      </c>
      <c r="C2056" s="185" t="s">
        <v>428</v>
      </c>
      <c r="D2056" s="196"/>
      <c r="E2056" s="196"/>
      <c r="F2056" s="196"/>
      <c r="G2056" s="168"/>
      <c r="H2056" s="197"/>
      <c r="I2056" s="196"/>
      <c r="J2056" s="196"/>
      <c r="K2056" s="196"/>
      <c r="L2056" s="196"/>
      <c r="M2056" s="196"/>
      <c r="N2056" s="196"/>
      <c r="O2056" s="196"/>
      <c r="P2056" s="196"/>
      <c r="Q2056" s="196"/>
      <c r="R2056" s="196"/>
      <c r="S2056" s="196"/>
      <c r="T2056" s="196"/>
      <c r="U2056" s="196"/>
      <c r="V2056" s="198"/>
    </row>
    <row r="2057" spans="1:262" hidden="1" outlineLevel="2" x14ac:dyDescent="0.25">
      <c r="A2057" s="186">
        <f>SUMIFS(МКД!$A$6:$A$389,МКД!$D$6:$D$389,Таблица1[[#This Row],[2]])</f>
        <v>365</v>
      </c>
      <c r="B2057" s="170"/>
      <c r="C2057" s="182" t="s">
        <v>428</v>
      </c>
      <c r="D2057" s="167" t="s">
        <v>81</v>
      </c>
      <c r="E2057" s="167" t="s">
        <v>1887</v>
      </c>
      <c r="F2057" s="167">
        <v>1</v>
      </c>
      <c r="G2057" s="168">
        <f>SUMIFS(Таблица1[[#This Row],[8]:[19]],$I$5:$T$5,"Выкуп")</f>
        <v>91.4</v>
      </c>
      <c r="H2057" s="168">
        <f>SUMIFS(Таблица1[[#This Row],[8]:[19]],$I$5:$T$5,"Аренда")</f>
        <v>0</v>
      </c>
      <c r="I2057" s="169"/>
      <c r="J2057" s="169"/>
      <c r="K2057" s="169">
        <v>91.4</v>
      </c>
      <c r="L2057" s="169"/>
      <c r="M2057" s="169"/>
      <c r="N2057" s="169"/>
      <c r="O2057" s="169"/>
      <c r="P2057" s="169"/>
      <c r="Q2057" s="169"/>
      <c r="R2057" s="169"/>
      <c r="S2057" s="169"/>
      <c r="T2057" s="169"/>
      <c r="U2057" s="170"/>
      <c r="V2057" s="171"/>
    </row>
    <row r="2058" spans="1:262" hidden="1" outlineLevel="2" x14ac:dyDescent="0.25">
      <c r="A2058" s="186">
        <f>SUMIFS(МКД!$A$6:$A$389,МКД!$D$6:$D$389,Таблица1[[#This Row],[2]])</f>
        <v>365</v>
      </c>
      <c r="B2058" s="168"/>
      <c r="C2058" s="182" t="s">
        <v>428</v>
      </c>
      <c r="D2058" s="167" t="s">
        <v>81</v>
      </c>
      <c r="E2058" s="167" t="s">
        <v>1888</v>
      </c>
      <c r="F2058" s="167">
        <v>1</v>
      </c>
      <c r="G2058" s="168">
        <f>SUMIFS(Таблица1[[#This Row],[8]:[19]],$I$5:$T$5,"Выкуп")</f>
        <v>231.7</v>
      </c>
      <c r="H2058" s="168">
        <f>SUMIFS(Таблица1[[#This Row],[8]:[19]],$I$5:$T$5,"Аренда")</f>
        <v>0</v>
      </c>
      <c r="I2058" s="169">
        <v>231.7</v>
      </c>
      <c r="J2058" s="169"/>
      <c r="K2058" s="169"/>
      <c r="L2058" s="169"/>
      <c r="M2058" s="169"/>
      <c r="N2058" s="169"/>
      <c r="O2058" s="169"/>
      <c r="P2058" s="169"/>
      <c r="Q2058" s="169"/>
      <c r="R2058" s="169"/>
      <c r="S2058" s="169"/>
      <c r="T2058" s="169"/>
      <c r="U2058" s="170"/>
      <c r="V2058" s="171"/>
    </row>
    <row r="2059" spans="1:262" s="21" customFormat="1" hidden="1" outlineLevel="2" x14ac:dyDescent="0.25">
      <c r="A2059" s="186">
        <f>SUMIFS(МКД!$A$6:$A$389,МКД!$D$6:$D$389,Таблица1[[#This Row],[2]])</f>
        <v>365</v>
      </c>
      <c r="B2059" s="168"/>
      <c r="C2059" s="182" t="s">
        <v>428</v>
      </c>
      <c r="D2059" s="167" t="s">
        <v>81</v>
      </c>
      <c r="E2059" s="167" t="s">
        <v>127</v>
      </c>
      <c r="F2059" s="167">
        <v>1</v>
      </c>
      <c r="G2059" s="168">
        <f>SUMIFS(Таблица1[[#This Row],[8]:[19]],$I$5:$T$5,"Выкуп")</f>
        <v>0</v>
      </c>
      <c r="H2059" s="168">
        <f>SUMIFS(Таблица1[[#This Row],[8]:[19]],$I$5:$T$5,"Аренда")</f>
        <v>164.6</v>
      </c>
      <c r="I2059" s="169"/>
      <c r="J2059" s="169">
        <v>3.9</v>
      </c>
      <c r="K2059" s="169"/>
      <c r="L2059" s="169">
        <v>152</v>
      </c>
      <c r="M2059" s="169"/>
      <c r="N2059" s="169"/>
      <c r="O2059" s="169"/>
      <c r="P2059" s="169">
        <v>8.6999999999999993</v>
      </c>
      <c r="Q2059" s="169"/>
      <c r="R2059" s="169"/>
      <c r="S2059" s="169"/>
      <c r="T2059" s="169"/>
      <c r="U2059" s="170"/>
      <c r="V2059" s="171"/>
    </row>
    <row r="2060" spans="1:262" s="21" customFormat="1" hidden="1" outlineLevel="2" x14ac:dyDescent="0.25">
      <c r="A2060" s="186">
        <f>SUMIFS(МКД!$A$6:$A$389,МКД!$D$6:$D$389,Таблица1[[#This Row],[2]])</f>
        <v>365</v>
      </c>
      <c r="B2060" s="168"/>
      <c r="C2060" s="182" t="s">
        <v>428</v>
      </c>
      <c r="D2060" s="167" t="s">
        <v>1986</v>
      </c>
      <c r="E2060" s="167" t="s">
        <v>895</v>
      </c>
      <c r="F2060" s="167"/>
      <c r="G2060" s="168">
        <f>SUMIFS(Таблица1[[#This Row],[8]:[19]],$I$5:$T$5,"Выкуп")</f>
        <v>121</v>
      </c>
      <c r="H2060" s="168">
        <f>SUMIFS(Таблица1[[#This Row],[8]:[19]],$I$5:$T$5,"Аренда")</f>
        <v>0</v>
      </c>
      <c r="I2060" s="169">
        <v>121</v>
      </c>
      <c r="J2060" s="169"/>
      <c r="K2060" s="169"/>
      <c r="L2060" s="169"/>
      <c r="M2060" s="169"/>
      <c r="N2060" s="169"/>
      <c r="O2060" s="169"/>
      <c r="P2060" s="169"/>
      <c r="Q2060" s="169"/>
      <c r="R2060" s="169"/>
      <c r="S2060" s="169"/>
      <c r="T2060" s="169"/>
      <c r="U2060" s="170"/>
      <c r="V2060" s="195"/>
    </row>
    <row r="2061" spans="1:262" s="22" customFormat="1" hidden="1" outlineLevel="2" x14ac:dyDescent="0.25">
      <c r="A2061" s="186">
        <f>SUMIFS(МКД!$A$6:$A$389,МКД!$D$6:$D$389,Таблица1[[#This Row],[2]])</f>
        <v>365</v>
      </c>
      <c r="B2061" s="168"/>
      <c r="C2061" s="182" t="s">
        <v>428</v>
      </c>
      <c r="D2061" s="167" t="s">
        <v>1986</v>
      </c>
      <c r="E2061" s="167" t="s">
        <v>1994</v>
      </c>
      <c r="F2061" s="167"/>
      <c r="G2061" s="168">
        <f>SUMIFS(Таблица1[[#This Row],[8]:[19]],$I$5:$T$5,"Выкуп")</f>
        <v>16.7</v>
      </c>
      <c r="H2061" s="168">
        <f>SUMIFS(Таблица1[[#This Row],[8]:[19]],$I$5:$T$5,"Аренда")</f>
        <v>0</v>
      </c>
      <c r="I2061" s="169"/>
      <c r="J2061" s="169"/>
      <c r="K2061" s="169"/>
      <c r="L2061" s="169"/>
      <c r="M2061" s="169"/>
      <c r="N2061" s="169"/>
      <c r="O2061" s="169">
        <v>16.7</v>
      </c>
      <c r="P2061" s="169"/>
      <c r="Q2061" s="169"/>
      <c r="R2061" s="169"/>
      <c r="S2061" s="169"/>
      <c r="T2061" s="169"/>
      <c r="U2061" s="170"/>
      <c r="V2061" s="195"/>
    </row>
    <row r="2062" spans="1:262" s="22" customFormat="1" ht="15" outlineLevel="1" collapsed="1" x14ac:dyDescent="0.25">
      <c r="A2062" s="186">
        <f>SUMIFS(МКД!$A$6:$A$389,МКД!$D$6:$D$389,Таблица1[[#This Row],[2]])</f>
        <v>366</v>
      </c>
      <c r="B2062" s="194">
        <f>SUMIFS(Таблица1[6],Таблица1[2],Таблица1[[#This Row],[2]])+SUMIFS(Таблица1[7],Таблица1[2],Таблица1[[#This Row],[2]])</f>
        <v>153</v>
      </c>
      <c r="C2062" s="185" t="s">
        <v>548</v>
      </c>
      <c r="D2062" s="196"/>
      <c r="E2062" s="196"/>
      <c r="F2062" s="196"/>
      <c r="G2062" s="168"/>
      <c r="H2062" s="197"/>
      <c r="I2062" s="196"/>
      <c r="J2062" s="196"/>
      <c r="K2062" s="196"/>
      <c r="L2062" s="196"/>
      <c r="M2062" s="196"/>
      <c r="N2062" s="196"/>
      <c r="O2062" s="196"/>
      <c r="P2062" s="196"/>
      <c r="Q2062" s="196"/>
      <c r="R2062" s="196"/>
      <c r="S2062" s="196"/>
      <c r="T2062" s="196"/>
      <c r="U2062" s="196"/>
      <c r="V2062" s="198"/>
    </row>
    <row r="2063" spans="1:262" hidden="1" outlineLevel="2" x14ac:dyDescent="0.25">
      <c r="A2063" s="186">
        <f>SUMIFS(МКД!$A$6:$A$389,МКД!$D$6:$D$389,Таблица1[[#This Row],[2]])</f>
        <v>366</v>
      </c>
      <c r="B2063" s="170"/>
      <c r="C2063" s="182" t="s">
        <v>548</v>
      </c>
      <c r="D2063" s="167" t="s">
        <v>1047</v>
      </c>
      <c r="E2063" s="167" t="s">
        <v>1048</v>
      </c>
      <c r="F2063" s="167"/>
      <c r="G2063" s="168">
        <f>SUMIFS(Таблица1[[#This Row],[8]:[19]],$I$5:$T$5,"Выкуп")</f>
        <v>69</v>
      </c>
      <c r="H2063" s="168">
        <f>SUMIFS(Таблица1[[#This Row],[8]:[19]],$I$5:$T$5,"Аренда")</f>
        <v>0</v>
      </c>
      <c r="I2063" s="169">
        <v>69</v>
      </c>
      <c r="J2063" s="169"/>
      <c r="K2063" s="169"/>
      <c r="L2063" s="169"/>
      <c r="M2063" s="169"/>
      <c r="N2063" s="169"/>
      <c r="O2063" s="169"/>
      <c r="P2063" s="169"/>
      <c r="Q2063" s="169"/>
      <c r="R2063" s="169"/>
      <c r="S2063" s="169"/>
      <c r="T2063" s="169"/>
      <c r="U2063" s="170"/>
      <c r="V2063" s="201"/>
    </row>
    <row r="2064" spans="1:262" s="22" customFormat="1" hidden="1" outlineLevel="2" x14ac:dyDescent="0.25">
      <c r="A2064" s="186">
        <f>SUMIFS(МКД!$A$6:$A$389,МКД!$D$6:$D$389,Таблица1[[#This Row],[2]])</f>
        <v>366</v>
      </c>
      <c r="B2064" s="168"/>
      <c r="C2064" s="182" t="s">
        <v>548</v>
      </c>
      <c r="D2064" s="167" t="s">
        <v>1394</v>
      </c>
      <c r="E2064" s="167" t="s">
        <v>2752</v>
      </c>
      <c r="F2064" s="167"/>
      <c r="G2064" s="168">
        <f>SUMIFS(Таблица1[[#This Row],[8]:[19]],$I$5:$T$5,"Выкуп")</f>
        <v>84</v>
      </c>
      <c r="H2064" s="168">
        <f>SUMIFS(Таблица1[[#This Row],[8]:[19]],$I$5:$T$5,"Аренда")</f>
        <v>0</v>
      </c>
      <c r="I2064" s="169"/>
      <c r="J2064" s="169"/>
      <c r="K2064" s="169"/>
      <c r="L2064" s="169"/>
      <c r="M2064" s="169">
        <v>84</v>
      </c>
      <c r="N2064" s="169"/>
      <c r="O2064" s="169"/>
      <c r="P2064" s="169"/>
      <c r="Q2064" s="169"/>
      <c r="R2064" s="169"/>
      <c r="S2064" s="169"/>
      <c r="T2064" s="169"/>
      <c r="U2064" s="170"/>
      <c r="V2064" s="171"/>
    </row>
    <row r="2065" spans="1:22" s="22" customFormat="1" ht="15" outlineLevel="1" collapsed="1" x14ac:dyDescent="0.25">
      <c r="A2065" s="186">
        <f>SUMIFS(МКД!$A$6:$A$389,МКД!$D$6:$D$389,Таблица1[[#This Row],[2]])</f>
        <v>367</v>
      </c>
      <c r="B2065" s="194">
        <f>SUMIFS(Таблица1[6],Таблица1[2],Таблица1[[#This Row],[2]])+SUMIFS(Таблица1[7],Таблица1[2],Таблица1[[#This Row],[2]])</f>
        <v>667.90000000000009</v>
      </c>
      <c r="C2065" s="185" t="s">
        <v>549</v>
      </c>
      <c r="D2065" s="196"/>
      <c r="E2065" s="196"/>
      <c r="F2065" s="196"/>
      <c r="G2065" s="168"/>
      <c r="H2065" s="197"/>
      <c r="I2065" s="196"/>
      <c r="J2065" s="196"/>
      <c r="K2065" s="196"/>
      <c r="L2065" s="196"/>
      <c r="M2065" s="196"/>
      <c r="N2065" s="196"/>
      <c r="O2065" s="196"/>
      <c r="P2065" s="196"/>
      <c r="Q2065" s="196"/>
      <c r="R2065" s="196"/>
      <c r="S2065" s="196"/>
      <c r="T2065" s="196"/>
      <c r="U2065" s="196"/>
      <c r="V2065" s="198"/>
    </row>
    <row r="2066" spans="1:22" hidden="1" outlineLevel="2" x14ac:dyDescent="0.25">
      <c r="A2066" s="186">
        <f>SUMIFS(МКД!$A$6:$A$389,МКД!$D$6:$D$389,Таблица1[[#This Row],[2]])</f>
        <v>367</v>
      </c>
      <c r="B2066" s="170"/>
      <c r="C2066" s="182" t="s">
        <v>549</v>
      </c>
      <c r="D2066" s="167" t="s">
        <v>110</v>
      </c>
      <c r="E2066" s="167" t="s">
        <v>2481</v>
      </c>
      <c r="F2066" s="167">
        <v>1</v>
      </c>
      <c r="G2066" s="168">
        <f>SUMIFS(Таблица1[[#This Row],[8]:[19]],$I$5:$T$5,"Выкуп")</f>
        <v>110.1</v>
      </c>
      <c r="H2066" s="168">
        <f>SUMIFS(Таблица1[[#This Row],[8]:[19]],$I$5:$T$5,"Аренда")</f>
        <v>0</v>
      </c>
      <c r="I2066" s="169">
        <v>110.1</v>
      </c>
      <c r="J2066" s="169"/>
      <c r="K2066" s="169"/>
      <c r="L2066" s="169"/>
      <c r="M2066" s="169"/>
      <c r="N2066" s="169"/>
      <c r="O2066" s="169"/>
      <c r="P2066" s="169"/>
      <c r="Q2066" s="169"/>
      <c r="R2066" s="169"/>
      <c r="S2066" s="169"/>
      <c r="T2066" s="169"/>
      <c r="U2066" s="170"/>
      <c r="V2066" s="201"/>
    </row>
    <row r="2067" spans="1:22" hidden="1" outlineLevel="2" x14ac:dyDescent="0.25">
      <c r="A2067" s="186">
        <f>SUMIFS(МКД!$A$6:$A$389,МКД!$D$6:$D$389,Таблица1[[#This Row],[2]])</f>
        <v>367</v>
      </c>
      <c r="B2067" s="168"/>
      <c r="C2067" s="182" t="s">
        <v>549</v>
      </c>
      <c r="D2067" s="167" t="s">
        <v>82</v>
      </c>
      <c r="E2067" s="167" t="s">
        <v>2480</v>
      </c>
      <c r="F2067" s="167">
        <v>1</v>
      </c>
      <c r="G2067" s="168">
        <f>SUMIFS(Таблица1[[#This Row],[8]:[19]],$I$5:$T$5,"Выкуп")</f>
        <v>128.4</v>
      </c>
      <c r="H2067" s="168">
        <f>SUMIFS(Таблица1[[#This Row],[8]:[19]],$I$5:$T$5,"Аренда")</f>
        <v>0</v>
      </c>
      <c r="I2067" s="169">
        <v>128.4</v>
      </c>
      <c r="J2067" s="169"/>
      <c r="K2067" s="169"/>
      <c r="L2067" s="169"/>
      <c r="M2067" s="169"/>
      <c r="N2067" s="169"/>
      <c r="O2067" s="169"/>
      <c r="P2067" s="169"/>
      <c r="Q2067" s="169"/>
      <c r="R2067" s="169"/>
      <c r="S2067" s="169"/>
      <c r="T2067" s="169"/>
      <c r="U2067" s="170"/>
      <c r="V2067" s="171"/>
    </row>
    <row r="2068" spans="1:22" s="21" customFormat="1" hidden="1" outlineLevel="2" x14ac:dyDescent="0.25">
      <c r="A2068" s="186">
        <f>SUMIFS(МКД!$A$6:$A$389,МКД!$D$6:$D$389,Таблица1[[#This Row],[2]])</f>
        <v>367</v>
      </c>
      <c r="B2068" s="168"/>
      <c r="C2068" s="182" t="s">
        <v>549</v>
      </c>
      <c r="D2068" s="167" t="s">
        <v>2048</v>
      </c>
      <c r="E2068" s="167" t="s">
        <v>221</v>
      </c>
      <c r="F2068" s="167"/>
      <c r="G2068" s="168">
        <f>SUMIFS(Таблица1[[#This Row],[8]:[19]],$I$5:$T$5,"Выкуп")</f>
        <v>50.5</v>
      </c>
      <c r="H2068" s="168">
        <f>SUMIFS(Таблица1[[#This Row],[8]:[19]],$I$5:$T$5,"Аренда")</f>
        <v>0</v>
      </c>
      <c r="I2068" s="169">
        <v>50.5</v>
      </c>
      <c r="J2068" s="169"/>
      <c r="K2068" s="169"/>
      <c r="L2068" s="169"/>
      <c r="M2068" s="169"/>
      <c r="N2068" s="169"/>
      <c r="O2068" s="169"/>
      <c r="P2068" s="169"/>
      <c r="Q2068" s="169"/>
      <c r="R2068" s="169"/>
      <c r="S2068" s="169"/>
      <c r="T2068" s="169"/>
      <c r="U2068" s="170"/>
      <c r="V2068" s="171"/>
    </row>
    <row r="2069" spans="1:22" hidden="1" outlineLevel="2" x14ac:dyDescent="0.25">
      <c r="A2069" s="186">
        <f>SUMIFS(МКД!$A$6:$A$389,МКД!$D$6:$D$389,Таблица1[[#This Row],[2]])</f>
        <v>367</v>
      </c>
      <c r="B2069" s="168"/>
      <c r="C2069" s="182" t="s">
        <v>549</v>
      </c>
      <c r="D2069" s="167" t="s">
        <v>83</v>
      </c>
      <c r="E2069" s="167" t="s">
        <v>2479</v>
      </c>
      <c r="F2069" s="167">
        <v>1</v>
      </c>
      <c r="G2069" s="168">
        <f>SUMIFS(Таблица1[[#This Row],[8]:[19]],$I$5:$T$5,"Выкуп")</f>
        <v>106.8</v>
      </c>
      <c r="H2069" s="168">
        <f>SUMIFS(Таблица1[[#This Row],[8]:[19]],$I$5:$T$5,"Аренда")</f>
        <v>0</v>
      </c>
      <c r="I2069" s="169">
        <v>106.8</v>
      </c>
      <c r="J2069" s="169"/>
      <c r="K2069" s="169"/>
      <c r="L2069" s="169"/>
      <c r="M2069" s="169"/>
      <c r="N2069" s="169"/>
      <c r="O2069" s="169"/>
      <c r="P2069" s="169"/>
      <c r="Q2069" s="169"/>
      <c r="R2069" s="169"/>
      <c r="S2069" s="169"/>
      <c r="T2069" s="169"/>
      <c r="U2069" s="170"/>
      <c r="V2069" s="195"/>
    </row>
    <row r="2070" spans="1:22" s="22" customFormat="1" hidden="1" outlineLevel="2" x14ac:dyDescent="0.25">
      <c r="A2070" s="186">
        <f>SUMIFS(МКД!$A$6:$A$389,МКД!$D$6:$D$389,Таблица1[[#This Row],[2]])</f>
        <v>367</v>
      </c>
      <c r="B2070" s="168"/>
      <c r="C2070" s="182" t="s">
        <v>549</v>
      </c>
      <c r="D2070" s="167" t="s">
        <v>2478</v>
      </c>
      <c r="E2070" s="167" t="s">
        <v>894</v>
      </c>
      <c r="F2070" s="167">
        <v>1</v>
      </c>
      <c r="G2070" s="168">
        <f>SUMIFS(Таблица1[[#This Row],[8]:[19]],$I$5:$T$5,"Выкуп")</f>
        <v>67.8</v>
      </c>
      <c r="H2070" s="168">
        <f>SUMIFS(Таблица1[[#This Row],[8]:[19]],$I$5:$T$5,"Аренда")</f>
        <v>0</v>
      </c>
      <c r="I2070" s="169">
        <v>67.8</v>
      </c>
      <c r="J2070" s="169"/>
      <c r="K2070" s="169"/>
      <c r="L2070" s="169"/>
      <c r="M2070" s="169"/>
      <c r="N2070" s="169"/>
      <c r="O2070" s="169"/>
      <c r="P2070" s="169"/>
      <c r="Q2070" s="169"/>
      <c r="R2070" s="169"/>
      <c r="S2070" s="169"/>
      <c r="T2070" s="169"/>
      <c r="U2070" s="170"/>
      <c r="V2070" s="171"/>
    </row>
    <row r="2071" spans="1:22" s="22" customFormat="1" hidden="1" outlineLevel="2" x14ac:dyDescent="0.25">
      <c r="A2071" s="186">
        <f>SUMIFS(МКД!$A$6:$A$389,МКД!$D$6:$D$389,Таблица1[[#This Row],[2]])</f>
        <v>367</v>
      </c>
      <c r="B2071" s="168"/>
      <c r="C2071" s="182" t="s">
        <v>549</v>
      </c>
      <c r="D2071" s="167" t="s">
        <v>1053</v>
      </c>
      <c r="E2071" s="167" t="s">
        <v>2827</v>
      </c>
      <c r="F2071" s="167">
        <v>1</v>
      </c>
      <c r="G2071" s="168">
        <f>SUMIFS(Таблица1[[#This Row],[8]:[19]],$I$5:$T$5,"Выкуп")</f>
        <v>204.3</v>
      </c>
      <c r="H2071" s="168">
        <f>SUMIFS(Таблица1[[#This Row],[8]:[19]],$I$5:$T$5,"Аренда")</f>
        <v>0</v>
      </c>
      <c r="I2071" s="169"/>
      <c r="J2071" s="169"/>
      <c r="K2071" s="169"/>
      <c r="L2071" s="169"/>
      <c r="M2071" s="169">
        <v>204.3</v>
      </c>
      <c r="N2071" s="169"/>
      <c r="O2071" s="169"/>
      <c r="P2071" s="169"/>
      <c r="Q2071" s="169"/>
      <c r="R2071" s="169"/>
      <c r="S2071" s="169"/>
      <c r="T2071" s="169"/>
      <c r="U2071" s="170"/>
      <c r="V2071" s="171"/>
    </row>
    <row r="2072" spans="1:22" s="22" customFormat="1" ht="15" outlineLevel="1" collapsed="1" x14ac:dyDescent="0.25">
      <c r="A2072" s="186">
        <f>SUMIFS(МКД!$A$6:$A$389,МКД!$D$6:$D$389,Таблица1[[#This Row],[2]])</f>
        <v>368</v>
      </c>
      <c r="B2072" s="194">
        <f>SUMIFS(Таблица1[6],Таблица1[2],Таблица1[[#This Row],[2]])+SUMIFS(Таблица1[7],Таблица1[2],Таблица1[[#This Row],[2]])</f>
        <v>609.20000000000005</v>
      </c>
      <c r="C2072" s="185" t="s">
        <v>550</v>
      </c>
      <c r="D2072" s="196"/>
      <c r="E2072" s="196"/>
      <c r="F2072" s="196"/>
      <c r="G2072" s="168"/>
      <c r="H2072" s="197"/>
      <c r="I2072" s="196"/>
      <c r="J2072" s="196"/>
      <c r="K2072" s="196"/>
      <c r="L2072" s="196"/>
      <c r="M2072" s="196"/>
      <c r="N2072" s="196"/>
      <c r="O2072" s="196"/>
      <c r="P2072" s="196"/>
      <c r="Q2072" s="196"/>
      <c r="R2072" s="196"/>
      <c r="S2072" s="196"/>
      <c r="T2072" s="196"/>
      <c r="U2072" s="196"/>
      <c r="V2072" s="198"/>
    </row>
    <row r="2073" spans="1:22" hidden="1" outlineLevel="2" x14ac:dyDescent="0.25">
      <c r="A2073" s="186">
        <f>SUMIFS(МКД!$A$6:$A$389,МКД!$D$6:$D$389,Таблица1[[#This Row],[2]])</f>
        <v>368</v>
      </c>
      <c r="B2073" s="170"/>
      <c r="C2073" s="182" t="s">
        <v>550</v>
      </c>
      <c r="D2073" s="167" t="s">
        <v>1430</v>
      </c>
      <c r="E2073" s="167" t="s">
        <v>2482</v>
      </c>
      <c r="F2073" s="167">
        <v>1</v>
      </c>
      <c r="G2073" s="168">
        <f>SUMIFS(Таблица1[[#This Row],[8]:[19]],$I$5:$T$5,"Выкуп")</f>
        <v>428.9</v>
      </c>
      <c r="H2073" s="168">
        <f>SUMIFS(Таблица1[[#This Row],[8]:[19]],$I$5:$T$5,"Аренда")</f>
        <v>0</v>
      </c>
      <c r="I2073" s="169">
        <v>338.2</v>
      </c>
      <c r="J2073" s="169"/>
      <c r="K2073" s="169">
        <v>90.7</v>
      </c>
      <c r="L2073" s="169"/>
      <c r="M2073" s="169"/>
      <c r="N2073" s="169"/>
      <c r="O2073" s="169"/>
      <c r="P2073" s="169"/>
      <c r="Q2073" s="169"/>
      <c r="R2073" s="169"/>
      <c r="S2073" s="169"/>
      <c r="T2073" s="169"/>
      <c r="U2073" s="170"/>
      <c r="V2073" s="201"/>
    </row>
    <row r="2074" spans="1:22" hidden="1" outlineLevel="2" x14ac:dyDescent="0.25">
      <c r="A2074" s="186">
        <f>SUMIFS(МКД!$A$6:$A$389,МКД!$D$6:$D$389,Таблица1[[#This Row],[2]])</f>
        <v>368</v>
      </c>
      <c r="B2074" s="168"/>
      <c r="C2074" s="182" t="s">
        <v>550</v>
      </c>
      <c r="D2074" s="167" t="s">
        <v>84</v>
      </c>
      <c r="E2074" s="167" t="s">
        <v>960</v>
      </c>
      <c r="F2074" s="167">
        <v>1</v>
      </c>
      <c r="G2074" s="168">
        <f>SUMIFS(Таблица1[[#This Row],[8]:[19]],$I$5:$T$5,"Выкуп")</f>
        <v>122.1</v>
      </c>
      <c r="H2074" s="168">
        <f>SUMIFS(Таблица1[[#This Row],[8]:[19]],$I$5:$T$5,"Аренда")</f>
        <v>0</v>
      </c>
      <c r="I2074" s="169"/>
      <c r="J2074" s="169"/>
      <c r="K2074" s="169">
        <v>122.1</v>
      </c>
      <c r="L2074" s="169"/>
      <c r="M2074" s="169"/>
      <c r="N2074" s="169"/>
      <c r="O2074" s="169"/>
      <c r="P2074" s="169"/>
      <c r="Q2074" s="169"/>
      <c r="R2074" s="169"/>
      <c r="S2074" s="169"/>
      <c r="T2074" s="169"/>
      <c r="U2074" s="170"/>
      <c r="V2074" s="171"/>
    </row>
    <row r="2075" spans="1:22" hidden="1" outlineLevel="2" x14ac:dyDescent="0.25">
      <c r="A2075" s="186">
        <f>SUMIFS(МКД!$A$6:$A$389,МКД!$D$6:$D$389,Таблица1[[#This Row],[2]])</f>
        <v>368</v>
      </c>
      <c r="B2075" s="168"/>
      <c r="C2075" s="182" t="s">
        <v>550</v>
      </c>
      <c r="D2075" s="167" t="s">
        <v>1593</v>
      </c>
      <c r="E2075" s="273" t="s">
        <v>1731</v>
      </c>
      <c r="F2075" s="167">
        <v>1</v>
      </c>
      <c r="G2075" s="168">
        <f>SUMIFS(Таблица1[[#This Row],[8]:[19]],$I$5:$T$5,"Выкуп")</f>
        <v>58.2</v>
      </c>
      <c r="H2075" s="168">
        <f>SUMIFS(Таблица1[[#This Row],[8]:[19]],$I$5:$T$5,"Аренда")</f>
        <v>0</v>
      </c>
      <c r="I2075" s="169"/>
      <c r="J2075" s="169"/>
      <c r="K2075" s="169">
        <v>58.2</v>
      </c>
      <c r="L2075" s="169"/>
      <c r="M2075" s="169"/>
      <c r="N2075" s="169"/>
      <c r="O2075" s="169"/>
      <c r="P2075" s="169"/>
      <c r="Q2075" s="169"/>
      <c r="R2075" s="169"/>
      <c r="S2075" s="169"/>
      <c r="T2075" s="169"/>
      <c r="U2075" s="170"/>
      <c r="V2075" s="171"/>
    </row>
    <row r="2076" spans="1:22" ht="15" outlineLevel="1" collapsed="1" x14ac:dyDescent="0.25">
      <c r="A2076" s="186">
        <f>SUMIFS(МКД!$A$6:$A$389,МКД!$D$6:$D$389,Таблица1[[#This Row],[2]])</f>
        <v>369</v>
      </c>
      <c r="B2076" s="194">
        <f>SUMIFS(Таблица1[6],Таблица1[2],Таблица1[[#This Row],[2]])+SUMIFS(Таблица1[7],Таблица1[2],Таблица1[[#This Row],[2]])</f>
        <v>239.60000000000002</v>
      </c>
      <c r="C2076" s="185" t="s">
        <v>1066</v>
      </c>
      <c r="D2076" s="196"/>
      <c r="E2076" s="196"/>
      <c r="F2076" s="196"/>
      <c r="G2076" s="168"/>
      <c r="H2076" s="197"/>
      <c r="I2076" s="196"/>
      <c r="J2076" s="196"/>
      <c r="K2076" s="196"/>
      <c r="L2076" s="196"/>
      <c r="M2076" s="196"/>
      <c r="N2076" s="196"/>
      <c r="O2076" s="196"/>
      <c r="P2076" s="196"/>
      <c r="Q2076" s="196"/>
      <c r="R2076" s="196"/>
      <c r="S2076" s="196"/>
      <c r="T2076" s="196"/>
      <c r="U2076" s="196"/>
      <c r="V2076" s="198"/>
    </row>
    <row r="2077" spans="1:22" s="22" customFormat="1" hidden="1" outlineLevel="2" x14ac:dyDescent="0.25">
      <c r="A2077" s="186">
        <f>SUMIFS(МКД!$A$6:$A$389,МКД!$D$6:$D$389,Таблица1[[#This Row],[2]])</f>
        <v>369</v>
      </c>
      <c r="B2077" s="170"/>
      <c r="C2077" s="182" t="s">
        <v>1066</v>
      </c>
      <c r="D2077" s="167" t="s">
        <v>2451</v>
      </c>
      <c r="E2077" s="167" t="s">
        <v>1890</v>
      </c>
      <c r="F2077" s="167">
        <v>1</v>
      </c>
      <c r="G2077" s="168">
        <f>SUMIFS(Таблица1[[#This Row],[8]:[19]],$I$5:$T$5,"Выкуп")</f>
        <v>73.8</v>
      </c>
      <c r="H2077" s="168">
        <f>SUMIFS(Таблица1[[#This Row],[8]:[19]],$I$5:$T$5,"Аренда")</f>
        <v>0</v>
      </c>
      <c r="I2077" s="169">
        <v>73.8</v>
      </c>
      <c r="J2077" s="169"/>
      <c r="K2077" s="169"/>
      <c r="L2077" s="169"/>
      <c r="M2077" s="169"/>
      <c r="N2077" s="169"/>
      <c r="O2077" s="169"/>
      <c r="P2077" s="169"/>
      <c r="Q2077" s="169"/>
      <c r="R2077" s="169"/>
      <c r="S2077" s="169"/>
      <c r="T2077" s="169"/>
      <c r="U2077" s="170"/>
      <c r="V2077" s="171"/>
    </row>
    <row r="2078" spans="1:22" s="22" customFormat="1" hidden="1" outlineLevel="2" x14ac:dyDescent="0.25">
      <c r="A2078" s="186">
        <f>SUMIFS(МКД!$A$6:$A$389,МКД!$D$6:$D$389,Таблица1[[#This Row],[2]])</f>
        <v>369</v>
      </c>
      <c r="B2078" s="170"/>
      <c r="C2078" s="182" t="s">
        <v>1066</v>
      </c>
      <c r="D2078" s="167" t="s">
        <v>1394</v>
      </c>
      <c r="E2078" s="167" t="s">
        <v>2454</v>
      </c>
      <c r="F2078" s="167">
        <v>1</v>
      </c>
      <c r="G2078" s="168">
        <f>SUMIFS(Таблица1[[#This Row],[8]:[19]],$I$5:$T$5,"Выкуп")</f>
        <v>165.8</v>
      </c>
      <c r="H2078" s="168">
        <f>SUMIFS(Таблица1[[#This Row],[8]:[19]],$I$5:$T$5,"Аренда")</f>
        <v>0</v>
      </c>
      <c r="I2078" s="169"/>
      <c r="J2078" s="169"/>
      <c r="K2078" s="169"/>
      <c r="L2078" s="169"/>
      <c r="M2078" s="278">
        <f>134.4+31.4</f>
        <v>165.8</v>
      </c>
      <c r="N2078" s="169"/>
      <c r="O2078" s="169"/>
      <c r="P2078" s="169"/>
      <c r="Q2078" s="169"/>
      <c r="R2078" s="169"/>
      <c r="S2078" s="169"/>
      <c r="T2078" s="169"/>
      <c r="U2078" s="170"/>
      <c r="V2078" s="171"/>
    </row>
    <row r="2079" spans="1:22" s="22" customFormat="1" ht="15" outlineLevel="1" collapsed="1" x14ac:dyDescent="0.25">
      <c r="A2079" s="186">
        <f>SUMIFS(МКД!$A$6:$A$389,МКД!$D$6:$D$389,Таблица1[[#This Row],[2]])</f>
        <v>370</v>
      </c>
      <c r="B2079" s="194">
        <f>SUMIFS(Таблица1[6],Таблица1[2],Таблица1[[#This Row],[2]])+SUMIFS(Таблица1[7],Таблица1[2],Таблица1[[#This Row],[2]])</f>
        <v>210.8</v>
      </c>
      <c r="C2079" s="185" t="s">
        <v>650</v>
      </c>
      <c r="D2079" s="196"/>
      <c r="E2079" s="196"/>
      <c r="F2079" s="196"/>
      <c r="G2079" s="168"/>
      <c r="H2079" s="197"/>
      <c r="I2079" s="196"/>
      <c r="J2079" s="196"/>
      <c r="K2079" s="196"/>
      <c r="L2079" s="196"/>
      <c r="M2079" s="196"/>
      <c r="N2079" s="196"/>
      <c r="O2079" s="196"/>
      <c r="P2079" s="196"/>
      <c r="Q2079" s="196"/>
      <c r="R2079" s="196"/>
      <c r="S2079" s="196"/>
      <c r="T2079" s="196"/>
      <c r="U2079" s="196"/>
      <c r="V2079" s="198"/>
    </row>
    <row r="2080" spans="1:22" hidden="1" outlineLevel="2" x14ac:dyDescent="0.25">
      <c r="A2080" s="186">
        <f>SUMIFS(МКД!$A$6:$A$389,МКД!$D$6:$D$389,Таблица1[[#This Row],[2]])</f>
        <v>370</v>
      </c>
      <c r="B2080" s="170"/>
      <c r="C2080" s="182" t="s">
        <v>650</v>
      </c>
      <c r="D2080" s="167" t="s">
        <v>2008</v>
      </c>
      <c r="E2080" s="167" t="s">
        <v>1495</v>
      </c>
      <c r="F2080" s="167">
        <v>1</v>
      </c>
      <c r="G2080" s="168">
        <f>SUMIFS(Таблица1[[#This Row],[8]:[19]],$I$5:$T$5,"Выкуп")</f>
        <v>20.950000000000003</v>
      </c>
      <c r="H2080" s="168">
        <f>SUMIFS(Таблица1[[#This Row],[8]:[19]],$I$5:$T$5,"Аренда")</f>
        <v>0</v>
      </c>
      <c r="I2080" s="169"/>
      <c r="J2080" s="169"/>
      <c r="K2080" s="169">
        <f>16.3+4.65</f>
        <v>20.950000000000003</v>
      </c>
      <c r="L2080" s="169"/>
      <c r="M2080" s="169"/>
      <c r="N2080" s="169"/>
      <c r="O2080" s="169"/>
      <c r="P2080" s="169"/>
      <c r="Q2080" s="169"/>
      <c r="R2080" s="169"/>
      <c r="S2080" s="169"/>
      <c r="T2080" s="169"/>
      <c r="U2080" s="170"/>
      <c r="V2080" s="201"/>
    </row>
    <row r="2081" spans="1:22" s="21" customFormat="1" hidden="1" outlineLevel="2" x14ac:dyDescent="0.25">
      <c r="A2081" s="186">
        <f>SUMIFS(МКД!$A$6:$A$389,МКД!$D$6:$D$389,Таблица1[[#This Row],[2]])</f>
        <v>370</v>
      </c>
      <c r="B2081" s="168"/>
      <c r="C2081" s="182" t="s">
        <v>650</v>
      </c>
      <c r="D2081" s="167" t="s">
        <v>1629</v>
      </c>
      <c r="E2081" s="167" t="s">
        <v>1567</v>
      </c>
      <c r="F2081" s="167">
        <v>1</v>
      </c>
      <c r="G2081" s="168">
        <f>SUMIFS(Таблица1[[#This Row],[8]:[19]],$I$5:$T$5,"Выкуп")</f>
        <v>46.2</v>
      </c>
      <c r="H2081" s="168">
        <f>SUMIFS(Таблица1[[#This Row],[8]:[19]],$I$5:$T$5,"Аренда")</f>
        <v>0</v>
      </c>
      <c r="I2081" s="169"/>
      <c r="J2081" s="169"/>
      <c r="K2081" s="169">
        <v>46.2</v>
      </c>
      <c r="L2081" s="169"/>
      <c r="M2081" s="169"/>
      <c r="N2081" s="169"/>
      <c r="O2081" s="169"/>
      <c r="P2081" s="169"/>
      <c r="Q2081" s="169"/>
      <c r="R2081" s="169"/>
      <c r="S2081" s="169"/>
      <c r="T2081" s="169"/>
      <c r="U2081" s="170"/>
      <c r="V2081" s="171"/>
    </row>
    <row r="2082" spans="1:22" hidden="1" outlineLevel="2" x14ac:dyDescent="0.25">
      <c r="A2082" s="186">
        <f>SUMIFS(МКД!$A$6:$A$389,МКД!$D$6:$D$389,Таблица1[[#This Row],[2]])</f>
        <v>370</v>
      </c>
      <c r="B2082" s="168"/>
      <c r="C2082" s="182" t="s">
        <v>650</v>
      </c>
      <c r="D2082" s="167" t="s">
        <v>1493</v>
      </c>
      <c r="E2082" s="167" t="s">
        <v>1494</v>
      </c>
      <c r="F2082" s="167">
        <v>1</v>
      </c>
      <c r="G2082" s="168">
        <f>SUMIFS(Таблица1[[#This Row],[8]:[19]],$I$5:$T$5,"Выкуп")</f>
        <v>24.55</v>
      </c>
      <c r="H2082" s="168">
        <f>SUMIFS(Таблица1[[#This Row],[8]:[19]],$I$5:$T$5,"Аренда")</f>
        <v>0</v>
      </c>
      <c r="I2082" s="169"/>
      <c r="J2082" s="169"/>
      <c r="K2082" s="169">
        <v>24.55</v>
      </c>
      <c r="L2082" s="169"/>
      <c r="M2082" s="169"/>
      <c r="N2082" s="169"/>
      <c r="O2082" s="169"/>
      <c r="P2082" s="169"/>
      <c r="Q2082" s="169"/>
      <c r="R2082" s="169"/>
      <c r="S2082" s="169"/>
      <c r="T2082" s="169"/>
      <c r="U2082" s="170"/>
      <c r="V2082" s="171"/>
    </row>
    <row r="2083" spans="1:22" hidden="1" outlineLevel="2" x14ac:dyDescent="0.25">
      <c r="A2083" s="186">
        <f>SUMIFS(МКД!$A$6:$A$389,МКД!$D$6:$D$389,Таблица1[[#This Row],[2]])</f>
        <v>370</v>
      </c>
      <c r="B2083" s="168"/>
      <c r="C2083" s="182" t="s">
        <v>650</v>
      </c>
      <c r="D2083" s="167" t="s">
        <v>1394</v>
      </c>
      <c r="E2083" s="167" t="s">
        <v>2752</v>
      </c>
      <c r="F2083" s="167">
        <v>1</v>
      </c>
      <c r="G2083" s="168">
        <f>SUMIFS(Таблица1[[#This Row],[8]:[19]],$I$5:$T$5,"Выкуп")</f>
        <v>119.1</v>
      </c>
      <c r="H2083" s="168">
        <f>SUMIFS(Таблица1[[#This Row],[8]:[19]],$I$5:$T$5,"Аренда")</f>
        <v>0</v>
      </c>
      <c r="I2083" s="169"/>
      <c r="J2083" s="169"/>
      <c r="K2083" s="169"/>
      <c r="L2083" s="169"/>
      <c r="M2083" s="169">
        <v>119.1</v>
      </c>
      <c r="N2083" s="169"/>
      <c r="O2083" s="169"/>
      <c r="P2083" s="169"/>
      <c r="Q2083" s="169"/>
      <c r="R2083" s="169"/>
      <c r="S2083" s="169"/>
      <c r="T2083" s="169"/>
      <c r="U2083" s="170"/>
      <c r="V2083" s="171"/>
    </row>
    <row r="2084" spans="1:22" s="21" customFormat="1" ht="15" outlineLevel="1" collapsed="1" x14ac:dyDescent="0.25">
      <c r="A2084" s="186">
        <f>SUMIFS(МКД!$A$6:$A$389,МКД!$D$6:$D$389,Таблица1[[#This Row],[2]])</f>
        <v>371</v>
      </c>
      <c r="B2084" s="194">
        <f>SUMIFS(Таблица1[6],Таблица1[2],Таблица1[[#This Row],[2]])+SUMIFS(Таблица1[7],Таблица1[2],Таблица1[[#This Row],[2]])</f>
        <v>693.59999999999991</v>
      </c>
      <c r="C2084" s="185" t="s">
        <v>551</v>
      </c>
      <c r="D2084" s="196"/>
      <c r="E2084" s="196"/>
      <c r="F2084" s="196"/>
      <c r="G2084" s="168"/>
      <c r="H2084" s="197"/>
      <c r="I2084" s="196"/>
      <c r="J2084" s="196"/>
      <c r="K2084" s="196"/>
      <c r="L2084" s="196"/>
      <c r="M2084" s="196"/>
      <c r="N2084" s="196"/>
      <c r="O2084" s="196"/>
      <c r="P2084" s="196"/>
      <c r="Q2084" s="196"/>
      <c r="R2084" s="196"/>
      <c r="S2084" s="196"/>
      <c r="T2084" s="196"/>
      <c r="U2084" s="196"/>
      <c r="V2084" s="198"/>
    </row>
    <row r="2085" spans="1:22" hidden="1" outlineLevel="2" x14ac:dyDescent="0.25">
      <c r="A2085" s="186">
        <f>SUMIFS(МКД!$A$6:$A$389,МКД!$D$6:$D$389,Таблица1[[#This Row],[2]])</f>
        <v>371</v>
      </c>
      <c r="B2085" s="170"/>
      <c r="C2085" s="182" t="s">
        <v>551</v>
      </c>
      <c r="D2085" s="167" t="s">
        <v>85</v>
      </c>
      <c r="E2085" s="167" t="s">
        <v>2483</v>
      </c>
      <c r="F2085" s="167">
        <v>1</v>
      </c>
      <c r="G2085" s="168">
        <f>SUMIFS(Таблица1[[#This Row],[8]:[19]],$I$5:$T$5,"Выкуп")</f>
        <v>637.29999999999995</v>
      </c>
      <c r="H2085" s="168">
        <f>SUMIFS(Таблица1[[#This Row],[8]:[19]],$I$5:$T$5,"Аренда")</f>
        <v>0</v>
      </c>
      <c r="I2085" s="169">
        <v>325.3</v>
      </c>
      <c r="J2085" s="169"/>
      <c r="K2085" s="169">
        <v>312</v>
      </c>
      <c r="L2085" s="169"/>
      <c r="M2085" s="169"/>
      <c r="N2085" s="169"/>
      <c r="O2085" s="169"/>
      <c r="P2085" s="169"/>
      <c r="Q2085" s="169"/>
      <c r="R2085" s="169"/>
      <c r="S2085" s="169"/>
      <c r="T2085" s="169"/>
      <c r="U2085" s="170"/>
      <c r="V2085" s="195"/>
    </row>
    <row r="2086" spans="1:22" s="22" customFormat="1" hidden="1" outlineLevel="2" x14ac:dyDescent="0.25">
      <c r="A2086" s="186">
        <f>SUMIFS(МКД!$A$6:$A$389,МКД!$D$6:$D$389,Таблица1[[#This Row],[2]])</f>
        <v>371</v>
      </c>
      <c r="B2086" s="168"/>
      <c r="C2086" s="182" t="s">
        <v>551</v>
      </c>
      <c r="D2086" s="167" t="s">
        <v>2484</v>
      </c>
      <c r="E2086" s="167" t="s">
        <v>2115</v>
      </c>
      <c r="F2086" s="167">
        <v>1</v>
      </c>
      <c r="G2086" s="168">
        <f>SUMIFS(Таблица1[[#This Row],[8]:[19]],$I$5:$T$5,"Выкуп")</f>
        <v>56.3</v>
      </c>
      <c r="H2086" s="168">
        <f>SUMIFS(Таблица1[[#This Row],[8]:[19]],$I$5:$T$5,"Аренда")</f>
        <v>0</v>
      </c>
      <c r="I2086" s="169"/>
      <c r="J2086" s="169"/>
      <c r="K2086" s="169">
        <v>56.3</v>
      </c>
      <c r="L2086" s="169"/>
      <c r="M2086" s="169"/>
      <c r="N2086" s="169"/>
      <c r="O2086" s="169"/>
      <c r="P2086" s="169"/>
      <c r="Q2086" s="169"/>
      <c r="R2086" s="169"/>
      <c r="S2086" s="169"/>
      <c r="T2086" s="169"/>
      <c r="U2086" s="170"/>
      <c r="V2086" s="171"/>
    </row>
    <row r="2087" spans="1:22" s="22" customFormat="1" ht="15" outlineLevel="1" collapsed="1" x14ac:dyDescent="0.25">
      <c r="A2087" s="186">
        <f>SUMIFS(МКД!$A$6:$A$389,МКД!$D$6:$D$389,Таблица1[[#This Row],[2]])</f>
        <v>372</v>
      </c>
      <c r="B2087" s="194">
        <f>SUMIFS(Таблица1[6],Таблица1[2],Таблица1[[#This Row],[2]])+SUMIFS(Таблица1[7],Таблица1[2],Таблица1[[#This Row],[2]])</f>
        <v>335.7</v>
      </c>
      <c r="C2087" s="185" t="s">
        <v>651</v>
      </c>
      <c r="D2087" s="196"/>
      <c r="E2087" s="196"/>
      <c r="F2087" s="196"/>
      <c r="G2087" s="168"/>
      <c r="H2087" s="197"/>
      <c r="I2087" s="196"/>
      <c r="J2087" s="196"/>
      <c r="K2087" s="196"/>
      <c r="L2087" s="196"/>
      <c r="M2087" s="196"/>
      <c r="N2087" s="196"/>
      <c r="O2087" s="196"/>
      <c r="P2087" s="196"/>
      <c r="Q2087" s="196"/>
      <c r="R2087" s="196"/>
      <c r="S2087" s="196"/>
      <c r="T2087" s="196"/>
      <c r="U2087" s="196"/>
      <c r="V2087" s="198"/>
    </row>
    <row r="2088" spans="1:22" hidden="1" outlineLevel="2" x14ac:dyDescent="0.25">
      <c r="A2088" s="186">
        <f>SUMIFS(МКД!$A$6:$A$389,МКД!$D$6:$D$389,Таблица1[[#This Row],[2]])</f>
        <v>372</v>
      </c>
      <c r="B2088" s="170"/>
      <c r="C2088" s="182" t="s">
        <v>651</v>
      </c>
      <c r="D2088" s="167" t="s">
        <v>1612</v>
      </c>
      <c r="E2088" s="167" t="s">
        <v>926</v>
      </c>
      <c r="F2088" s="167">
        <v>1</v>
      </c>
      <c r="G2088" s="168">
        <f>SUMIFS(Таблица1[[#This Row],[8]:[19]],$I$5:$T$5,"Выкуп")</f>
        <v>72.599999999999994</v>
      </c>
      <c r="H2088" s="168">
        <f>SUMIFS(Таблица1[[#This Row],[8]:[19]],$I$5:$T$5,"Аренда")</f>
        <v>0</v>
      </c>
      <c r="I2088" s="169">
        <v>72.599999999999994</v>
      </c>
      <c r="J2088" s="169"/>
      <c r="K2088" s="169"/>
      <c r="L2088" s="169"/>
      <c r="M2088" s="169"/>
      <c r="N2088" s="169"/>
      <c r="O2088" s="169"/>
      <c r="P2088" s="169"/>
      <c r="Q2088" s="169"/>
      <c r="R2088" s="169"/>
      <c r="S2088" s="169"/>
      <c r="T2088" s="169"/>
      <c r="U2088" s="170"/>
      <c r="V2088" s="201"/>
    </row>
    <row r="2089" spans="1:22" hidden="1" outlineLevel="2" x14ac:dyDescent="0.25">
      <c r="A2089" s="186">
        <f>SUMIFS(МКД!$A$6:$A$389,МКД!$D$6:$D$389,Таблица1[[#This Row],[2]])</f>
        <v>372</v>
      </c>
      <c r="B2089" s="168"/>
      <c r="C2089" s="182" t="s">
        <v>651</v>
      </c>
      <c r="D2089" s="167" t="s">
        <v>1534</v>
      </c>
      <c r="E2089" s="167" t="s">
        <v>1218</v>
      </c>
      <c r="F2089" s="167">
        <v>1</v>
      </c>
      <c r="G2089" s="168">
        <f>SUMIFS(Таблица1[[#This Row],[8]:[19]],$I$5:$T$5,"Выкуп")</f>
        <v>47.2</v>
      </c>
      <c r="H2089" s="168">
        <f>SUMIFS(Таблица1[[#This Row],[8]:[19]],$I$5:$T$5,"Аренда")</f>
        <v>0</v>
      </c>
      <c r="I2089" s="169">
        <v>47.2</v>
      </c>
      <c r="J2089" s="169"/>
      <c r="K2089" s="169"/>
      <c r="L2089" s="169"/>
      <c r="M2089" s="169"/>
      <c r="N2089" s="169"/>
      <c r="O2089" s="169"/>
      <c r="P2089" s="169"/>
      <c r="Q2089" s="169"/>
      <c r="R2089" s="169"/>
      <c r="S2089" s="169"/>
      <c r="T2089" s="169"/>
      <c r="U2089" s="170"/>
      <c r="V2089" s="171"/>
    </row>
    <row r="2090" spans="1:22" s="21" customFormat="1" hidden="1" outlineLevel="2" x14ac:dyDescent="0.25">
      <c r="A2090" s="186">
        <f>SUMIFS(МКД!$A$6:$A$389,МКД!$D$6:$D$389,Таблица1[[#This Row],[2]])</f>
        <v>372</v>
      </c>
      <c r="B2090" s="170"/>
      <c r="C2090" s="182" t="s">
        <v>651</v>
      </c>
      <c r="D2090" s="167" t="s">
        <v>1920</v>
      </c>
      <c r="E2090" s="167" t="s">
        <v>1191</v>
      </c>
      <c r="F2090" s="167">
        <v>1</v>
      </c>
      <c r="G2090" s="168">
        <f>SUMIFS(Таблица1[[#This Row],[8]:[19]],$I$5:$T$5,"Выкуп")</f>
        <v>74.3</v>
      </c>
      <c r="H2090" s="168">
        <f>SUMIFS(Таблица1[[#This Row],[8]:[19]],$I$5:$T$5,"Аренда")</f>
        <v>0</v>
      </c>
      <c r="I2090" s="169">
        <v>74.3</v>
      </c>
      <c r="J2090" s="169"/>
      <c r="K2090" s="169"/>
      <c r="L2090" s="169"/>
      <c r="M2090" s="169"/>
      <c r="N2090" s="169"/>
      <c r="O2090" s="169"/>
      <c r="P2090" s="169"/>
      <c r="Q2090" s="169"/>
      <c r="R2090" s="169"/>
      <c r="S2090" s="169"/>
      <c r="T2090" s="169"/>
      <c r="U2090" s="170"/>
      <c r="V2090" s="201"/>
    </row>
    <row r="2091" spans="1:22" s="22" customFormat="1" hidden="1" outlineLevel="2" x14ac:dyDescent="0.25">
      <c r="A2091" s="186">
        <f>SUMIFS(МКД!$A$6:$A$389,МКД!$D$6:$D$389,Таблица1[[#This Row],[2]])</f>
        <v>372</v>
      </c>
      <c r="B2091" s="168"/>
      <c r="C2091" s="182" t="s">
        <v>651</v>
      </c>
      <c r="D2091" s="167" t="s">
        <v>1394</v>
      </c>
      <c r="E2091" s="167" t="s">
        <v>2827</v>
      </c>
      <c r="F2091" s="167">
        <v>1</v>
      </c>
      <c r="G2091" s="168">
        <f>SUMIFS(Таблица1[[#This Row],[8]:[19]],$I$5:$T$5,"Выкуп")</f>
        <v>45.6</v>
      </c>
      <c r="H2091" s="168">
        <f>SUMIFS(Таблица1[[#This Row],[8]:[19]],$I$5:$T$5,"Аренда")</f>
        <v>0</v>
      </c>
      <c r="I2091" s="169"/>
      <c r="J2091" s="169"/>
      <c r="K2091" s="169"/>
      <c r="L2091" s="169"/>
      <c r="M2091" s="278">
        <v>45.6</v>
      </c>
      <c r="N2091" s="169"/>
      <c r="O2091" s="169"/>
      <c r="P2091" s="169"/>
      <c r="Q2091" s="169"/>
      <c r="R2091" s="169"/>
      <c r="S2091" s="169"/>
      <c r="T2091" s="169"/>
      <c r="U2091" s="170"/>
      <c r="V2091" s="171"/>
    </row>
    <row r="2092" spans="1:22" s="21" customFormat="1" hidden="1" outlineLevel="2" x14ac:dyDescent="0.25">
      <c r="A2092" s="186">
        <f>SUMIFS(МКД!$A$6:$A$389,МКД!$D$6:$D$389,Таблица1[[#This Row],[2]])</f>
        <v>372</v>
      </c>
      <c r="B2092" s="170"/>
      <c r="C2092" s="182" t="s">
        <v>651</v>
      </c>
      <c r="D2092" s="167" t="s">
        <v>2836</v>
      </c>
      <c r="E2092" s="167" t="s">
        <v>2827</v>
      </c>
      <c r="F2092" s="167">
        <v>1</v>
      </c>
      <c r="G2092" s="168">
        <f>SUMIFS(Таблица1[[#This Row],[8]:[19]],$I$5:$T$5,"Выкуп")</f>
        <v>96</v>
      </c>
      <c r="H2092" s="168">
        <f>SUMIFS(Таблица1[[#This Row],[8]:[19]],$I$5:$T$5,"Аренда")</f>
        <v>0</v>
      </c>
      <c r="I2092" s="169"/>
      <c r="J2092" s="169"/>
      <c r="K2092" s="169"/>
      <c r="L2092" s="169"/>
      <c r="M2092" s="278">
        <v>96</v>
      </c>
      <c r="N2092" s="169"/>
      <c r="O2092" s="169"/>
      <c r="P2092" s="169"/>
      <c r="Q2092" s="169"/>
      <c r="R2092" s="169"/>
      <c r="S2092" s="169"/>
      <c r="T2092" s="169"/>
      <c r="U2092" s="170"/>
      <c r="V2092" s="201"/>
    </row>
    <row r="2093" spans="1:22" s="21" customFormat="1" ht="15" outlineLevel="1" collapsed="1" x14ac:dyDescent="0.25">
      <c r="A2093" s="186">
        <f>SUMIFS(МКД!$A$6:$A$389,МКД!$D$6:$D$389,Таблица1[[#This Row],[2]])</f>
        <v>373</v>
      </c>
      <c r="B2093" s="194">
        <f>SUMIFS(Таблица1[6],Таблица1[2],Таблица1[[#This Row],[2]])+SUMIFS(Таблица1[7],Таблица1[2],Таблица1[[#This Row],[2]])</f>
        <v>417.1</v>
      </c>
      <c r="C2093" s="185" t="s">
        <v>552</v>
      </c>
      <c r="D2093" s="196"/>
      <c r="E2093" s="196"/>
      <c r="F2093" s="196"/>
      <c r="G2093" s="168"/>
      <c r="H2093" s="197"/>
      <c r="I2093" s="196"/>
      <c r="J2093" s="196"/>
      <c r="K2093" s="196"/>
      <c r="L2093" s="196"/>
      <c r="M2093" s="196"/>
      <c r="N2093" s="196"/>
      <c r="O2093" s="196"/>
      <c r="P2093" s="196"/>
      <c r="Q2093" s="196"/>
      <c r="R2093" s="196"/>
      <c r="S2093" s="196"/>
      <c r="T2093" s="196"/>
      <c r="U2093" s="196"/>
      <c r="V2093" s="198"/>
    </row>
    <row r="2094" spans="1:22" hidden="1" outlineLevel="2" x14ac:dyDescent="0.25">
      <c r="A2094" s="186">
        <f>SUMIFS(МКД!$A$6:$A$389,МКД!$D$6:$D$389,Таблица1[[#This Row],[2]])</f>
        <v>373</v>
      </c>
      <c r="B2094" s="170"/>
      <c r="C2094" s="182" t="s">
        <v>552</v>
      </c>
      <c r="D2094" s="167" t="s">
        <v>803</v>
      </c>
      <c r="E2094" s="167" t="s">
        <v>86</v>
      </c>
      <c r="F2094" s="167">
        <v>1</v>
      </c>
      <c r="G2094" s="168">
        <f>SUMIFS(Таблица1[[#This Row],[8]:[19]],$I$5:$T$5,"Выкуп")</f>
        <v>125.2</v>
      </c>
      <c r="H2094" s="168">
        <f>SUMIFS(Таблица1[[#This Row],[8]:[19]],$I$5:$T$5,"Аренда")</f>
        <v>0</v>
      </c>
      <c r="I2094" s="169">
        <v>125.2</v>
      </c>
      <c r="J2094" s="169"/>
      <c r="K2094" s="169"/>
      <c r="L2094" s="169"/>
      <c r="M2094" s="169"/>
      <c r="N2094" s="169"/>
      <c r="O2094" s="169"/>
      <c r="P2094" s="169"/>
      <c r="Q2094" s="169"/>
      <c r="R2094" s="169"/>
      <c r="S2094" s="169"/>
      <c r="T2094" s="169"/>
      <c r="U2094" s="170"/>
      <c r="V2094" s="195"/>
    </row>
    <row r="2095" spans="1:22" hidden="1" outlineLevel="2" x14ac:dyDescent="0.25">
      <c r="A2095" s="186">
        <f>SUMIFS(МКД!$A$6:$A$389,МКД!$D$6:$D$389,Таблица1[[#This Row],[2]])</f>
        <v>373</v>
      </c>
      <c r="B2095" s="168"/>
      <c r="C2095" s="182" t="s">
        <v>552</v>
      </c>
      <c r="D2095" s="167" t="s">
        <v>1450</v>
      </c>
      <c r="E2095" s="167" t="s">
        <v>1809</v>
      </c>
      <c r="F2095" s="167">
        <v>1</v>
      </c>
      <c r="G2095" s="168">
        <f>SUMIFS(Таблица1[[#This Row],[8]:[19]],$I$5:$T$5,"Выкуп")</f>
        <v>110.9</v>
      </c>
      <c r="H2095" s="168">
        <f>SUMIFS(Таблица1[[#This Row],[8]:[19]],$I$5:$T$5,"Аренда")</f>
        <v>0</v>
      </c>
      <c r="I2095" s="169"/>
      <c r="J2095" s="169"/>
      <c r="K2095" s="169">
        <v>110.9</v>
      </c>
      <c r="L2095" s="169"/>
      <c r="M2095" s="169"/>
      <c r="N2095" s="169"/>
      <c r="O2095" s="169"/>
      <c r="P2095" s="169"/>
      <c r="Q2095" s="169"/>
      <c r="R2095" s="169"/>
      <c r="S2095" s="169"/>
      <c r="T2095" s="169"/>
      <c r="U2095" s="170"/>
      <c r="V2095" s="171"/>
    </row>
    <row r="2096" spans="1:22" s="22" customFormat="1" hidden="1" outlineLevel="2" x14ac:dyDescent="0.25">
      <c r="A2096" s="186">
        <f>SUMIFS(МКД!$A$6:$A$389,МКД!$D$6:$D$389,Таблица1[[#This Row],[2]])</f>
        <v>373</v>
      </c>
      <c r="B2096" s="168"/>
      <c r="C2096" s="182" t="s">
        <v>552</v>
      </c>
      <c r="D2096" s="167" t="s">
        <v>1394</v>
      </c>
      <c r="E2096" s="167" t="s">
        <v>2755</v>
      </c>
      <c r="F2096" s="167">
        <v>1</v>
      </c>
      <c r="G2096" s="168">
        <f>SUMIFS(Таблица1[[#This Row],[8]:[19]],$I$5:$T$5,"Выкуп")</f>
        <v>55.9</v>
      </c>
      <c r="H2096" s="168">
        <f>SUMIFS(Таблица1[[#This Row],[8]:[19]],$I$5:$T$5,"Аренда")</f>
        <v>0</v>
      </c>
      <c r="I2096" s="169"/>
      <c r="J2096" s="169"/>
      <c r="K2096" s="169"/>
      <c r="L2096" s="169"/>
      <c r="M2096" s="278">
        <v>55.9</v>
      </c>
      <c r="N2096" s="169"/>
      <c r="O2096" s="169"/>
      <c r="P2096" s="169"/>
      <c r="Q2096" s="169"/>
      <c r="R2096" s="169"/>
      <c r="S2096" s="169"/>
      <c r="T2096" s="169"/>
      <c r="U2096" s="170"/>
      <c r="V2096" s="171"/>
    </row>
    <row r="2097" spans="1:22" s="22" customFormat="1" hidden="1" outlineLevel="2" x14ac:dyDescent="0.25">
      <c r="A2097" s="186">
        <f>SUMIFS(МКД!$A$6:$A$389,МКД!$D$6:$D$389,Таблица1[[#This Row],[2]])</f>
        <v>373</v>
      </c>
      <c r="B2097" s="168"/>
      <c r="C2097" s="182" t="s">
        <v>552</v>
      </c>
      <c r="D2097" s="167" t="s">
        <v>1394</v>
      </c>
      <c r="E2097" s="167" t="s">
        <v>2837</v>
      </c>
      <c r="F2097" s="167">
        <v>1</v>
      </c>
      <c r="G2097" s="168">
        <f>SUMIFS(Таблица1[[#This Row],[8]:[19]],$I$5:$T$5,"Выкуп")</f>
        <v>125.1</v>
      </c>
      <c r="H2097" s="168">
        <f>SUMIFS(Таблица1[[#This Row],[8]:[19]],$I$5:$T$5,"Аренда")</f>
        <v>0</v>
      </c>
      <c r="I2097" s="169"/>
      <c r="J2097" s="169"/>
      <c r="K2097" s="169"/>
      <c r="L2097" s="169"/>
      <c r="M2097" s="278">
        <v>125.1</v>
      </c>
      <c r="N2097" s="169"/>
      <c r="O2097" s="169"/>
      <c r="P2097" s="169"/>
      <c r="Q2097" s="169"/>
      <c r="R2097" s="169"/>
      <c r="S2097" s="169"/>
      <c r="T2097" s="169"/>
      <c r="U2097" s="170"/>
      <c r="V2097" s="171"/>
    </row>
    <row r="2098" spans="1:22" s="22" customFormat="1" ht="15" outlineLevel="1" collapsed="1" x14ac:dyDescent="0.25">
      <c r="A2098" s="186">
        <f>SUMIFS(МКД!$A$6:$A$389,МКД!$D$6:$D$389,Таблица1[[#This Row],[2]])</f>
        <v>374</v>
      </c>
      <c r="B2098" s="194">
        <f>SUMIFS(Таблица1[6],Таблица1[2],Таблица1[[#This Row],[2]])+SUMIFS(Таблица1[7],Таблица1[2],Таблица1[[#This Row],[2]])</f>
        <v>429.4</v>
      </c>
      <c r="C2098" s="185" t="s">
        <v>1322</v>
      </c>
      <c r="D2098" s="196"/>
      <c r="E2098" s="196"/>
      <c r="F2098" s="196"/>
      <c r="G2098" s="168"/>
      <c r="H2098" s="197"/>
      <c r="I2098" s="196"/>
      <c r="J2098" s="196"/>
      <c r="K2098" s="196"/>
      <c r="L2098" s="196"/>
      <c r="M2098" s="196"/>
      <c r="N2098" s="196"/>
      <c r="O2098" s="196"/>
      <c r="P2098" s="196"/>
      <c r="Q2098" s="196"/>
      <c r="R2098" s="196"/>
      <c r="S2098" s="196"/>
      <c r="T2098" s="196"/>
      <c r="U2098" s="196"/>
      <c r="V2098" s="198"/>
    </row>
    <row r="2099" spans="1:22" hidden="1" outlineLevel="2" x14ac:dyDescent="0.25">
      <c r="A2099" s="186">
        <f>SUMIFS(МКД!$A$6:$A$389,МКД!$D$6:$D$389,Таблица1[[#This Row],[2]])</f>
        <v>374</v>
      </c>
      <c r="B2099" s="170"/>
      <c r="C2099" s="182" t="s">
        <v>1322</v>
      </c>
      <c r="D2099" s="167" t="s">
        <v>2558</v>
      </c>
      <c r="E2099" s="167" t="s">
        <v>1452</v>
      </c>
      <c r="F2099" s="167">
        <v>1</v>
      </c>
      <c r="G2099" s="168">
        <f>SUMIFS(Таблица1[[#This Row],[8]:[19]],$I$5:$T$5,"Выкуп")</f>
        <v>69.400000000000006</v>
      </c>
      <c r="H2099" s="168">
        <f>SUMIFS(Таблица1[[#This Row],[8]:[19]],$I$5:$T$5,"Аренда")</f>
        <v>0</v>
      </c>
      <c r="I2099" s="169">
        <v>69.400000000000006</v>
      </c>
      <c r="J2099" s="169"/>
      <c r="K2099" s="169"/>
      <c r="L2099" s="169"/>
      <c r="M2099" s="169"/>
      <c r="N2099" s="169"/>
      <c r="O2099" s="169"/>
      <c r="P2099" s="169"/>
      <c r="Q2099" s="169"/>
      <c r="R2099" s="169"/>
      <c r="S2099" s="169"/>
      <c r="T2099" s="169"/>
      <c r="U2099" s="170"/>
      <c r="V2099" s="201"/>
    </row>
    <row r="2100" spans="1:22" hidden="1" outlineLevel="2" x14ac:dyDescent="0.25">
      <c r="A2100" s="186">
        <f>SUMIFS(МКД!$A$6:$A$389,МКД!$D$6:$D$389,Таблица1[[#This Row],[2]])</f>
        <v>374</v>
      </c>
      <c r="B2100" s="168"/>
      <c r="C2100" s="182" t="s">
        <v>1322</v>
      </c>
      <c r="D2100" s="167" t="s">
        <v>2558</v>
      </c>
      <c r="E2100" s="167" t="s">
        <v>1453</v>
      </c>
      <c r="F2100" s="167">
        <v>1</v>
      </c>
      <c r="G2100" s="168">
        <f>SUMIFS(Таблица1[[#This Row],[8]:[19]],$I$5:$T$5,"Выкуп")</f>
        <v>69</v>
      </c>
      <c r="H2100" s="168">
        <f>SUMIFS(Таблица1[[#This Row],[8]:[19]],$I$5:$T$5,"Аренда")</f>
        <v>0</v>
      </c>
      <c r="I2100" s="169">
        <v>69</v>
      </c>
      <c r="J2100" s="169"/>
      <c r="K2100" s="169"/>
      <c r="L2100" s="169"/>
      <c r="M2100" s="169"/>
      <c r="N2100" s="169"/>
      <c r="O2100" s="169"/>
      <c r="P2100" s="169"/>
      <c r="Q2100" s="169"/>
      <c r="R2100" s="169"/>
      <c r="S2100" s="169"/>
      <c r="T2100" s="169"/>
      <c r="U2100" s="170"/>
      <c r="V2100" s="171"/>
    </row>
    <row r="2101" spans="1:22" s="22" customFormat="1" hidden="1" outlineLevel="2" x14ac:dyDescent="0.25">
      <c r="A2101" s="186">
        <f>SUMIFS(МКД!$A$6:$A$389,МКД!$D$6:$D$389,Таблица1[[#This Row],[2]])</f>
        <v>374</v>
      </c>
      <c r="B2101" s="168"/>
      <c r="C2101" s="182" t="s">
        <v>1322</v>
      </c>
      <c r="D2101" s="167" t="s">
        <v>1568</v>
      </c>
      <c r="E2101" s="167" t="s">
        <v>1454</v>
      </c>
      <c r="F2101" s="167">
        <v>1</v>
      </c>
      <c r="G2101" s="168">
        <f>SUMIFS(Таблица1[[#This Row],[8]:[19]],$I$5:$T$5,"Выкуп")</f>
        <v>51.3</v>
      </c>
      <c r="H2101" s="168">
        <f>SUMIFS(Таблица1[[#This Row],[8]:[19]],$I$5:$T$5,"Аренда")</f>
        <v>0</v>
      </c>
      <c r="I2101" s="169">
        <v>51.3</v>
      </c>
      <c r="J2101" s="169"/>
      <c r="K2101" s="169"/>
      <c r="L2101" s="169"/>
      <c r="M2101" s="169"/>
      <c r="N2101" s="169"/>
      <c r="O2101" s="169"/>
      <c r="P2101" s="169"/>
      <c r="Q2101" s="169"/>
      <c r="R2101" s="169"/>
      <c r="S2101" s="169"/>
      <c r="T2101" s="169"/>
      <c r="U2101" s="170"/>
      <c r="V2101" s="171"/>
    </row>
    <row r="2102" spans="1:22" s="22" customFormat="1" hidden="1" outlineLevel="2" x14ac:dyDescent="0.25">
      <c r="A2102" s="186">
        <f>SUMIFS(МКД!$A$6:$A$389,МКД!$D$6:$D$389,Таблица1[[#This Row],[2]])</f>
        <v>374</v>
      </c>
      <c r="B2102" s="170"/>
      <c r="C2102" s="182" t="s">
        <v>1322</v>
      </c>
      <c r="D2102" s="167" t="s">
        <v>87</v>
      </c>
      <c r="E2102" s="167" t="s">
        <v>1451</v>
      </c>
      <c r="F2102" s="167">
        <v>1</v>
      </c>
      <c r="G2102" s="168">
        <f>SUMIFS(Таблица1[[#This Row],[8]:[19]],$I$5:$T$5,"Выкуп")</f>
        <v>73.2</v>
      </c>
      <c r="H2102" s="168">
        <f>SUMIFS(Таблица1[[#This Row],[8]:[19]],$I$5:$T$5,"Аренда")</f>
        <v>0</v>
      </c>
      <c r="I2102" s="169">
        <v>73.2</v>
      </c>
      <c r="J2102" s="169"/>
      <c r="K2102" s="169"/>
      <c r="L2102" s="169"/>
      <c r="M2102" s="169"/>
      <c r="N2102" s="169"/>
      <c r="O2102" s="169"/>
      <c r="P2102" s="169"/>
      <c r="Q2102" s="169"/>
      <c r="R2102" s="169"/>
      <c r="S2102" s="169"/>
      <c r="T2102" s="169"/>
      <c r="U2102" s="170"/>
      <c r="V2102" s="201"/>
    </row>
    <row r="2103" spans="1:22" hidden="1" outlineLevel="2" x14ac:dyDescent="0.25">
      <c r="A2103" s="186">
        <f>SUMIFS(МКД!$A$6:$A$389,МКД!$D$6:$D$389,Таблица1[[#This Row],[2]])</f>
        <v>374</v>
      </c>
      <c r="B2103" s="170"/>
      <c r="C2103" s="182" t="s">
        <v>1322</v>
      </c>
      <c r="D2103" s="167" t="s">
        <v>88</v>
      </c>
      <c r="E2103" s="167" t="s">
        <v>1455</v>
      </c>
      <c r="F2103" s="167">
        <v>1</v>
      </c>
      <c r="G2103" s="168">
        <f>SUMIFS(Таблица1[[#This Row],[8]:[19]],$I$5:$T$5,"Выкуп")</f>
        <v>46.7</v>
      </c>
      <c r="H2103" s="168">
        <f>SUMIFS(Таблица1[[#This Row],[8]:[19]],$I$5:$T$5,"Аренда")</f>
        <v>0</v>
      </c>
      <c r="I2103" s="169">
        <v>46.7</v>
      </c>
      <c r="J2103" s="169"/>
      <c r="K2103" s="169"/>
      <c r="L2103" s="169"/>
      <c r="M2103" s="169"/>
      <c r="N2103" s="169"/>
      <c r="O2103" s="169"/>
      <c r="P2103" s="169"/>
      <c r="Q2103" s="169"/>
      <c r="R2103" s="169"/>
      <c r="S2103" s="169"/>
      <c r="T2103" s="169"/>
      <c r="U2103" s="170"/>
      <c r="V2103" s="201"/>
    </row>
    <row r="2104" spans="1:22" hidden="1" outlineLevel="2" x14ac:dyDescent="0.25">
      <c r="A2104" s="186">
        <f>SUMIFS(МКД!$A$6:$A$389,МКД!$D$6:$D$389,Таблица1[[#This Row],[2]])</f>
        <v>374</v>
      </c>
      <c r="B2104" s="170"/>
      <c r="C2104" s="182" t="s">
        <v>1322</v>
      </c>
      <c r="D2104" s="167" t="s">
        <v>1053</v>
      </c>
      <c r="E2104" s="167" t="s">
        <v>2838</v>
      </c>
      <c r="F2104" s="167">
        <v>1</v>
      </c>
      <c r="G2104" s="320">
        <f>SUMIFS(Таблица1[[#This Row],[8]:[19]],$I$5:$T$5,"Выкуп")</f>
        <v>119.8</v>
      </c>
      <c r="H2104" s="168">
        <f>SUMIFS(Таблица1[[#This Row],[8]:[19]],$I$5:$T$5,"Аренда")</f>
        <v>0</v>
      </c>
      <c r="I2104" s="169"/>
      <c r="J2104" s="169"/>
      <c r="K2104" s="169"/>
      <c r="L2104" s="169"/>
      <c r="M2104" s="278">
        <v>119.8</v>
      </c>
      <c r="N2104" s="169"/>
      <c r="O2104" s="169"/>
      <c r="P2104" s="169"/>
      <c r="Q2104" s="169"/>
      <c r="R2104" s="169"/>
      <c r="S2104" s="169"/>
      <c r="T2104" s="169"/>
      <c r="U2104" s="170"/>
      <c r="V2104" s="201"/>
    </row>
    <row r="2105" spans="1:22" ht="15" outlineLevel="1" collapsed="1" x14ac:dyDescent="0.25">
      <c r="A2105" s="186">
        <f>SUMIFS(МКД!$A$6:$A$389,МКД!$D$6:$D$389,Таблица1[[#This Row],[2]])</f>
        <v>376</v>
      </c>
      <c r="B2105" s="194">
        <f>SUMIFS(Таблица1[6],Таблица1[2],Таблица1[[#This Row],[2]])+SUMIFS(Таблица1[7],Таблица1[2],Таблица1[[#This Row],[2]])</f>
        <v>887.5</v>
      </c>
      <c r="C2105" s="185" t="s">
        <v>652</v>
      </c>
      <c r="D2105" s="196"/>
      <c r="E2105" s="196"/>
      <c r="F2105" s="196"/>
      <c r="G2105" s="168"/>
      <c r="H2105" s="197"/>
      <c r="I2105" s="196"/>
      <c r="J2105" s="196"/>
      <c r="K2105" s="196"/>
      <c r="L2105" s="196"/>
      <c r="M2105" s="196"/>
      <c r="N2105" s="196"/>
      <c r="O2105" s="196"/>
      <c r="P2105" s="196"/>
      <c r="Q2105" s="196"/>
      <c r="R2105" s="196"/>
      <c r="S2105" s="196"/>
      <c r="T2105" s="196"/>
      <c r="U2105" s="196"/>
      <c r="V2105" s="198"/>
    </row>
    <row r="2106" spans="1:22" hidden="1" outlineLevel="2" x14ac:dyDescent="0.25">
      <c r="A2106" s="186">
        <f>SUMIFS(МКД!$A$6:$A$389,МКД!$D$6:$D$389,Таблица1[[#This Row],[2]])</f>
        <v>376</v>
      </c>
      <c r="B2106" s="170"/>
      <c r="C2106" s="182" t="s">
        <v>652</v>
      </c>
      <c r="D2106" s="167" t="s">
        <v>746</v>
      </c>
      <c r="E2106" s="167" t="s">
        <v>828</v>
      </c>
      <c r="F2106" s="167">
        <v>1</v>
      </c>
      <c r="G2106" s="168">
        <f>SUMIFS(Таблица1[[#This Row],[8]:[19]],$I$5:$T$5,"Выкуп")</f>
        <v>204.5</v>
      </c>
      <c r="H2106" s="168">
        <f>SUMIFS(Таблица1[[#This Row],[8]:[19]],$I$5:$T$5,"Аренда")</f>
        <v>0</v>
      </c>
      <c r="I2106" s="169">
        <f>204.5-64.2</f>
        <v>140.30000000000001</v>
      </c>
      <c r="J2106" s="169"/>
      <c r="K2106" s="169">
        <v>64.2</v>
      </c>
      <c r="L2106" s="169"/>
      <c r="M2106" s="169"/>
      <c r="N2106" s="169"/>
      <c r="O2106" s="169"/>
      <c r="P2106" s="169"/>
      <c r="Q2106" s="169"/>
      <c r="R2106" s="169"/>
      <c r="S2106" s="169"/>
      <c r="T2106" s="169"/>
      <c r="U2106" s="170"/>
      <c r="V2106" s="171"/>
    </row>
    <row r="2107" spans="1:22" hidden="1" outlineLevel="2" x14ac:dyDescent="0.25">
      <c r="A2107" s="186">
        <f>SUMIFS(МКД!$A$6:$A$389,МКД!$D$6:$D$389,Таблица1[[#This Row],[2]])</f>
        <v>376</v>
      </c>
      <c r="B2107" s="168"/>
      <c r="C2107" s="182" t="s">
        <v>652</v>
      </c>
      <c r="D2107" s="167" t="s">
        <v>56</v>
      </c>
      <c r="E2107" s="167" t="s">
        <v>764</v>
      </c>
      <c r="F2107" s="167">
        <v>1</v>
      </c>
      <c r="G2107" s="168">
        <f>SUMIFS(Таблица1[[#This Row],[8]:[19]],$I$5:$T$5,"Выкуп")</f>
        <v>163.30000000000001</v>
      </c>
      <c r="H2107" s="168">
        <f>SUMIFS(Таблица1[[#This Row],[8]:[19]],$I$5:$T$5,"Аренда")</f>
        <v>0</v>
      </c>
      <c r="I2107" s="169">
        <v>163.30000000000001</v>
      </c>
      <c r="J2107" s="169"/>
      <c r="K2107" s="169"/>
      <c r="L2107" s="169"/>
      <c r="M2107" s="169"/>
      <c r="N2107" s="169"/>
      <c r="O2107" s="169"/>
      <c r="P2107" s="169"/>
      <c r="Q2107" s="169"/>
      <c r="R2107" s="169"/>
      <c r="S2107" s="169"/>
      <c r="T2107" s="169"/>
      <c r="U2107" s="170"/>
      <c r="V2107" s="171"/>
    </row>
    <row r="2108" spans="1:22" s="22" customFormat="1" hidden="1" outlineLevel="2" x14ac:dyDescent="0.25">
      <c r="A2108" s="186">
        <f>SUMIFS(МКД!$A$6:$A$389,МКД!$D$6:$D$389,Таблица1[[#This Row],[2]])</f>
        <v>376</v>
      </c>
      <c r="B2108" s="168"/>
      <c r="C2108" s="182" t="s">
        <v>652</v>
      </c>
      <c r="D2108" s="167" t="s">
        <v>1663</v>
      </c>
      <c r="E2108" s="167" t="s">
        <v>762</v>
      </c>
      <c r="F2108" s="167">
        <v>1</v>
      </c>
      <c r="G2108" s="168">
        <f>SUMIFS(Таблица1[[#This Row],[8]:[19]],$I$5:$T$5,"Выкуп")</f>
        <v>45.5</v>
      </c>
      <c r="H2108" s="168">
        <f>SUMIFS(Таблица1[[#This Row],[8]:[19]],$I$5:$T$5,"Аренда")</f>
        <v>0</v>
      </c>
      <c r="I2108" s="169">
        <v>45.5</v>
      </c>
      <c r="J2108" s="169"/>
      <c r="K2108" s="169"/>
      <c r="L2108" s="169"/>
      <c r="M2108" s="169"/>
      <c r="N2108" s="169"/>
      <c r="O2108" s="169"/>
      <c r="P2108" s="169"/>
      <c r="Q2108" s="169"/>
      <c r="R2108" s="169"/>
      <c r="S2108" s="169"/>
      <c r="T2108" s="169"/>
      <c r="U2108" s="170"/>
      <c r="V2108" s="171"/>
    </row>
    <row r="2109" spans="1:22" s="142" customFormat="1" hidden="1" outlineLevel="2" x14ac:dyDescent="0.25">
      <c r="A2109" s="186">
        <f>SUMIFS(МКД!$A$6:$A$389,МКД!$D$6:$D$389,Таблица1[[#This Row],[2]])</f>
        <v>376</v>
      </c>
      <c r="B2109" s="168"/>
      <c r="C2109" s="182" t="s">
        <v>652</v>
      </c>
      <c r="D2109" s="167" t="s">
        <v>1836</v>
      </c>
      <c r="E2109" s="167" t="s">
        <v>206</v>
      </c>
      <c r="F2109" s="167">
        <v>1</v>
      </c>
      <c r="G2109" s="168">
        <f>SUMIFS(Таблица1[[#This Row],[8]:[19]],$I$5:$T$5,"Выкуп")</f>
        <v>15.9</v>
      </c>
      <c r="H2109" s="168">
        <f>SUMIFS(Таблица1[[#This Row],[8]:[19]],$I$5:$T$5,"Аренда")</f>
        <v>0</v>
      </c>
      <c r="I2109" s="169">
        <v>15.9</v>
      </c>
      <c r="J2109" s="169"/>
      <c r="K2109" s="169"/>
      <c r="L2109" s="169"/>
      <c r="M2109" s="169"/>
      <c r="N2109" s="169"/>
      <c r="O2109" s="169"/>
      <c r="P2109" s="169"/>
      <c r="Q2109" s="169"/>
      <c r="R2109" s="169"/>
      <c r="S2109" s="169"/>
      <c r="T2109" s="169"/>
      <c r="U2109" s="170"/>
      <c r="V2109" s="171"/>
    </row>
    <row r="2110" spans="1:22" s="21" customFormat="1" hidden="1" outlineLevel="2" x14ac:dyDescent="0.25">
      <c r="A2110" s="186">
        <f>SUMIFS(МКД!$A$6:$A$389,МКД!$D$6:$D$389,Таблица1[[#This Row],[2]])</f>
        <v>376</v>
      </c>
      <c r="B2110" s="168"/>
      <c r="C2110" s="182" t="s">
        <v>652</v>
      </c>
      <c r="D2110" s="167" t="s">
        <v>2083</v>
      </c>
      <c r="E2110" s="167" t="s">
        <v>2082</v>
      </c>
      <c r="F2110" s="167">
        <v>1</v>
      </c>
      <c r="G2110" s="168">
        <f>SUMIFS(Таблица1[[#This Row],[8]:[19]],$I$5:$T$5,"Выкуп")</f>
        <v>103.3</v>
      </c>
      <c r="H2110" s="168">
        <f>SUMIFS(Таблица1[[#This Row],[8]:[19]],$I$5:$T$5,"Аренда")</f>
        <v>0</v>
      </c>
      <c r="I2110" s="169">
        <v>103.3</v>
      </c>
      <c r="J2110" s="169"/>
      <c r="K2110" s="169"/>
      <c r="L2110" s="169"/>
      <c r="M2110" s="169"/>
      <c r="N2110" s="169"/>
      <c r="O2110" s="169"/>
      <c r="P2110" s="169"/>
      <c r="Q2110" s="169"/>
      <c r="R2110" s="169"/>
      <c r="S2110" s="169"/>
      <c r="T2110" s="169"/>
      <c r="U2110" s="170"/>
      <c r="V2110" s="171"/>
    </row>
    <row r="2111" spans="1:22" hidden="1" outlineLevel="2" x14ac:dyDescent="0.25">
      <c r="A2111" s="186">
        <f>SUMIFS(МКД!$A$6:$A$389,МКД!$D$6:$D$389,Таблица1[[#This Row],[2]])</f>
        <v>376</v>
      </c>
      <c r="B2111" s="168"/>
      <c r="C2111" s="182" t="s">
        <v>652</v>
      </c>
      <c r="D2111" s="167" t="s">
        <v>273</v>
      </c>
      <c r="E2111" s="167" t="s">
        <v>2081</v>
      </c>
      <c r="F2111" s="167">
        <v>1</v>
      </c>
      <c r="G2111" s="168">
        <f>SUMIFS(Таблица1[[#This Row],[8]:[19]],$I$5:$T$5,"Выкуп")</f>
        <v>72</v>
      </c>
      <c r="H2111" s="168">
        <f>SUMIFS(Таблица1[[#This Row],[8]:[19]],$I$5:$T$5,"Аренда")</f>
        <v>0</v>
      </c>
      <c r="I2111" s="169">
        <v>72</v>
      </c>
      <c r="J2111" s="169"/>
      <c r="K2111" s="169"/>
      <c r="L2111" s="169"/>
      <c r="M2111" s="169"/>
      <c r="N2111" s="169"/>
      <c r="O2111" s="169"/>
      <c r="P2111" s="169"/>
      <c r="Q2111" s="169"/>
      <c r="R2111" s="169"/>
      <c r="S2111" s="169"/>
      <c r="T2111" s="169"/>
      <c r="U2111" s="170"/>
      <c r="V2111" s="195"/>
    </row>
    <row r="2112" spans="1:22" hidden="1" outlineLevel="2" x14ac:dyDescent="0.25">
      <c r="A2112" s="186">
        <f>SUMIFS(МКД!$A$6:$A$389,МКД!$D$6:$D$389,Таблица1[[#This Row],[2]])</f>
        <v>376</v>
      </c>
      <c r="B2112" s="168"/>
      <c r="C2112" s="182" t="s">
        <v>652</v>
      </c>
      <c r="D2112" s="167" t="s">
        <v>1053</v>
      </c>
      <c r="E2112" s="167" t="s">
        <v>1949</v>
      </c>
      <c r="F2112" s="167">
        <v>1</v>
      </c>
      <c r="G2112" s="168">
        <f>SUMIFS(Таблица1[[#This Row],[8]:[19]],$I$5:$T$5,"Выкуп")</f>
        <v>25.9</v>
      </c>
      <c r="H2112" s="168">
        <f>SUMIFS(Таблица1[[#This Row],[8]:[19]],$I$5:$T$5,"Аренда")</f>
        <v>0</v>
      </c>
      <c r="I2112" s="169">
        <v>25.9</v>
      </c>
      <c r="J2112" s="169"/>
      <c r="K2112" s="169"/>
      <c r="L2112" s="169"/>
      <c r="M2112" s="169"/>
      <c r="N2112" s="169"/>
      <c r="O2112" s="169"/>
      <c r="P2112" s="169"/>
      <c r="Q2112" s="169"/>
      <c r="R2112" s="169"/>
      <c r="S2112" s="169"/>
      <c r="T2112" s="169"/>
      <c r="U2112" s="170"/>
      <c r="V2112" s="195"/>
    </row>
    <row r="2113" spans="1:22" hidden="1" outlineLevel="2" x14ac:dyDescent="0.25">
      <c r="A2113" s="186">
        <f>SUMIFS(МКД!$A$6:$A$389,МКД!$D$6:$D$389,Таблица1[[#This Row],[2]])</f>
        <v>376</v>
      </c>
      <c r="B2113" s="168"/>
      <c r="C2113" s="182" t="s">
        <v>652</v>
      </c>
      <c r="D2113" s="167" t="s">
        <v>1394</v>
      </c>
      <c r="E2113" s="167" t="s">
        <v>2752</v>
      </c>
      <c r="F2113" s="167">
        <v>1</v>
      </c>
      <c r="G2113" s="168">
        <f>SUMIFS(Таблица1[[#This Row],[8]:[19]],$I$5:$T$5,"Выкуп")</f>
        <v>257.10000000000002</v>
      </c>
      <c r="H2113" s="168">
        <f>SUMIFS(Таблица1[[#This Row],[8]:[19]],$I$5:$T$5,"Аренда")</f>
        <v>0</v>
      </c>
      <c r="I2113" s="169"/>
      <c r="J2113" s="169"/>
      <c r="K2113" s="169"/>
      <c r="L2113" s="169"/>
      <c r="M2113" s="169">
        <v>257.10000000000002</v>
      </c>
      <c r="N2113" s="169"/>
      <c r="O2113" s="169"/>
      <c r="P2113" s="169"/>
      <c r="Q2113" s="169"/>
      <c r="R2113" s="169"/>
      <c r="S2113" s="169"/>
      <c r="T2113" s="169"/>
      <c r="U2113" s="170"/>
      <c r="V2113" s="195"/>
    </row>
    <row r="2114" spans="1:22" s="142" customFormat="1" ht="15" outlineLevel="1" collapsed="1" x14ac:dyDescent="0.25">
      <c r="B2114" s="161"/>
      <c r="C2114" s="161"/>
      <c r="D2114" s="161"/>
      <c r="E2114" s="161"/>
      <c r="F2114" s="161"/>
      <c r="G2114" s="145"/>
      <c r="H2114" s="162"/>
      <c r="I2114" s="161"/>
      <c r="J2114" s="161"/>
      <c r="K2114" s="161"/>
      <c r="L2114" s="161"/>
      <c r="M2114" s="161"/>
      <c r="N2114" s="161"/>
      <c r="O2114" s="161"/>
      <c r="P2114" s="161"/>
      <c r="Q2114" s="161"/>
      <c r="R2114" s="161"/>
      <c r="S2114" s="161"/>
      <c r="T2114" s="161"/>
      <c r="U2114" s="161"/>
      <c r="V2114" s="161"/>
    </row>
    <row r="2115" spans="1:22" s="142" customFormat="1" ht="15" outlineLevel="1" x14ac:dyDescent="0.25">
      <c r="B2115" s="161"/>
      <c r="C2115" s="161"/>
      <c r="D2115" s="161"/>
      <c r="E2115" s="161"/>
      <c r="F2115" s="161"/>
      <c r="G2115" s="145"/>
      <c r="H2115" s="162"/>
      <c r="I2115" s="161"/>
      <c r="J2115" s="161"/>
      <c r="K2115" s="161"/>
      <c r="L2115" s="161"/>
      <c r="M2115" s="161"/>
      <c r="N2115" s="161"/>
      <c r="O2115" s="161"/>
      <c r="P2115" s="161"/>
      <c r="Q2115" s="161"/>
      <c r="R2115" s="161"/>
      <c r="S2115" s="161"/>
      <c r="T2115" s="161"/>
      <c r="U2115" s="161"/>
      <c r="V2115" s="161"/>
    </row>
    <row r="2116" spans="1:22" s="142" customFormat="1" ht="15" outlineLevel="1" x14ac:dyDescent="0.25">
      <c r="A2116" s="178"/>
      <c r="B2116" s="204">
        <f>SUM(G2117:G2122)</f>
        <v>2204.8000000000002</v>
      </c>
      <c r="C2116" s="163" t="s">
        <v>1340</v>
      </c>
      <c r="D2116" s="164"/>
      <c r="E2116" s="164"/>
      <c r="F2116" s="164"/>
      <c r="G2116" s="165"/>
      <c r="H2116" s="163"/>
      <c r="I2116" s="164"/>
      <c r="J2116" s="164"/>
      <c r="K2116" s="164"/>
      <c r="L2116" s="164"/>
      <c r="M2116" s="164"/>
      <c r="N2116" s="164"/>
      <c r="O2116" s="164"/>
      <c r="P2116" s="164"/>
      <c r="Q2116" s="164"/>
      <c r="R2116" s="164"/>
      <c r="S2116" s="164"/>
      <c r="T2116" s="164"/>
      <c r="U2116" s="164"/>
      <c r="V2116" s="166"/>
    </row>
    <row r="2117" spans="1:22" s="157" customFormat="1" outlineLevel="1" x14ac:dyDescent="0.25">
      <c r="A2117" s="186"/>
      <c r="B2117" s="170"/>
      <c r="C2117" s="182" t="s">
        <v>598</v>
      </c>
      <c r="D2117" s="167" t="s">
        <v>189</v>
      </c>
      <c r="E2117" s="199" t="s">
        <v>119</v>
      </c>
      <c r="F2117" s="169"/>
      <c r="G2117" s="170">
        <f t="shared" ref="G2117:G2122" si="0">U2117</f>
        <v>35.700000000000003</v>
      </c>
      <c r="H2117" s="168"/>
      <c r="I2117" s="169"/>
      <c r="J2117" s="169"/>
      <c r="K2117" s="169"/>
      <c r="L2117" s="169"/>
      <c r="M2117" s="169"/>
      <c r="N2117" s="169"/>
      <c r="O2117" s="169"/>
      <c r="P2117" s="169"/>
      <c r="Q2117" s="169"/>
      <c r="R2117" s="169"/>
      <c r="S2117" s="169"/>
      <c r="T2117" s="167"/>
      <c r="U2117" s="168">
        <v>35.700000000000003</v>
      </c>
      <c r="V2117" s="171"/>
    </row>
    <row r="2118" spans="1:22" outlineLevel="1" x14ac:dyDescent="0.25">
      <c r="A2118" s="186"/>
      <c r="B2118" s="170"/>
      <c r="C2118" s="167" t="s">
        <v>1344</v>
      </c>
      <c r="D2118" s="167" t="s">
        <v>1984</v>
      </c>
      <c r="E2118" s="167" t="s">
        <v>129</v>
      </c>
      <c r="F2118" s="167"/>
      <c r="G2118" s="170">
        <f t="shared" si="0"/>
        <v>0</v>
      </c>
      <c r="H2118" s="168"/>
      <c r="I2118" s="169"/>
      <c r="J2118" s="169"/>
      <c r="K2118" s="169"/>
      <c r="L2118" s="169"/>
      <c r="M2118" s="169"/>
      <c r="N2118" s="169"/>
      <c r="O2118" s="169"/>
      <c r="P2118" s="169"/>
      <c r="Q2118" s="169"/>
      <c r="R2118" s="169"/>
      <c r="S2118" s="169"/>
      <c r="T2118" s="169"/>
      <c r="U2118" s="170">
        <f>854.5*0</f>
        <v>0</v>
      </c>
      <c r="V2118" s="172" t="s">
        <v>129</v>
      </c>
    </row>
    <row r="2119" spans="1:22" s="20" customFormat="1" outlineLevel="1" x14ac:dyDescent="0.25">
      <c r="A2119" s="186"/>
      <c r="B2119" s="170"/>
      <c r="C2119" s="167" t="s">
        <v>1341</v>
      </c>
      <c r="D2119" s="167" t="s">
        <v>189</v>
      </c>
      <c r="E2119" s="167" t="s">
        <v>126</v>
      </c>
      <c r="F2119" s="167"/>
      <c r="G2119" s="170">
        <f>U2119*0</f>
        <v>0</v>
      </c>
      <c r="H2119" s="168"/>
      <c r="I2119" s="169"/>
      <c r="J2119" s="169"/>
      <c r="K2119" s="169"/>
      <c r="L2119" s="169"/>
      <c r="M2119" s="169"/>
      <c r="N2119" s="169"/>
      <c r="O2119" s="169"/>
      <c r="P2119" s="169"/>
      <c r="Q2119" s="169"/>
      <c r="R2119" s="169"/>
      <c r="S2119" s="169"/>
      <c r="T2119" s="169"/>
      <c r="U2119" s="170">
        <v>530.29999999999995</v>
      </c>
      <c r="V2119" s="172" t="s">
        <v>129</v>
      </c>
    </row>
    <row r="2120" spans="1:22" s="20" customFormat="1" outlineLevel="1" x14ac:dyDescent="0.25">
      <c r="A2120" s="186"/>
      <c r="B2120" s="170"/>
      <c r="C2120" s="167" t="s">
        <v>1342</v>
      </c>
      <c r="D2120" s="167" t="s">
        <v>189</v>
      </c>
      <c r="E2120" s="167" t="s">
        <v>125</v>
      </c>
      <c r="F2120" s="167"/>
      <c r="G2120" s="170">
        <f t="shared" si="0"/>
        <v>986.8</v>
      </c>
      <c r="H2120" s="168"/>
      <c r="I2120" s="169"/>
      <c r="J2120" s="169"/>
      <c r="K2120" s="169"/>
      <c r="L2120" s="169"/>
      <c r="M2120" s="169"/>
      <c r="N2120" s="169"/>
      <c r="O2120" s="169"/>
      <c r="P2120" s="169"/>
      <c r="Q2120" s="169"/>
      <c r="R2120" s="169"/>
      <c r="S2120" s="169"/>
      <c r="T2120" s="169"/>
      <c r="U2120" s="170">
        <v>986.8</v>
      </c>
      <c r="V2120" s="172" t="s">
        <v>129</v>
      </c>
    </row>
    <row r="2121" spans="1:22" s="20" customFormat="1" outlineLevel="1" x14ac:dyDescent="0.25">
      <c r="A2121" s="186"/>
      <c r="B2121" s="170"/>
      <c r="C2121" s="167" t="s">
        <v>1343</v>
      </c>
      <c r="D2121" s="167" t="s">
        <v>189</v>
      </c>
      <c r="E2121" s="167" t="s">
        <v>124</v>
      </c>
      <c r="F2121" s="167"/>
      <c r="G2121" s="170">
        <f t="shared" si="0"/>
        <v>623.5</v>
      </c>
      <c r="H2121" s="168"/>
      <c r="I2121" s="169"/>
      <c r="J2121" s="169"/>
      <c r="K2121" s="169"/>
      <c r="L2121" s="169"/>
      <c r="M2121" s="169"/>
      <c r="N2121" s="169"/>
      <c r="O2121" s="169"/>
      <c r="P2121" s="169"/>
      <c r="Q2121" s="169"/>
      <c r="R2121" s="169"/>
      <c r="S2121" s="169"/>
      <c r="T2121" s="169"/>
      <c r="U2121" s="170">
        <v>623.5</v>
      </c>
      <c r="V2121" s="172" t="s">
        <v>129</v>
      </c>
    </row>
    <row r="2122" spans="1:22" s="20" customFormat="1" outlineLevel="1" x14ac:dyDescent="0.25">
      <c r="A2122" s="202"/>
      <c r="B2122" s="176"/>
      <c r="C2122" s="173" t="s">
        <v>1347</v>
      </c>
      <c r="D2122" s="173" t="s">
        <v>189</v>
      </c>
      <c r="E2122" s="173" t="s">
        <v>1348</v>
      </c>
      <c r="F2122" s="173"/>
      <c r="G2122" s="176">
        <f t="shared" si="0"/>
        <v>558.79999999999995</v>
      </c>
      <c r="H2122" s="174"/>
      <c r="I2122" s="175"/>
      <c r="J2122" s="175"/>
      <c r="K2122" s="175"/>
      <c r="L2122" s="175"/>
      <c r="M2122" s="175"/>
      <c r="N2122" s="175"/>
      <c r="O2122" s="175"/>
      <c r="P2122" s="175"/>
      <c r="Q2122" s="175"/>
      <c r="R2122" s="175"/>
      <c r="S2122" s="175"/>
      <c r="T2122" s="175"/>
      <c r="U2122" s="176">
        <v>558.79999999999995</v>
      </c>
      <c r="V2122" s="177" t="s">
        <v>129</v>
      </c>
    </row>
    <row r="2123" spans="1:22" s="20" customFormat="1" x14ac:dyDescent="0.25">
      <c r="A2123" s="147"/>
      <c r="B2123" s="155"/>
      <c r="C2123" s="300" t="s">
        <v>2051</v>
      </c>
      <c r="D2123" s="147" t="s">
        <v>189</v>
      </c>
      <c r="E2123" s="147" t="s">
        <v>2052</v>
      </c>
      <c r="F2123" s="147"/>
      <c r="G2123" s="155"/>
      <c r="H2123" s="153"/>
      <c r="I2123" s="148"/>
      <c r="J2123" s="148"/>
      <c r="K2123" s="148"/>
      <c r="L2123" s="148"/>
      <c r="M2123" s="148"/>
      <c r="N2123" s="148"/>
      <c r="O2123" s="148"/>
      <c r="P2123" s="148"/>
      <c r="Q2123" s="148"/>
      <c r="R2123" s="148"/>
      <c r="S2123" s="148"/>
      <c r="T2123" s="148"/>
      <c r="U2123" s="155"/>
      <c r="V2123" s="148"/>
    </row>
    <row r="2124" spans="1:22" s="142" customFormat="1" x14ac:dyDescent="0.25">
      <c r="B2124" s="143"/>
      <c r="G2124" s="205" t="s">
        <v>1032</v>
      </c>
      <c r="H2124" s="205" t="s">
        <v>1031</v>
      </c>
      <c r="I2124" s="214" t="s">
        <v>1349</v>
      </c>
      <c r="J2124" s="265">
        <f>H2125-11.5</f>
        <v>3833</v>
      </c>
      <c r="K2124" s="14"/>
      <c r="L2124" s="14"/>
      <c r="M2124" s="14"/>
      <c r="N2124" s="14"/>
      <c r="O2124" s="14"/>
      <c r="P2124" s="14"/>
      <c r="Q2124" s="14"/>
      <c r="R2124" s="14"/>
      <c r="S2124" s="14"/>
      <c r="T2124" s="14"/>
      <c r="U2124" s="144"/>
      <c r="V2124" s="11"/>
    </row>
    <row r="2125" spans="1:22" x14ac:dyDescent="0.2">
      <c r="A2125" s="142"/>
      <c r="B2125" s="11"/>
      <c r="C2125" s="443" t="s">
        <v>882</v>
      </c>
      <c r="D2125" s="443"/>
      <c r="E2125" s="443"/>
      <c r="F2125" s="142"/>
      <c r="G2125" s="211">
        <f>SUM(G7:G2113)</f>
        <v>181699.76999999996</v>
      </c>
      <c r="H2125" s="211">
        <f>SUM(H7:H2113)</f>
        <v>3844.5</v>
      </c>
      <c r="I2125" s="210">
        <f t="shared" ref="I2125:U2125" si="1">SUM(I8:I2113)</f>
        <v>106425.5</v>
      </c>
      <c r="J2125" s="210">
        <f t="shared" si="1"/>
        <v>373.4</v>
      </c>
      <c r="K2125" s="210">
        <f t="shared" si="1"/>
        <v>40418.33</v>
      </c>
      <c r="L2125" s="210">
        <f t="shared" si="1"/>
        <v>2594.6</v>
      </c>
      <c r="M2125" s="210">
        <f t="shared" si="1"/>
        <v>31922.099999999991</v>
      </c>
      <c r="N2125" s="210">
        <f t="shared" si="1"/>
        <v>0</v>
      </c>
      <c r="O2125" s="210">
        <f t="shared" si="1"/>
        <v>231.43999999999997</v>
      </c>
      <c r="P2125" s="210">
        <f t="shared" si="1"/>
        <v>825.0999999999998</v>
      </c>
      <c r="Q2125" s="210">
        <f t="shared" si="1"/>
        <v>0</v>
      </c>
      <c r="R2125" s="210">
        <f t="shared" si="1"/>
        <v>39.9</v>
      </c>
      <c r="S2125" s="210">
        <f t="shared" si="1"/>
        <v>2702.3999999999996</v>
      </c>
      <c r="T2125" s="210">
        <f t="shared" si="1"/>
        <v>11.5</v>
      </c>
      <c r="U2125" s="210">
        <f t="shared" si="1"/>
        <v>0</v>
      </c>
      <c r="V2125" s="10"/>
    </row>
    <row r="2126" spans="1:22" x14ac:dyDescent="0.2">
      <c r="A2126" s="142"/>
      <c r="B2126" s="235">
        <f>SUM(B7:B2113)</f>
        <v>185544.27000000005</v>
      </c>
      <c r="C2126" s="452" t="s">
        <v>1345</v>
      </c>
      <c r="D2126" s="452"/>
      <c r="E2126" s="452"/>
      <c r="F2126" s="142"/>
      <c r="G2126" s="212">
        <f>G2125+H2125</f>
        <v>185544.26999999996</v>
      </c>
      <c r="H2126" s="214" t="s">
        <v>1349</v>
      </c>
      <c r="I2126" s="212">
        <f>МКД!AB391</f>
        <v>185544.27</v>
      </c>
      <c r="J2126" s="14"/>
      <c r="K2126" s="14"/>
      <c r="L2126" s="14"/>
      <c r="M2126" s="14"/>
      <c r="N2126" s="14"/>
      <c r="O2126" s="14"/>
      <c r="P2126" s="14"/>
      <c r="Q2126" s="14"/>
      <c r="R2126" s="14"/>
      <c r="S2126" s="14"/>
      <c r="T2126" s="14"/>
      <c r="U2126" s="146"/>
    </row>
    <row r="2127" spans="1:22" x14ac:dyDescent="0.25">
      <c r="B2127" s="143"/>
      <c r="C2127" s="444" t="s">
        <v>924</v>
      </c>
      <c r="D2127" s="444"/>
      <c r="E2127" s="444"/>
      <c r="F2127" s="142"/>
      <c r="G2127" s="206">
        <f>G2118</f>
        <v>0</v>
      </c>
      <c r="H2127" s="213" t="s">
        <v>1346</v>
      </c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14"/>
      <c r="T2127" s="14"/>
      <c r="U2127" s="144"/>
    </row>
    <row r="2128" spans="1:22" x14ac:dyDescent="0.25">
      <c r="B2128" s="143"/>
      <c r="C2128" s="453" t="s">
        <v>956</v>
      </c>
      <c r="D2128" s="453"/>
      <c r="E2128" s="453"/>
      <c r="F2128" s="142"/>
      <c r="G2128" s="207">
        <f>G2125+H2125+G2127</f>
        <v>185544.26999999996</v>
      </c>
      <c r="H2128" s="213" t="s">
        <v>1346</v>
      </c>
      <c r="I2128" s="214" t="s">
        <v>1349</v>
      </c>
      <c r="J2128" s="265">
        <f>G2128</f>
        <v>185544.26999999996</v>
      </c>
      <c r="K2128" s="14"/>
      <c r="L2128" s="14"/>
      <c r="M2128" s="14"/>
      <c r="N2128" s="14"/>
      <c r="O2128" s="14"/>
      <c r="P2128" s="14"/>
      <c r="Q2128" s="14"/>
      <c r="R2128" s="14"/>
      <c r="S2128" s="14"/>
      <c r="T2128" s="14"/>
      <c r="U2128" s="144"/>
    </row>
    <row r="2129" spans="2:21" x14ac:dyDescent="0.25">
      <c r="B2129" s="236">
        <f>G2129+H2129</f>
        <v>4717.5</v>
      </c>
      <c r="C2129" s="451" t="s">
        <v>189</v>
      </c>
      <c r="D2129" s="451"/>
      <c r="E2129" s="451"/>
      <c r="F2129" s="142"/>
      <c r="G2129" s="208">
        <f>G2130+G2131</f>
        <v>3591.1000000000004</v>
      </c>
      <c r="H2129" s="208">
        <f>H2130+H2131</f>
        <v>1126.4000000000001</v>
      </c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6"/>
    </row>
    <row r="2130" spans="2:21" x14ac:dyDescent="0.25">
      <c r="B2130" s="143"/>
      <c r="C2130" s="442" t="s">
        <v>923</v>
      </c>
      <c r="D2130" s="442"/>
      <c r="E2130" s="442"/>
      <c r="F2130" s="142"/>
      <c r="G2130" s="209">
        <f>SUMIFS(Таблица1[6],Таблица1[3],$C$2129)</f>
        <v>1386.3</v>
      </c>
      <c r="H2130" s="209">
        <f>SUMIFS(Таблица1[7],Таблица1[3],$C$2129)</f>
        <v>1126.4000000000001</v>
      </c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58"/>
    </row>
    <row r="2131" spans="2:21" x14ac:dyDescent="0.25">
      <c r="B2131" s="143"/>
      <c r="C2131" s="442" t="s">
        <v>883</v>
      </c>
      <c r="D2131" s="442"/>
      <c r="E2131" s="442"/>
      <c r="F2131" s="142"/>
      <c r="G2131" s="209">
        <f>SUMIFS(G2117:G2122,D2117:D2122,$C$2129)</f>
        <v>2204.8000000000002</v>
      </c>
      <c r="H2131" s="209">
        <f>SUMIFS(H2117:H2121,D2117:D2121,$C$2129)</f>
        <v>0</v>
      </c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58"/>
    </row>
    <row r="2133" spans="2:21" x14ac:dyDescent="0.25">
      <c r="B2133" s="11"/>
      <c r="G2133" s="11"/>
      <c r="H2133" s="159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</row>
  </sheetData>
  <sortState ref="D18:M27">
    <sortCondition ref="D17:D26"/>
  </sortState>
  <mergeCells count="24">
    <mergeCell ref="V3:V5"/>
    <mergeCell ref="H3:H5"/>
    <mergeCell ref="U3:U5"/>
    <mergeCell ref="C2131:E2131"/>
    <mergeCell ref="C2129:E2129"/>
    <mergeCell ref="C2126:E2126"/>
    <mergeCell ref="C2128:E2128"/>
    <mergeCell ref="I4:J4"/>
    <mergeCell ref="F3:F5"/>
    <mergeCell ref="M4:N4"/>
    <mergeCell ref="O4:P4"/>
    <mergeCell ref="Q4:R4"/>
    <mergeCell ref="A3:A6"/>
    <mergeCell ref="C2130:E2130"/>
    <mergeCell ref="C2125:E2125"/>
    <mergeCell ref="C2127:E2127"/>
    <mergeCell ref="K4:L4"/>
    <mergeCell ref="I3:T3"/>
    <mergeCell ref="S4:T4"/>
    <mergeCell ref="G3:G5"/>
    <mergeCell ref="B3:B5"/>
    <mergeCell ref="C3:C5"/>
    <mergeCell ref="D3:D5"/>
    <mergeCell ref="E3:E5"/>
  </mergeCells>
  <phoneticPr fontId="0" type="noConversion"/>
  <conditionalFormatting sqref="D2120:D2122">
    <cfRule type="containsText" dxfId="445" priority="527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нужды)",D2120)))</formula>
    </cfRule>
  </conditionalFormatting>
  <conditionalFormatting sqref="B2118:B2124 A2121:XFD2122 A471:D471 F471:XFD471 A452:XFD470 A917:XFD941 A1049:C1049 F1049:XFD1049 A1087:C1087 F1087:XFD1087 A1111:C1111 F1111:XFD1111 A1150:C1150 F1150:XFD1150 A1261:C1261 F1261:XFD1261 A1423:C1423 F1423:XFD1423 A1429:C1429 F1429:XFD1429 A1466:C1466 F1466:XFD1466 A1491:C1491 F1491:XFD1491 A1510:C1510 F1510:XFD1510 A1343:C1343 F1343:XFD1343 A1416:C1416 F1416:XFD1416 A1553:C1553 F1553:XFD1553 A1578:C1578 F1578:XFD1578 A1579:XFD1585 A1586:C1586 F1586:XFD1586 A1547:C1547 F1547:XFD1547 A1682:C1682 F1682:XFD1682 A1750:C1750 F1750:XFD1750 A1600:C1600 F1600:XFD1600 A1796:C1796 F1796:XFD1796 A1823:C1823 F1823:XFD1823 A1843:C1843 F1843:XFD1843 A1635:C1635 F1635:XFD1635 A1663:C1663 F1663:XFD1663 A1670:C1670 F1670:XFD1670 A1897:C1897 F1897:XFD1897 A1844:XFD1884 A1886:XFD1896 A1885:C1885 F1885:XFD1885 A1904:C1904 F1904:XFD1904 A1939:C1939 F1939:XFD1939 A1964:C1964 F1964:XFD1964 A1965:XFD1966 A1967:C1967 F1967:XFD1967 A1983:C1983 F1983:XFD1983 A2002:C2002 F2002:XFD2002 A2075:C2075 F2075:XFD2075 A2035:C2035 F2035:XFD2035 A1587:XFD1594 L944:L946 M944:XFD947 A944:K947 A1797:XFD1822 A949:XFD949 A2036:XFD2074 A1596:XFD1599 A1149:XFD1149 A1141:XFD1147 A1071:XFD1086 A1050:XFD1068 A1898:XFD1903 A1824:XFD1842 A2004:XFD2034 A1968:XFD1982 A1941:XFD1963 A1905:XFD1938 A1751:XFD1795 A1671:XFD1681 A1665:XFD1669 A1636:XFD1662 A1549:XFD1552 A1468:XFD1490 A1418:XFD1422 A1112:XFD1139 A1030:XFD1048 A951:XFD961 A472:XFD540 A1985:XFD2001 A1557:XFD1577 A1511:XFD1536 A1:XFD450 A542:XFD882 A963:XFD1028 A1088:XFD1110 A1151:XFD1260 A1424:XFD1428 A1430:XFD1465 A1262:XFD1342 A1344:XFD1415 A1538:XFD1546 A1683:XFD1749 A1601:XFD1634 A2076:XFD2117 A1492:XFD1509 A884:XFD915 A2118:A1048576 B2126:B1048576 C2118:XFD1048576">
    <cfRule type="containsText" dxfId="444" priority="524" operator="containsText" text="Администрация города Магнитогорска пустующее">
      <formula>NOT(ISERROR(SEARCH("Администрация города Магнитогорска пустующее",A1)))</formula>
    </cfRule>
    <cfRule type="containsText" dxfId="443" priority="52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нужды)",A1)))</formula>
    </cfRule>
  </conditionalFormatting>
  <conditionalFormatting sqref="D781">
    <cfRule type="containsText" dxfId="442" priority="525" operator="containsText" text="Администрация города Магнитогорска пустующее">
      <formula>NOT(ISERROR(SEARCH("Администрация города Магнитогорска пустующее",D781)))</formula>
    </cfRule>
  </conditionalFormatting>
  <conditionalFormatting sqref="D917:D941 D1579:D1585 D1549:D1552 D1844:D1884 D1886:D1896 D1965:D1966 D452:D540 D1587:D1594 D1665:D1669 D1671:D1681 D1030:D1048 D944:D947 D1112:D1139 D951:D961 D1418:D1422 D1468:D1490 D1424:D1428 D1797:D1822 D949 D1968:D1982 D2036:D2074 D1596:D1599 D2004:D2034 D1905:D1938 D1751:D1795 D1636:D1662 D1149 D1141:D1147 D1941:D1963 D1071:D1086 D1050:D1068 D1898:D1903 D1824:D1842 D1985:D2001 D1557:D1577 D1511:D1536 D1:D450 D542:D882 D963:D1028 D1088:D1110 D1151:D1260 D1430:D1465 D1262:D1342 D1344:D1415 D1538:D1546 D1683:D1749 D1601:D1634 D1492:D1509 D884:D915 D2076:D1048576">
    <cfRule type="containsText" dxfId="441" priority="477" operator="containsText" text="РФ">
      <formula>NOT(ISERROR(SEARCH("РФ",D1)))</formula>
    </cfRule>
    <cfRule type="containsText" dxfId="440" priority="523" operator="containsText" text="Администрация города Магнитогорска">
      <formula>NOT(ISERROR(SEARCH("Администрация города Магнитогорска",D1)))</formula>
    </cfRule>
  </conditionalFormatting>
  <conditionalFormatting sqref="E452:E470 E917:E941 E1579:E1585 E1844:E1884 E1886:E1896 E1965:E1966 E1587:E1594 E1596:E1599 E944:E947 E1797:E1822 E949 E2036:E2074 E1149 E1141:E1147 E1071:E1086 E1050:E1068 E1898:E1903 E1824:E1842 E2004:E2034 E1968:E1982 E1941:E1963 E1905:E1938 E1751:E1795 E1671:E1681 E1665:E1669 E1636:E1662 E1549:E1552 E1468:E1490 E1418:E1422 E1112:E1139 E1030:E1048 E951:E961 E472:E540 E1985:E2001 E1557:E1577 E1511:E1536 E1:E450 E542:E882 E963:E1028 E1088:E1110 E1151:E1260 E1424:E1428 E1430:E1465 E1262:E1342 E1344:E1415 E1538:E1546 E1683:E1749 E1601:E1634 E1492:E1509 E884:E915 E2076:E1048576">
    <cfRule type="containsText" dxfId="439" priority="522" operator="containsText" text="пустующее">
      <formula>NOT(ISERROR(SEARCH("пустующее",E1)))</formula>
    </cfRule>
  </conditionalFormatting>
  <conditionalFormatting sqref="A471:D471 F471:XFD471 A452:XFD470 A917:XFD941 A1049:C1049 F1049:XFD1049 A1087:C1087 F1087:XFD1087 A1111:C1111 F1111:XFD1111 A1150:C1150 F1150:XFD1150 A1261:C1261 F1261:XFD1261 A1423:C1423 F1423:XFD1423 A1429:C1429 F1429:XFD1429 A1466:C1466 F1466:XFD1466 A1491:C1491 F1491:XFD1491 A1510:C1510 F1510:XFD1510 A1343:C1343 F1343:XFD1343 A1416:C1416 F1416:XFD1416 A1553:C1553 F1553:XFD1553 A1578:C1578 F1578:XFD1578 A1579:XFD1585 A1586:C1586 F1586:XFD1586 A1547:C1547 F1547:XFD1547 A1682:C1682 F1682:XFD1682 A1750:C1750 F1750:XFD1750 A1600:C1600 F1600:XFD1600 A1796:C1796 F1796:XFD1796 A1823:C1823 F1823:XFD1823 A1843:C1843 F1843:XFD1843 A1635:C1635 F1635:XFD1635 A1663:C1663 F1663:XFD1663 A1670:C1670 F1670:XFD1670 A1897:C1897 F1897:XFD1897 A1844:XFD1884 A1886:XFD1896 A1885:C1885 F1885:XFD1885 A1904:C1904 F1904:XFD1904 A1939:C1939 F1939:XFD1939 A1964:C1964 F1964:XFD1964 A1965:XFD1966 A1967:C1967 F1967:XFD1967 A1983:C1983 F1983:XFD1983 A2002:C2002 F2002:XFD2002 A2075:C2075 F2075:XFD2075 A2035:C2035 F2035:XFD2035 A1587:XFD1594 L944:L946 M944:XFD947 A944:K947 A1797:XFD1822 A949:XFD949 A2036:XFD2074 A1596:XFD1599 A1149:XFD1149 A1141:XFD1147 A1071:XFD1086 A1050:XFD1068 A1898:XFD1903 A1824:XFD1842 A2004:XFD2034 A1968:XFD1982 A1941:XFD1963 A1905:XFD1938 A1751:XFD1795 A1671:XFD1681 A1665:XFD1669 A1636:XFD1662 A1549:XFD1552 A1468:XFD1490 A1418:XFD1422 A1112:XFD1139 A1030:XFD1048 A951:XFD961 A472:XFD540 A1985:XFD2001 A1557:XFD1577 A1511:XFD1536 A1:XFD450 A542:XFD882 A963:XFD1028 A1088:XFD1110 A1151:XFD1260 A1424:XFD1428 A1430:XFD1465 A1262:XFD1342 A1344:XFD1415 A1538:XFD1546 A1683:XFD1749 A1601:XFD1634 A1492:XFD1509 A884:XFD915 A2076:XFD1048576">
    <cfRule type="containsText" dxfId="438" priority="519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нужды)",A1)))</formula>
    </cfRule>
  </conditionalFormatting>
  <conditionalFormatting sqref="D1838 D2037 D1860">
    <cfRule type="containsText" dxfId="437" priority="498" operator="containsText" text="Администрация города Магнитогорска">
      <formula>NOT(ISERROR(SEARCH("Администрация города Магнитогорска",D1838)))</formula>
    </cfRule>
  </conditionalFormatting>
  <conditionalFormatting sqref="A451:XFD451">
    <cfRule type="containsText" dxfId="436" priority="475" operator="containsText" text="Администрация города Магнитогорска пустующее">
      <formula>NOT(ISERROR(SEARCH("Администрация города Магнитогорска пустующее",A451)))</formula>
    </cfRule>
    <cfRule type="containsText" dxfId="435" priority="47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нужды)",A451)))</formula>
    </cfRule>
  </conditionalFormatting>
  <conditionalFormatting sqref="D451">
    <cfRule type="containsText" dxfId="434" priority="471" operator="containsText" text="РФ">
      <formula>NOT(ISERROR(SEARCH("РФ",D451)))</formula>
    </cfRule>
    <cfRule type="containsText" dxfId="433" priority="474" operator="containsText" text="Администрация города Магнитогорска">
      <formula>NOT(ISERROR(SEARCH("Администрация города Магнитогорска",D451)))</formula>
    </cfRule>
  </conditionalFormatting>
  <conditionalFormatting sqref="E451">
    <cfRule type="containsText" dxfId="432" priority="473" operator="containsText" text="пустующее">
      <formula>NOT(ISERROR(SEARCH("пустующее",E451)))</formula>
    </cfRule>
  </conditionalFormatting>
  <conditionalFormatting sqref="A451:XFD451">
    <cfRule type="containsText" dxfId="431" priority="47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нужды)",A451)))</formula>
    </cfRule>
  </conditionalFormatting>
  <conditionalFormatting sqref="A541:XFD541">
    <cfRule type="containsText" dxfId="430" priority="469" operator="containsText" text="Администрация города Магнитогорска пустующее">
      <formula>NOT(ISERROR(SEARCH("Администрация города Магнитогорска пустующее",A541)))</formula>
    </cfRule>
    <cfRule type="containsText" dxfId="429" priority="47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нужды)",A541)))</formula>
    </cfRule>
  </conditionalFormatting>
  <conditionalFormatting sqref="D541">
    <cfRule type="containsText" dxfId="428" priority="465" operator="containsText" text="РФ">
      <formula>NOT(ISERROR(SEARCH("РФ",D541)))</formula>
    </cfRule>
    <cfRule type="containsText" dxfId="427" priority="468" operator="containsText" text="Администрация города Магнитогорска">
      <formula>NOT(ISERROR(SEARCH("Администрация города Магнитогорска",D541)))</formula>
    </cfRule>
  </conditionalFormatting>
  <conditionalFormatting sqref="E541">
    <cfRule type="containsText" dxfId="426" priority="467" operator="containsText" text="пустующее">
      <formula>NOT(ISERROR(SEARCH("пустующее",E541)))</formula>
    </cfRule>
  </conditionalFormatting>
  <conditionalFormatting sqref="A541:XFD541">
    <cfRule type="containsText" dxfId="425" priority="46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нужды)",A541)))</formula>
    </cfRule>
  </conditionalFormatting>
  <conditionalFormatting sqref="A883:XFD883">
    <cfRule type="containsText" dxfId="424" priority="457" operator="containsText" text="Администрация города Магнитогорска пустующее">
      <formula>NOT(ISERROR(SEARCH("Администрация города Магнитогорска пустующее",A883)))</formula>
    </cfRule>
    <cfRule type="containsText" dxfId="423" priority="45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нужды)",A883)))</formula>
    </cfRule>
  </conditionalFormatting>
  <conditionalFormatting sqref="D883">
    <cfRule type="containsText" dxfId="422" priority="453" operator="containsText" text="РФ">
      <formula>NOT(ISERROR(SEARCH("РФ",D883)))</formula>
    </cfRule>
    <cfRule type="containsText" dxfId="421" priority="456" operator="containsText" text="Администрация города Магнитогорска">
      <formula>NOT(ISERROR(SEARCH("Администрация города Магнитогорска",D883)))</formula>
    </cfRule>
  </conditionalFormatting>
  <conditionalFormatting sqref="E883">
    <cfRule type="containsText" dxfId="420" priority="455" operator="containsText" text="пустующее">
      <formula>NOT(ISERROR(SEARCH("пустующее",E883)))</formula>
    </cfRule>
  </conditionalFormatting>
  <conditionalFormatting sqref="A883:XFD883">
    <cfRule type="containsText" dxfId="419" priority="45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нужды)",A883)))</formula>
    </cfRule>
  </conditionalFormatting>
  <conditionalFormatting sqref="A1029:XFD1029">
    <cfRule type="containsText" dxfId="418" priority="441" operator="containsText" text="Администрация города Магнитогорска пустующее">
      <formula>NOT(ISERROR(SEARCH("Администрация города Магнитогорска пустующее",A1029)))</formula>
    </cfRule>
    <cfRule type="containsText" dxfId="417" priority="44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нужды)",A1029)))</formula>
    </cfRule>
  </conditionalFormatting>
  <conditionalFormatting sqref="D1029">
    <cfRule type="containsText" dxfId="416" priority="437" operator="containsText" text="РФ">
      <formula>NOT(ISERROR(SEARCH("РФ",D1029)))</formula>
    </cfRule>
    <cfRule type="containsText" dxfId="415" priority="440" operator="containsText" text="Администрация города Магнитогорска">
      <formula>NOT(ISERROR(SEARCH("Администрация города Магнитогорска",D1029)))</formula>
    </cfRule>
  </conditionalFormatting>
  <conditionalFormatting sqref="E1029">
    <cfRule type="containsText" dxfId="414" priority="439" operator="containsText" text="пустующее">
      <formula>NOT(ISERROR(SEARCH("пустующее",E1029)))</formula>
    </cfRule>
  </conditionalFormatting>
  <conditionalFormatting sqref="A1029:XFD1029">
    <cfRule type="containsText" dxfId="413" priority="43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нужды)",A1029)))</formula>
    </cfRule>
  </conditionalFormatting>
  <conditionalFormatting sqref="E471">
    <cfRule type="containsText" dxfId="412" priority="435" operator="containsText" text="Администрация города Магнитогорска пустующее">
      <formula>NOT(ISERROR(SEARCH("Администрация города Магнитогорска пустующее",E471)))</formula>
    </cfRule>
    <cfRule type="containsText" dxfId="411" priority="43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нужды)",E471)))</formula>
    </cfRule>
  </conditionalFormatting>
  <conditionalFormatting sqref="E471">
    <cfRule type="containsText" dxfId="410" priority="434" operator="containsText" text="пустующее">
      <formula>NOT(ISERROR(SEARCH("пустующее",E471)))</formula>
    </cfRule>
  </conditionalFormatting>
  <conditionalFormatting sqref="E471">
    <cfRule type="containsText" dxfId="409" priority="433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нужды)",E471)))</formula>
    </cfRule>
  </conditionalFormatting>
  <conditionalFormatting sqref="A916:C916 F916:XFD916">
    <cfRule type="containsText" dxfId="408" priority="431" operator="containsText" text="Администрация города Магнитогорска пустующее">
      <formula>NOT(ISERROR(SEARCH("Администрация города Магнитогорска пустующее",A916)))</formula>
    </cfRule>
    <cfRule type="containsText" dxfId="407" priority="43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нужды)",A916)))</formula>
    </cfRule>
  </conditionalFormatting>
  <conditionalFormatting sqref="D916">
    <cfRule type="containsText" dxfId="406" priority="421" operator="containsText" text="РФ">
      <formula>NOT(ISERROR(SEARCH("РФ",D916)))</formula>
    </cfRule>
    <cfRule type="containsText" dxfId="405" priority="424" operator="containsText" text="Администрация города Магнитогорска">
      <formula>NOT(ISERROR(SEARCH("Администрация города Магнитогорска",D916)))</formula>
    </cfRule>
  </conditionalFormatting>
  <conditionalFormatting sqref="E916">
    <cfRule type="containsText" dxfId="404" priority="423" operator="containsText" text="пустующее">
      <formula>NOT(ISERROR(SEARCH("пустующее",E916)))</formula>
    </cfRule>
  </conditionalFormatting>
  <conditionalFormatting sqref="A916:C916 F916:XFD916">
    <cfRule type="containsText" dxfId="403" priority="42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нужды)",A916)))</formula>
    </cfRule>
  </conditionalFormatting>
  <conditionalFormatting sqref="D916:E916">
    <cfRule type="containsText" dxfId="402" priority="425" operator="containsText" text="Администрация города Магнитогорска пустующее">
      <formula>NOT(ISERROR(SEARCH("Администрация города Магнитогорска пустующее",D916)))</formula>
    </cfRule>
    <cfRule type="containsText" dxfId="401" priority="42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нужды)",D916)))</formula>
    </cfRule>
  </conditionalFormatting>
  <conditionalFormatting sqref="D1049">
    <cfRule type="containsText" dxfId="400" priority="415" operator="containsText" text="РФ">
      <formula>NOT(ISERROR(SEARCH("РФ",D1049)))</formula>
    </cfRule>
    <cfRule type="containsText" dxfId="399" priority="418" operator="containsText" text="Администрация города Магнитогорска">
      <formula>NOT(ISERROR(SEARCH("Администрация города Магнитогорска",D1049)))</formula>
    </cfRule>
  </conditionalFormatting>
  <conditionalFormatting sqref="E1049">
    <cfRule type="containsText" dxfId="398" priority="417" operator="containsText" text="пустующее">
      <formula>NOT(ISERROR(SEARCH("пустующее",E1049)))</formula>
    </cfRule>
  </conditionalFormatting>
  <conditionalFormatting sqref="D916:E916">
    <cfRule type="containsText" dxfId="397" priority="42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нужды)",D916)))</formula>
    </cfRule>
  </conditionalFormatting>
  <conditionalFormatting sqref="D1049:E1049">
    <cfRule type="containsText" dxfId="396" priority="419" operator="containsText" text="Администрация города Магнитогорска пустующее">
      <formula>NOT(ISERROR(SEARCH("Администрация города Магнитогорска пустующее",D1049)))</formula>
    </cfRule>
    <cfRule type="containsText" dxfId="395" priority="42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нужды)",D1049)))</formula>
    </cfRule>
  </conditionalFormatting>
  <conditionalFormatting sqref="D1049:E1049">
    <cfRule type="containsText" dxfId="394" priority="41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нужды)",D1049)))</formula>
    </cfRule>
  </conditionalFormatting>
  <conditionalFormatting sqref="D1087">
    <cfRule type="containsText" dxfId="393" priority="409" operator="containsText" text="РФ">
      <formula>NOT(ISERROR(SEARCH("РФ",D1087)))</formula>
    </cfRule>
    <cfRule type="containsText" dxfId="392" priority="412" operator="containsText" text="Администрация города Магнитогорска">
      <formula>NOT(ISERROR(SEARCH("Администрация города Магнитогорска",D1087)))</formula>
    </cfRule>
  </conditionalFormatting>
  <conditionalFormatting sqref="E1087">
    <cfRule type="containsText" dxfId="391" priority="411" operator="containsText" text="пустующее">
      <formula>NOT(ISERROR(SEARCH("пустующее",E1087)))</formula>
    </cfRule>
  </conditionalFormatting>
  <conditionalFormatting sqref="D1087:E1087">
    <cfRule type="containsText" dxfId="390" priority="413" operator="containsText" text="Администрация города Магнитогорска пустующее">
      <formula>NOT(ISERROR(SEARCH("Администрация города Магнитогорска пустующее",D1087)))</formula>
    </cfRule>
    <cfRule type="containsText" dxfId="389" priority="41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нужды)",D1087)))</formula>
    </cfRule>
  </conditionalFormatting>
  <conditionalFormatting sqref="D1087:E1087">
    <cfRule type="containsText" dxfId="388" priority="41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нужды)",D1087)))</formula>
    </cfRule>
  </conditionalFormatting>
  <conditionalFormatting sqref="D1111">
    <cfRule type="containsText" dxfId="387" priority="403" operator="containsText" text="РФ">
      <formula>NOT(ISERROR(SEARCH("РФ",D1111)))</formula>
    </cfRule>
    <cfRule type="containsText" dxfId="386" priority="406" operator="containsText" text="Администрация города Магнитогорска">
      <formula>NOT(ISERROR(SEARCH("Администрация города Магнитогорска",D1111)))</formula>
    </cfRule>
  </conditionalFormatting>
  <conditionalFormatting sqref="E1111">
    <cfRule type="containsText" dxfId="385" priority="405" operator="containsText" text="пустующее">
      <formula>NOT(ISERROR(SEARCH("пустующее",E1111)))</formula>
    </cfRule>
  </conditionalFormatting>
  <conditionalFormatting sqref="D1111:E1111">
    <cfRule type="containsText" dxfId="384" priority="407" operator="containsText" text="Администрация города Магнитогорска пустующее">
      <formula>NOT(ISERROR(SEARCH("Администрация города Магнитогорска пустующее",D1111)))</formula>
    </cfRule>
    <cfRule type="containsText" dxfId="383" priority="40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нужды)",D1111)))</formula>
    </cfRule>
  </conditionalFormatting>
  <conditionalFormatting sqref="D1111:E1111">
    <cfRule type="containsText" dxfId="382" priority="40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нужды)",D1111)))</formula>
    </cfRule>
  </conditionalFormatting>
  <conditionalFormatting sqref="D1150">
    <cfRule type="containsText" dxfId="381" priority="391" operator="containsText" text="РФ">
      <formula>NOT(ISERROR(SEARCH("РФ",D1150)))</formula>
    </cfRule>
    <cfRule type="containsText" dxfId="380" priority="394" operator="containsText" text="Администрация города Магнитогорска">
      <formula>NOT(ISERROR(SEARCH("Администрация города Магнитогорска",D1150)))</formula>
    </cfRule>
  </conditionalFormatting>
  <conditionalFormatting sqref="E1150">
    <cfRule type="containsText" dxfId="379" priority="393" operator="containsText" text="пустующее">
      <formula>NOT(ISERROR(SEARCH("пустующее",E1150)))</formula>
    </cfRule>
  </conditionalFormatting>
  <conditionalFormatting sqref="D1150:E1150">
    <cfRule type="containsText" dxfId="378" priority="395" operator="containsText" text="Администрация города Магнитогорска пустующее">
      <formula>NOT(ISERROR(SEARCH("Администрация города Магнитогорска пустующее",D1150)))</formula>
    </cfRule>
    <cfRule type="containsText" dxfId="377" priority="39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нужды)",D1150)))</formula>
    </cfRule>
  </conditionalFormatting>
  <conditionalFormatting sqref="D1150:E1150">
    <cfRule type="containsText" dxfId="376" priority="39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нужды)",D1150)))</formula>
    </cfRule>
  </conditionalFormatting>
  <conditionalFormatting sqref="A962:C962 F962:XFD962">
    <cfRule type="containsText" dxfId="375" priority="389" operator="containsText" text="Администрация города Магнитогорска пустующее">
      <formula>NOT(ISERROR(SEARCH("Администрация города Магнитогорска пустующее",A962)))</formula>
    </cfRule>
    <cfRule type="containsText" dxfId="374" priority="39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нужды)",A962)))</formula>
    </cfRule>
  </conditionalFormatting>
  <conditionalFormatting sqref="D1423">
    <cfRule type="containsText" dxfId="373" priority="367" operator="containsText" text="РФ">
      <formula>NOT(ISERROR(SEARCH("РФ",D1423)))</formula>
    </cfRule>
    <cfRule type="containsText" dxfId="372" priority="370" operator="containsText" text="Администрация города Магнитогорска">
      <formula>NOT(ISERROR(SEARCH("Администрация города Магнитогорска",D1423)))</formula>
    </cfRule>
  </conditionalFormatting>
  <conditionalFormatting sqref="E1423">
    <cfRule type="containsText" dxfId="371" priority="369" operator="containsText" text="пустующее">
      <formula>NOT(ISERROR(SEARCH("пустующее",E1423)))</formula>
    </cfRule>
  </conditionalFormatting>
  <conditionalFormatting sqref="A962:C962 F962:XFD962">
    <cfRule type="containsText" dxfId="370" priority="38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нужды)",A962)))</formula>
    </cfRule>
  </conditionalFormatting>
  <conditionalFormatting sqref="D962">
    <cfRule type="containsText" dxfId="369" priority="379" operator="containsText" text="РФ">
      <formula>NOT(ISERROR(SEARCH("РФ",D962)))</formula>
    </cfRule>
    <cfRule type="containsText" dxfId="368" priority="382" operator="containsText" text="Администрация города Магнитогорска">
      <formula>NOT(ISERROR(SEARCH("Администрация города Магнитогорска",D962)))</formula>
    </cfRule>
  </conditionalFormatting>
  <conditionalFormatting sqref="E962">
    <cfRule type="containsText" dxfId="367" priority="381" operator="containsText" text="пустующее">
      <formula>NOT(ISERROR(SEARCH("пустующее",E962)))</formula>
    </cfRule>
  </conditionalFormatting>
  <conditionalFormatting sqref="D962:E962">
    <cfRule type="containsText" dxfId="366" priority="383" operator="containsText" text="Администрация города Магнитогорска пустующее">
      <formula>NOT(ISERROR(SEARCH("Администрация города Магнитогорска пустующее",D962)))</formula>
    </cfRule>
    <cfRule type="containsText" dxfId="365" priority="38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нужды)",D962)))</formula>
    </cfRule>
  </conditionalFormatting>
  <conditionalFormatting sqref="D962:E962">
    <cfRule type="containsText" dxfId="364" priority="38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нужды)",D962)))</formula>
    </cfRule>
  </conditionalFormatting>
  <conditionalFormatting sqref="D1261">
    <cfRule type="containsText" dxfId="363" priority="373" operator="containsText" text="РФ">
      <formula>NOT(ISERROR(SEARCH("РФ",D1261)))</formula>
    </cfRule>
    <cfRule type="containsText" dxfId="362" priority="376" operator="containsText" text="Администрация города Магнитогорска">
      <formula>NOT(ISERROR(SEARCH("Администрация города Магнитогорска",D1261)))</formula>
    </cfRule>
  </conditionalFormatting>
  <conditionalFormatting sqref="E1261">
    <cfRule type="containsText" dxfId="361" priority="375" operator="containsText" text="пустующее">
      <formula>NOT(ISERROR(SEARCH("пустующее",E1261)))</formula>
    </cfRule>
  </conditionalFormatting>
  <conditionalFormatting sqref="D1261:E1261">
    <cfRule type="containsText" dxfId="360" priority="377" operator="containsText" text="Администрация города Магнитогорска пустующее">
      <formula>NOT(ISERROR(SEARCH("Администрация города Магнитогорска пустующее",D1261)))</formula>
    </cfRule>
    <cfRule type="containsText" dxfId="359" priority="37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нужды)",D1261)))</formula>
    </cfRule>
  </conditionalFormatting>
  <conditionalFormatting sqref="D1261:E1261">
    <cfRule type="containsText" dxfId="358" priority="37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нужды)",D1261)))</formula>
    </cfRule>
  </conditionalFormatting>
  <conditionalFormatting sqref="D1510">
    <cfRule type="containsText" dxfId="357" priority="343" operator="containsText" text="РФ">
      <formula>NOT(ISERROR(SEARCH("РФ",D1510)))</formula>
    </cfRule>
    <cfRule type="containsText" dxfId="356" priority="346" operator="containsText" text="Администрация города Магнитогорска">
      <formula>NOT(ISERROR(SEARCH("Администрация города Магнитогорска",D1510)))</formula>
    </cfRule>
  </conditionalFormatting>
  <conditionalFormatting sqref="E1510">
    <cfRule type="containsText" dxfId="355" priority="345" operator="containsText" text="пустующее">
      <formula>NOT(ISERROR(SEARCH("пустующее",E1510)))</formula>
    </cfRule>
  </conditionalFormatting>
  <conditionalFormatting sqref="D1423:E1423">
    <cfRule type="containsText" dxfId="354" priority="371" operator="containsText" text="Администрация города Магнитогорска пустующее">
      <formula>NOT(ISERROR(SEARCH("Администрация города Магнитогорска пустующее",D1423)))</formula>
    </cfRule>
    <cfRule type="containsText" dxfId="353" priority="37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нужды)",D1423)))</formula>
    </cfRule>
  </conditionalFormatting>
  <conditionalFormatting sqref="D1423:E1423">
    <cfRule type="containsText" dxfId="352" priority="36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нужды)",D1423)))</formula>
    </cfRule>
  </conditionalFormatting>
  <conditionalFormatting sqref="D1429">
    <cfRule type="containsText" dxfId="351" priority="361" operator="containsText" text="РФ">
      <formula>NOT(ISERROR(SEARCH("РФ",D1429)))</formula>
    </cfRule>
    <cfRule type="containsText" dxfId="350" priority="364" operator="containsText" text="Администрация города Магнитогорска">
      <formula>NOT(ISERROR(SEARCH("Администрация города Магнитогорска",D1429)))</formula>
    </cfRule>
  </conditionalFormatting>
  <conditionalFormatting sqref="E1429">
    <cfRule type="containsText" dxfId="349" priority="363" operator="containsText" text="пустующее">
      <formula>NOT(ISERROR(SEARCH("пустующее",E1429)))</formula>
    </cfRule>
  </conditionalFormatting>
  <conditionalFormatting sqref="D1429:E1429">
    <cfRule type="containsText" dxfId="348" priority="365" operator="containsText" text="Администрация города Магнитогорска пустующее">
      <formula>NOT(ISERROR(SEARCH("Администрация города Магнитогорска пустующее",D1429)))</formula>
    </cfRule>
    <cfRule type="containsText" dxfId="347" priority="36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нужды)",D1429)))</formula>
    </cfRule>
  </conditionalFormatting>
  <conditionalFormatting sqref="D1429:E1429">
    <cfRule type="containsText" dxfId="346" priority="36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нужды)",D1429)))</formula>
    </cfRule>
  </conditionalFormatting>
  <conditionalFormatting sqref="D1466">
    <cfRule type="containsText" dxfId="345" priority="355" operator="containsText" text="РФ">
      <formula>NOT(ISERROR(SEARCH("РФ",D1466)))</formula>
    </cfRule>
    <cfRule type="containsText" dxfId="344" priority="358" operator="containsText" text="Администрация города Магнитогорска">
      <formula>NOT(ISERROR(SEARCH("Администрация города Магнитогорска",D1466)))</formula>
    </cfRule>
  </conditionalFormatting>
  <conditionalFormatting sqref="E1466">
    <cfRule type="containsText" dxfId="343" priority="357" operator="containsText" text="пустующее">
      <formula>NOT(ISERROR(SEARCH("пустующее",E1466)))</formula>
    </cfRule>
  </conditionalFormatting>
  <conditionalFormatting sqref="D1466:E1466">
    <cfRule type="containsText" dxfId="342" priority="359" operator="containsText" text="Администрация города Магнитогорска пустующее">
      <formula>NOT(ISERROR(SEARCH("Администрация города Магнитогорска пустующее",D1466)))</formula>
    </cfRule>
    <cfRule type="containsText" dxfId="341" priority="36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нужды)",D1466)))</formula>
    </cfRule>
  </conditionalFormatting>
  <conditionalFormatting sqref="D1466:E1466">
    <cfRule type="containsText" dxfId="340" priority="35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нужды)",D1466)))</formula>
    </cfRule>
  </conditionalFormatting>
  <conditionalFormatting sqref="D1491">
    <cfRule type="containsText" dxfId="339" priority="349" operator="containsText" text="РФ">
      <formula>NOT(ISERROR(SEARCH("РФ",D1491)))</formula>
    </cfRule>
    <cfRule type="containsText" dxfId="338" priority="352" operator="containsText" text="Администрация города Магнитогорска">
      <formula>NOT(ISERROR(SEARCH("Администрация города Магнитогорска",D1491)))</formula>
    </cfRule>
  </conditionalFormatting>
  <conditionalFormatting sqref="E1491">
    <cfRule type="containsText" dxfId="337" priority="351" operator="containsText" text="пустующее">
      <formula>NOT(ISERROR(SEARCH("пустующее",E1491)))</formula>
    </cfRule>
  </conditionalFormatting>
  <conditionalFormatting sqref="D1491:E1491">
    <cfRule type="containsText" dxfId="336" priority="353" operator="containsText" text="Администрация города Магнитогорска пустующее">
      <formula>NOT(ISERROR(SEARCH("Администрация города Магнитогорска пустующее",D1491)))</formula>
    </cfRule>
    <cfRule type="containsText" dxfId="335" priority="35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нужды)",D1491)))</formula>
    </cfRule>
  </conditionalFormatting>
  <conditionalFormatting sqref="D1491:E1491">
    <cfRule type="containsText" dxfId="334" priority="35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нужды)",D1491)))</formula>
    </cfRule>
  </conditionalFormatting>
  <conditionalFormatting sqref="D1416">
    <cfRule type="containsText" dxfId="333" priority="331" operator="containsText" text="РФ">
      <formula>NOT(ISERROR(SEARCH("РФ",D1416)))</formula>
    </cfRule>
    <cfRule type="containsText" dxfId="332" priority="334" operator="containsText" text="Администрация города Магнитогорска">
      <formula>NOT(ISERROR(SEARCH("Администрация города Магнитогорска",D1416)))</formula>
    </cfRule>
  </conditionalFormatting>
  <conditionalFormatting sqref="E1416">
    <cfRule type="containsText" dxfId="331" priority="333" operator="containsText" text="пустующее">
      <formula>NOT(ISERROR(SEARCH("пустующее",E1416)))</formula>
    </cfRule>
  </conditionalFormatting>
  <conditionalFormatting sqref="D1510:E1510">
    <cfRule type="containsText" dxfId="330" priority="347" operator="containsText" text="Администрация города Магнитогорска пустующее">
      <formula>NOT(ISERROR(SEARCH("Администрация города Магнитогорска пустующее",D1510)))</formula>
    </cfRule>
    <cfRule type="containsText" dxfId="329" priority="34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нужды)",D1510)))</formula>
    </cfRule>
  </conditionalFormatting>
  <conditionalFormatting sqref="D1510:E1510">
    <cfRule type="containsText" dxfId="328" priority="34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нужды)",D1510)))</formula>
    </cfRule>
  </conditionalFormatting>
  <conditionalFormatting sqref="D1343">
    <cfRule type="containsText" dxfId="327" priority="337" operator="containsText" text="РФ">
      <formula>NOT(ISERROR(SEARCH("РФ",D1343)))</formula>
    </cfRule>
    <cfRule type="containsText" dxfId="326" priority="340" operator="containsText" text="Администрация города Магнитогорска">
      <formula>NOT(ISERROR(SEARCH("Администрация города Магнитогорска",D1343)))</formula>
    </cfRule>
  </conditionalFormatting>
  <conditionalFormatting sqref="E1343">
    <cfRule type="containsText" dxfId="325" priority="339" operator="containsText" text="пустующее">
      <formula>NOT(ISERROR(SEARCH("пустующее",E1343)))</formula>
    </cfRule>
  </conditionalFormatting>
  <conditionalFormatting sqref="D1343:E1343">
    <cfRule type="containsText" dxfId="324" priority="341" operator="containsText" text="Администрация города Магнитогорска пустующее">
      <formula>NOT(ISERROR(SEARCH("Администрация города Магнитогорска пустующее",D1343)))</formula>
    </cfRule>
    <cfRule type="containsText" dxfId="323" priority="34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нужды)",D1343)))</formula>
    </cfRule>
  </conditionalFormatting>
  <conditionalFormatting sqref="D1343:E1343">
    <cfRule type="containsText" dxfId="322" priority="33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нужды)",D1343)))</formula>
    </cfRule>
  </conditionalFormatting>
  <conditionalFormatting sqref="D1553">
    <cfRule type="containsText" dxfId="321" priority="325" operator="containsText" text="РФ">
      <formula>NOT(ISERROR(SEARCH("РФ",D1553)))</formula>
    </cfRule>
    <cfRule type="containsText" dxfId="320" priority="328" operator="containsText" text="Администрация города Магнитогорска">
      <formula>NOT(ISERROR(SEARCH("Администрация города Магнитогорска",D1553)))</formula>
    </cfRule>
  </conditionalFormatting>
  <conditionalFormatting sqref="E1553">
    <cfRule type="containsText" dxfId="319" priority="327" operator="containsText" text="пустующее">
      <formula>NOT(ISERROR(SEARCH("пустующее",E1553)))</formula>
    </cfRule>
  </conditionalFormatting>
  <conditionalFormatting sqref="D1416:E1416">
    <cfRule type="containsText" dxfId="318" priority="335" operator="containsText" text="Администрация города Магнитогорска пустующее">
      <formula>NOT(ISERROR(SEARCH("Администрация города Магнитогорска пустующее",D1416)))</formula>
    </cfRule>
    <cfRule type="containsText" dxfId="317" priority="33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нужды)",D1416)))</formula>
    </cfRule>
  </conditionalFormatting>
  <conditionalFormatting sqref="D1416:E1416">
    <cfRule type="containsText" dxfId="316" priority="33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нужды)",D1416)))</formula>
    </cfRule>
  </conditionalFormatting>
  <conditionalFormatting sqref="D1553:E1553">
    <cfRule type="containsText" dxfId="315" priority="329" operator="containsText" text="Администрация города Магнитогорска пустующее">
      <formula>NOT(ISERROR(SEARCH("Администрация города Магнитогорска пустующее",D1553)))</formula>
    </cfRule>
    <cfRule type="containsText" dxfId="314" priority="33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нужды)",D1553)))</formula>
    </cfRule>
  </conditionalFormatting>
  <conditionalFormatting sqref="D1553:E1553">
    <cfRule type="containsText" dxfId="313" priority="32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нужды)",D1553)))</formula>
    </cfRule>
  </conditionalFormatting>
  <conditionalFormatting sqref="D1578">
    <cfRule type="containsText" dxfId="312" priority="313" operator="containsText" text="РФ">
      <formula>NOT(ISERROR(SEARCH("РФ",D1578)))</formula>
    </cfRule>
    <cfRule type="containsText" dxfId="311" priority="316" operator="containsText" text="Администрация города Магнитогорска">
      <formula>NOT(ISERROR(SEARCH("Администрация города Магнитогорска",D1578)))</formula>
    </cfRule>
  </conditionalFormatting>
  <conditionalFormatting sqref="E1578">
    <cfRule type="containsText" dxfId="310" priority="315" operator="containsText" text="пустующее">
      <formula>NOT(ISERROR(SEARCH("пустующее",E1578)))</formula>
    </cfRule>
  </conditionalFormatting>
  <conditionalFormatting sqref="D1578:E1578">
    <cfRule type="containsText" dxfId="309" priority="317" operator="containsText" text="Администрация города Магнитогорска пустующее">
      <formula>NOT(ISERROR(SEARCH("Администрация города Магнитогорска пустующее",D1578)))</formula>
    </cfRule>
    <cfRule type="containsText" dxfId="308" priority="31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нужды)",D1578)))</formula>
    </cfRule>
  </conditionalFormatting>
  <conditionalFormatting sqref="D1578:E1578">
    <cfRule type="containsText" dxfId="307" priority="31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нужды)",D1578)))</formula>
    </cfRule>
  </conditionalFormatting>
  <conditionalFormatting sqref="D1586">
    <cfRule type="containsText" dxfId="306" priority="307" operator="containsText" text="РФ">
      <formula>NOT(ISERROR(SEARCH("РФ",D1586)))</formula>
    </cfRule>
    <cfRule type="containsText" dxfId="305" priority="310" operator="containsText" text="Администрация города Магнитогорска">
      <formula>NOT(ISERROR(SEARCH("Администрация города Магнитогорска",D1586)))</formula>
    </cfRule>
  </conditionalFormatting>
  <conditionalFormatting sqref="E1586">
    <cfRule type="containsText" dxfId="304" priority="309" operator="containsText" text="пустующее">
      <formula>NOT(ISERROR(SEARCH("пустующее",E1586)))</formula>
    </cfRule>
  </conditionalFormatting>
  <conditionalFormatting sqref="D1586:E1586">
    <cfRule type="containsText" dxfId="303" priority="311" operator="containsText" text="Администрация города Магнитогорска пустующее">
      <formula>NOT(ISERROR(SEARCH("Администрация города Магнитогорска пустующее",D1586)))</formula>
    </cfRule>
    <cfRule type="containsText" dxfId="302" priority="31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нужды)",D1586)))</formula>
    </cfRule>
  </conditionalFormatting>
  <conditionalFormatting sqref="D1586:E1586">
    <cfRule type="containsText" dxfId="301" priority="30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нужды)",D1586)))</formula>
    </cfRule>
  </conditionalFormatting>
  <conditionalFormatting sqref="D1547">
    <cfRule type="containsText" dxfId="300" priority="301" operator="containsText" text="РФ">
      <formula>NOT(ISERROR(SEARCH("РФ",D1547)))</formula>
    </cfRule>
    <cfRule type="containsText" dxfId="299" priority="304" operator="containsText" text="Администрация города Магнитогорска">
      <formula>NOT(ISERROR(SEARCH("Администрация города Магнитогорска",D1547)))</formula>
    </cfRule>
  </conditionalFormatting>
  <conditionalFormatting sqref="E1547">
    <cfRule type="containsText" dxfId="298" priority="303" operator="containsText" text="пустующее">
      <formula>NOT(ISERROR(SEARCH("пустующее",E1547)))</formula>
    </cfRule>
  </conditionalFormatting>
  <conditionalFormatting sqref="D1547:E1547">
    <cfRule type="containsText" dxfId="297" priority="305" operator="containsText" text="Администрация города Магнитогорска пустующее">
      <formula>NOT(ISERROR(SEARCH("Администрация города Магнитогорска пустующее",D1547)))</formula>
    </cfRule>
    <cfRule type="containsText" dxfId="296" priority="30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нужды)",D1547)))</formula>
    </cfRule>
  </conditionalFormatting>
  <conditionalFormatting sqref="D1547:E1547">
    <cfRule type="containsText" dxfId="295" priority="30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нужды)",D1547)))</formula>
    </cfRule>
  </conditionalFormatting>
  <conditionalFormatting sqref="D1682">
    <cfRule type="containsText" dxfId="294" priority="295" operator="containsText" text="РФ">
      <formula>NOT(ISERROR(SEARCH("РФ",D1682)))</formula>
    </cfRule>
    <cfRule type="containsText" dxfId="293" priority="298" operator="containsText" text="Администрация города Магнитогорска">
      <formula>NOT(ISERROR(SEARCH("Администрация города Магнитогорска",D1682)))</formula>
    </cfRule>
  </conditionalFormatting>
  <conditionalFormatting sqref="E1682">
    <cfRule type="containsText" dxfId="292" priority="297" operator="containsText" text="пустующее">
      <formula>NOT(ISERROR(SEARCH("пустующее",E1682)))</formula>
    </cfRule>
  </conditionalFormatting>
  <conditionalFormatting sqref="D1682:E1682">
    <cfRule type="containsText" dxfId="291" priority="299" operator="containsText" text="Администрация города Магнитогорска пустующее">
      <formula>NOT(ISERROR(SEARCH("Администрация города Магнитогорска пустующее",D1682)))</formula>
    </cfRule>
    <cfRule type="containsText" dxfId="290" priority="30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нужды)",D1682)))</formula>
    </cfRule>
  </conditionalFormatting>
  <conditionalFormatting sqref="D1682:E1682">
    <cfRule type="containsText" dxfId="289" priority="29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нужды)",D1682)))</formula>
    </cfRule>
  </conditionalFormatting>
  <conditionalFormatting sqref="D1750">
    <cfRule type="containsText" dxfId="288" priority="289" operator="containsText" text="РФ">
      <formula>NOT(ISERROR(SEARCH("РФ",D1750)))</formula>
    </cfRule>
    <cfRule type="containsText" dxfId="287" priority="292" operator="containsText" text="Администрация города Магнитогорска">
      <formula>NOT(ISERROR(SEARCH("Администрация города Магнитогорска",D1750)))</formula>
    </cfRule>
  </conditionalFormatting>
  <conditionalFormatting sqref="E1750">
    <cfRule type="containsText" dxfId="286" priority="291" operator="containsText" text="пустующее">
      <formula>NOT(ISERROR(SEARCH("пустующее",E1750)))</formula>
    </cfRule>
  </conditionalFormatting>
  <conditionalFormatting sqref="D1750:E1750">
    <cfRule type="containsText" dxfId="285" priority="293" operator="containsText" text="Администрация города Магнитогорска пустующее">
      <formula>NOT(ISERROR(SEARCH("Администрация города Магнитогорска пустующее",D1750)))</formula>
    </cfRule>
    <cfRule type="containsText" dxfId="284" priority="29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нужды)",D1750)))</formula>
    </cfRule>
  </conditionalFormatting>
  <conditionalFormatting sqref="D1750:E1750">
    <cfRule type="containsText" dxfId="283" priority="29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нужды)",D1750)))</formula>
    </cfRule>
  </conditionalFormatting>
  <conditionalFormatting sqref="D1600">
    <cfRule type="containsText" dxfId="282" priority="283" operator="containsText" text="РФ">
      <formula>NOT(ISERROR(SEARCH("РФ",D1600)))</formula>
    </cfRule>
    <cfRule type="containsText" dxfId="281" priority="286" operator="containsText" text="Администрация города Магнитогорска">
      <formula>NOT(ISERROR(SEARCH("Администрация города Магнитогорска",D1600)))</formula>
    </cfRule>
  </conditionalFormatting>
  <conditionalFormatting sqref="E1600">
    <cfRule type="containsText" dxfId="280" priority="285" operator="containsText" text="пустующее">
      <formula>NOT(ISERROR(SEARCH("пустующее",E1600)))</formula>
    </cfRule>
  </conditionalFormatting>
  <conditionalFormatting sqref="D1600:E1600">
    <cfRule type="containsText" dxfId="279" priority="287" operator="containsText" text="Администрация города Магнитогорска пустующее">
      <formula>NOT(ISERROR(SEARCH("Администрация города Магнитогорска пустующее",D1600)))</formula>
    </cfRule>
    <cfRule type="containsText" dxfId="278" priority="28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нужды)",D1600)))</formula>
    </cfRule>
  </conditionalFormatting>
  <conditionalFormatting sqref="D1600:E1600">
    <cfRule type="containsText" dxfId="277" priority="28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нужды)",D1600)))</formula>
    </cfRule>
  </conditionalFormatting>
  <conditionalFormatting sqref="D1796">
    <cfRule type="containsText" dxfId="276" priority="277" operator="containsText" text="РФ">
      <formula>NOT(ISERROR(SEARCH("РФ",D1796)))</formula>
    </cfRule>
    <cfRule type="containsText" dxfId="275" priority="280" operator="containsText" text="Администрация города Магнитогорска">
      <formula>NOT(ISERROR(SEARCH("Администрация города Магнитогорска",D1796)))</formula>
    </cfRule>
  </conditionalFormatting>
  <conditionalFormatting sqref="E1796">
    <cfRule type="containsText" dxfId="274" priority="279" operator="containsText" text="пустующее">
      <formula>NOT(ISERROR(SEARCH("пустующее",E1796)))</formula>
    </cfRule>
  </conditionalFormatting>
  <conditionalFormatting sqref="D1796:E1796">
    <cfRule type="containsText" dxfId="273" priority="281" operator="containsText" text="Администрация города Магнитогорска пустующее">
      <formula>NOT(ISERROR(SEARCH("Администрация города Магнитогорска пустующее",D1796)))</formula>
    </cfRule>
    <cfRule type="containsText" dxfId="272" priority="28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нужды)",D1796)))</formula>
    </cfRule>
  </conditionalFormatting>
  <conditionalFormatting sqref="D1796:E1796">
    <cfRule type="containsText" dxfId="271" priority="27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нужды)",D1796)))</formula>
    </cfRule>
  </conditionalFormatting>
  <conditionalFormatting sqref="D1823">
    <cfRule type="containsText" dxfId="270" priority="271" operator="containsText" text="РФ">
      <formula>NOT(ISERROR(SEARCH("РФ",D1823)))</formula>
    </cfRule>
    <cfRule type="containsText" dxfId="269" priority="274" operator="containsText" text="Администрация города Магнитогорска">
      <formula>NOT(ISERROR(SEARCH("Администрация города Магнитогорска",D1823)))</formula>
    </cfRule>
  </conditionalFormatting>
  <conditionalFormatting sqref="E1823">
    <cfRule type="containsText" dxfId="268" priority="273" operator="containsText" text="пустующее">
      <formula>NOT(ISERROR(SEARCH("пустующее",E1823)))</formula>
    </cfRule>
  </conditionalFormatting>
  <conditionalFormatting sqref="D1823:E1823">
    <cfRule type="containsText" dxfId="267" priority="275" operator="containsText" text="Администрация города Магнитогорска пустующее">
      <formula>NOT(ISERROR(SEARCH("Администрация города Магнитогорска пустующее",D1823)))</formula>
    </cfRule>
    <cfRule type="containsText" dxfId="266" priority="27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нужды)",D1823)))</formula>
    </cfRule>
  </conditionalFormatting>
  <conditionalFormatting sqref="D1823:E1823">
    <cfRule type="containsText" dxfId="265" priority="27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нужды)",D1823)))</formula>
    </cfRule>
  </conditionalFormatting>
  <conditionalFormatting sqref="D1843">
    <cfRule type="containsText" dxfId="264" priority="265" operator="containsText" text="РФ">
      <formula>NOT(ISERROR(SEARCH("РФ",D1843)))</formula>
    </cfRule>
    <cfRule type="containsText" dxfId="263" priority="268" operator="containsText" text="Администрация города Магнитогорска">
      <formula>NOT(ISERROR(SEARCH("Администрация города Магнитогорска",D1843)))</formula>
    </cfRule>
  </conditionalFormatting>
  <conditionalFormatting sqref="E1843">
    <cfRule type="containsText" dxfId="262" priority="267" operator="containsText" text="пустующее">
      <formula>NOT(ISERROR(SEARCH("пустующее",E1843)))</formula>
    </cfRule>
  </conditionalFormatting>
  <conditionalFormatting sqref="D1843:E1843">
    <cfRule type="containsText" dxfId="261" priority="269" operator="containsText" text="Администрация города Магнитогорска пустующее">
      <formula>NOT(ISERROR(SEARCH("Администрация города Магнитогорска пустующее",D1843)))</formula>
    </cfRule>
    <cfRule type="containsText" dxfId="260" priority="27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нужды)",D1843)))</formula>
    </cfRule>
  </conditionalFormatting>
  <conditionalFormatting sqref="D1843:E1843">
    <cfRule type="containsText" dxfId="259" priority="26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нужды)",D1843)))</formula>
    </cfRule>
  </conditionalFormatting>
  <conditionalFormatting sqref="D1635">
    <cfRule type="containsText" dxfId="258" priority="259" operator="containsText" text="РФ">
      <formula>NOT(ISERROR(SEARCH("РФ",D1635)))</formula>
    </cfRule>
    <cfRule type="containsText" dxfId="257" priority="262" operator="containsText" text="Администрация города Магнитогорска">
      <formula>NOT(ISERROR(SEARCH("Администрация города Магнитогорска",D1635)))</formula>
    </cfRule>
  </conditionalFormatting>
  <conditionalFormatting sqref="E1635">
    <cfRule type="containsText" dxfId="256" priority="261" operator="containsText" text="пустующее">
      <formula>NOT(ISERROR(SEARCH("пустующее",E1635)))</formula>
    </cfRule>
  </conditionalFormatting>
  <conditionalFormatting sqref="D1635:E1635">
    <cfRule type="containsText" dxfId="255" priority="263" operator="containsText" text="Администрация города Магнитогорска пустующее">
      <formula>NOT(ISERROR(SEARCH("Администрация города Магнитогорска пустующее",D1635)))</formula>
    </cfRule>
    <cfRule type="containsText" dxfId="254" priority="26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нужды)",D1635)))</formula>
    </cfRule>
  </conditionalFormatting>
  <conditionalFormatting sqref="D1635:E1635">
    <cfRule type="containsText" dxfId="253" priority="26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нужды)",D1635)))</formula>
    </cfRule>
  </conditionalFormatting>
  <conditionalFormatting sqref="D1663">
    <cfRule type="containsText" dxfId="252" priority="253" operator="containsText" text="РФ">
      <formula>NOT(ISERROR(SEARCH("РФ",D1663)))</formula>
    </cfRule>
    <cfRule type="containsText" dxfId="251" priority="256" operator="containsText" text="Администрация города Магнитогорска">
      <formula>NOT(ISERROR(SEARCH("Администрация города Магнитогорска",D1663)))</formula>
    </cfRule>
  </conditionalFormatting>
  <conditionalFormatting sqref="E1663">
    <cfRule type="containsText" dxfId="250" priority="255" operator="containsText" text="пустующее">
      <formula>NOT(ISERROR(SEARCH("пустующее",E1663)))</formula>
    </cfRule>
  </conditionalFormatting>
  <conditionalFormatting sqref="D1663:E1663">
    <cfRule type="containsText" dxfId="249" priority="257" operator="containsText" text="Администрация города Магнитогорска пустующее">
      <formula>NOT(ISERROR(SEARCH("Администрация города Магнитогорска пустующее",D1663)))</formula>
    </cfRule>
    <cfRule type="containsText" dxfId="248" priority="25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нужды)",D1663)))</formula>
    </cfRule>
  </conditionalFormatting>
  <conditionalFormatting sqref="D1663:E1663">
    <cfRule type="containsText" dxfId="247" priority="25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нужды)",D1663)))</formula>
    </cfRule>
  </conditionalFormatting>
  <conditionalFormatting sqref="D1670">
    <cfRule type="containsText" dxfId="246" priority="247" operator="containsText" text="РФ">
      <formula>NOT(ISERROR(SEARCH("РФ",D1670)))</formula>
    </cfRule>
    <cfRule type="containsText" dxfId="245" priority="250" operator="containsText" text="Администрация города Магнитогорска">
      <formula>NOT(ISERROR(SEARCH("Администрация города Магнитогорска",D1670)))</formula>
    </cfRule>
  </conditionalFormatting>
  <conditionalFormatting sqref="E1670">
    <cfRule type="containsText" dxfId="244" priority="249" operator="containsText" text="пустующее">
      <formula>NOT(ISERROR(SEARCH("пустующее",E1670)))</formula>
    </cfRule>
  </conditionalFormatting>
  <conditionalFormatting sqref="D1670:E1670">
    <cfRule type="containsText" dxfId="243" priority="251" operator="containsText" text="Администрация города Магнитогорска пустующее">
      <formula>NOT(ISERROR(SEARCH("Администрация города Магнитогорска пустующее",D1670)))</formula>
    </cfRule>
    <cfRule type="containsText" dxfId="242" priority="25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нужды)",D1670)))</formula>
    </cfRule>
  </conditionalFormatting>
  <conditionalFormatting sqref="D1670:E1670">
    <cfRule type="containsText" dxfId="241" priority="24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нужды)",D1670)))</formula>
    </cfRule>
  </conditionalFormatting>
  <conditionalFormatting sqref="D1897">
    <cfRule type="containsText" dxfId="240" priority="241" operator="containsText" text="РФ">
      <formula>NOT(ISERROR(SEARCH("РФ",D1897)))</formula>
    </cfRule>
    <cfRule type="containsText" dxfId="239" priority="244" operator="containsText" text="Администрация города Магнитогорска">
      <formula>NOT(ISERROR(SEARCH("Администрация города Магнитогорска",D1897)))</formula>
    </cfRule>
  </conditionalFormatting>
  <conditionalFormatting sqref="E1897">
    <cfRule type="containsText" dxfId="238" priority="243" operator="containsText" text="пустующее">
      <formula>NOT(ISERROR(SEARCH("пустующее",E1897)))</formula>
    </cfRule>
  </conditionalFormatting>
  <conditionalFormatting sqref="D1897:E1897">
    <cfRule type="containsText" dxfId="237" priority="245" operator="containsText" text="Администрация города Магнитогорска пустующее">
      <formula>NOT(ISERROR(SEARCH("Администрация города Магнитогорска пустующее",D1897)))</formula>
    </cfRule>
    <cfRule type="containsText" dxfId="236" priority="24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нужды)",D1897)))</formula>
    </cfRule>
  </conditionalFormatting>
  <conditionalFormatting sqref="D1897:E1897">
    <cfRule type="containsText" dxfId="235" priority="24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нужды)",D1897)))</formula>
    </cfRule>
  </conditionalFormatting>
  <conditionalFormatting sqref="D1885">
    <cfRule type="containsText" dxfId="234" priority="235" operator="containsText" text="РФ">
      <formula>NOT(ISERROR(SEARCH("РФ",D1885)))</formula>
    </cfRule>
    <cfRule type="containsText" dxfId="233" priority="238" operator="containsText" text="Администрация города Магнитогорска">
      <formula>NOT(ISERROR(SEARCH("Администрация города Магнитогорска",D1885)))</formula>
    </cfRule>
  </conditionalFormatting>
  <conditionalFormatting sqref="E1885">
    <cfRule type="containsText" dxfId="232" priority="237" operator="containsText" text="пустующее">
      <formula>NOT(ISERROR(SEARCH("пустующее",E1885)))</formula>
    </cfRule>
  </conditionalFormatting>
  <conditionalFormatting sqref="D1885:E1885">
    <cfRule type="containsText" dxfId="231" priority="239" operator="containsText" text="Администрация города Магнитогорска пустующее">
      <formula>NOT(ISERROR(SEARCH("Администрация города Магнитогорска пустующее",D1885)))</formula>
    </cfRule>
    <cfRule type="containsText" dxfId="230" priority="24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нужды)",D1885)))</formula>
    </cfRule>
  </conditionalFormatting>
  <conditionalFormatting sqref="D1885:E1885">
    <cfRule type="containsText" dxfId="229" priority="23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нужды)",D1885)))</formula>
    </cfRule>
  </conditionalFormatting>
  <conditionalFormatting sqref="D1904">
    <cfRule type="containsText" dxfId="228" priority="229" operator="containsText" text="РФ">
      <formula>NOT(ISERROR(SEARCH("РФ",D1904)))</formula>
    </cfRule>
    <cfRule type="containsText" dxfId="227" priority="232" operator="containsText" text="Администрация города Магнитогорска">
      <formula>NOT(ISERROR(SEARCH("Администрация города Магнитогорска",D1904)))</formula>
    </cfRule>
  </conditionalFormatting>
  <conditionalFormatting sqref="E1904">
    <cfRule type="containsText" dxfId="226" priority="231" operator="containsText" text="пустующее">
      <formula>NOT(ISERROR(SEARCH("пустующее",E1904)))</formula>
    </cfRule>
  </conditionalFormatting>
  <conditionalFormatting sqref="D1904:E1904">
    <cfRule type="containsText" dxfId="225" priority="233" operator="containsText" text="Администрация города Магнитогорска пустующее">
      <formula>NOT(ISERROR(SEARCH("Администрация города Магнитогорска пустующее",D1904)))</formula>
    </cfRule>
    <cfRule type="containsText" dxfId="224" priority="23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нужды)",D1904)))</formula>
    </cfRule>
  </conditionalFormatting>
  <conditionalFormatting sqref="D1904:E1904">
    <cfRule type="containsText" dxfId="223" priority="23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нужды)",D1904)))</formula>
    </cfRule>
  </conditionalFormatting>
  <conditionalFormatting sqref="D1939">
    <cfRule type="containsText" dxfId="222" priority="223" operator="containsText" text="РФ">
      <formula>NOT(ISERROR(SEARCH("РФ",D1939)))</formula>
    </cfRule>
    <cfRule type="containsText" dxfId="221" priority="226" operator="containsText" text="Администрация города Магнитогорска">
      <formula>NOT(ISERROR(SEARCH("Администрация города Магнитогорска",D1939)))</formula>
    </cfRule>
  </conditionalFormatting>
  <conditionalFormatting sqref="E1939">
    <cfRule type="containsText" dxfId="220" priority="225" operator="containsText" text="пустующее">
      <formula>NOT(ISERROR(SEARCH("пустующее",E1939)))</formula>
    </cfRule>
  </conditionalFormatting>
  <conditionalFormatting sqref="D1939:E1939">
    <cfRule type="containsText" dxfId="219" priority="227" operator="containsText" text="Администрация города Магнитогорска пустующее">
      <formula>NOT(ISERROR(SEARCH("Администрация города Магнитогорска пустующее",D1939)))</formula>
    </cfRule>
    <cfRule type="containsText" dxfId="218" priority="22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нужды)",D1939)))</formula>
    </cfRule>
  </conditionalFormatting>
  <conditionalFormatting sqref="D1939:E1939">
    <cfRule type="containsText" dxfId="217" priority="22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нужды)",D1939)))</formula>
    </cfRule>
  </conditionalFormatting>
  <conditionalFormatting sqref="D1964">
    <cfRule type="containsText" dxfId="216" priority="217" operator="containsText" text="РФ">
      <formula>NOT(ISERROR(SEARCH("РФ",D1964)))</formula>
    </cfRule>
    <cfRule type="containsText" dxfId="215" priority="220" operator="containsText" text="Администрация города Магнитогорска">
      <formula>NOT(ISERROR(SEARCH("Администрация города Магнитогорска",D1964)))</formula>
    </cfRule>
  </conditionalFormatting>
  <conditionalFormatting sqref="E1964">
    <cfRule type="containsText" dxfId="214" priority="219" operator="containsText" text="пустующее">
      <formula>NOT(ISERROR(SEARCH("пустующее",E1964)))</formula>
    </cfRule>
  </conditionalFormatting>
  <conditionalFormatting sqref="D1964:E1964">
    <cfRule type="containsText" dxfId="213" priority="221" operator="containsText" text="Администрация города Магнитогорска пустующее">
      <formula>NOT(ISERROR(SEARCH("Администрация города Магнитогорска пустующее",D1964)))</formula>
    </cfRule>
    <cfRule type="containsText" dxfId="212" priority="22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нужды)",D1964)))</formula>
    </cfRule>
  </conditionalFormatting>
  <conditionalFormatting sqref="D1964:E1964">
    <cfRule type="containsText" dxfId="211" priority="21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нужды)",D1964)))</formula>
    </cfRule>
  </conditionalFormatting>
  <conditionalFormatting sqref="D1967">
    <cfRule type="containsText" dxfId="210" priority="211" operator="containsText" text="РФ">
      <formula>NOT(ISERROR(SEARCH("РФ",D1967)))</formula>
    </cfRule>
    <cfRule type="containsText" dxfId="209" priority="214" operator="containsText" text="Администрация города Магнитогорска">
      <formula>NOT(ISERROR(SEARCH("Администрация города Магнитогорска",D1967)))</formula>
    </cfRule>
  </conditionalFormatting>
  <conditionalFormatting sqref="E1967">
    <cfRule type="containsText" dxfId="208" priority="213" operator="containsText" text="пустующее">
      <formula>NOT(ISERROR(SEARCH("пустующее",E1967)))</formula>
    </cfRule>
  </conditionalFormatting>
  <conditionalFormatting sqref="D1967:E1967">
    <cfRule type="containsText" dxfId="207" priority="215" operator="containsText" text="Администрация города Магнитогорска пустующее">
      <formula>NOT(ISERROR(SEARCH("Администрация города Магнитогорска пустующее",D1967)))</formula>
    </cfRule>
    <cfRule type="containsText" dxfId="206" priority="21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нужды)",D1967)))</formula>
    </cfRule>
  </conditionalFormatting>
  <conditionalFormatting sqref="D1967:E1967">
    <cfRule type="containsText" dxfId="205" priority="21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нужды)",D1967)))</formula>
    </cfRule>
  </conditionalFormatting>
  <conditionalFormatting sqref="D1983">
    <cfRule type="containsText" dxfId="204" priority="205" operator="containsText" text="РФ">
      <formula>NOT(ISERROR(SEARCH("РФ",D1983)))</formula>
    </cfRule>
    <cfRule type="containsText" dxfId="203" priority="208" operator="containsText" text="Администрация города Магнитогорска">
      <formula>NOT(ISERROR(SEARCH("Администрация города Магнитогорска",D1983)))</formula>
    </cfRule>
  </conditionalFormatting>
  <conditionalFormatting sqref="E1983">
    <cfRule type="containsText" dxfId="202" priority="207" operator="containsText" text="пустующее">
      <formula>NOT(ISERROR(SEARCH("пустующее",E1983)))</formula>
    </cfRule>
  </conditionalFormatting>
  <conditionalFormatting sqref="D1983:E1983">
    <cfRule type="containsText" dxfId="201" priority="209" operator="containsText" text="Администрация города Магнитогорска пустующее">
      <formula>NOT(ISERROR(SEARCH("Администрация города Магнитогорска пустующее",D1983)))</formula>
    </cfRule>
    <cfRule type="containsText" dxfId="200" priority="21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нужды)",D1983)))</formula>
    </cfRule>
  </conditionalFormatting>
  <conditionalFormatting sqref="D1983:E1983">
    <cfRule type="containsText" dxfId="199" priority="20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нужды)",D1983)))</formula>
    </cfRule>
  </conditionalFormatting>
  <conditionalFormatting sqref="D2002">
    <cfRule type="containsText" dxfId="198" priority="199" operator="containsText" text="РФ">
      <formula>NOT(ISERROR(SEARCH("РФ",D2002)))</formula>
    </cfRule>
    <cfRule type="containsText" dxfId="197" priority="202" operator="containsText" text="Администрация города Магнитогорска">
      <formula>NOT(ISERROR(SEARCH("Администрация города Магнитогорска",D2002)))</formula>
    </cfRule>
  </conditionalFormatting>
  <conditionalFormatting sqref="E2002">
    <cfRule type="containsText" dxfId="196" priority="201" operator="containsText" text="пустующее">
      <formula>NOT(ISERROR(SEARCH("пустующее",E2002)))</formula>
    </cfRule>
  </conditionalFormatting>
  <conditionalFormatting sqref="D2002:E2002">
    <cfRule type="containsText" dxfId="195" priority="203" operator="containsText" text="Администрация города Магнитогорска пустующее">
      <formula>NOT(ISERROR(SEARCH("Администрация города Магнитогорска пустующее",D2002)))</formula>
    </cfRule>
    <cfRule type="containsText" dxfId="194" priority="20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нужды)",D2002)))</formula>
    </cfRule>
  </conditionalFormatting>
  <conditionalFormatting sqref="D2002:E2002">
    <cfRule type="containsText" dxfId="193" priority="20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нужды)",D2002)))</formula>
    </cfRule>
  </conditionalFormatting>
  <conditionalFormatting sqref="D2075">
    <cfRule type="containsText" dxfId="192" priority="193" operator="containsText" text="РФ">
      <formula>NOT(ISERROR(SEARCH("РФ",D2075)))</formula>
    </cfRule>
    <cfRule type="containsText" dxfId="191" priority="196" operator="containsText" text="Администрация города Магнитогорска">
      <formula>NOT(ISERROR(SEARCH("Администрация города Магнитогорска",D2075)))</formula>
    </cfRule>
  </conditionalFormatting>
  <conditionalFormatting sqref="E2075">
    <cfRule type="containsText" dxfId="190" priority="195" operator="containsText" text="пустующее">
      <formula>NOT(ISERROR(SEARCH("пустующее",E2075)))</formula>
    </cfRule>
  </conditionalFormatting>
  <conditionalFormatting sqref="D2075:E2075">
    <cfRule type="containsText" dxfId="189" priority="197" operator="containsText" text="Администрация города Магнитогорска пустующее">
      <formula>NOT(ISERROR(SEARCH("Администрация города Магнитогорска пустующее",D2075)))</formula>
    </cfRule>
    <cfRule type="containsText" dxfId="188" priority="19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нужды)",D2075)))</formula>
    </cfRule>
  </conditionalFormatting>
  <conditionalFormatting sqref="D2075:E2075">
    <cfRule type="containsText" dxfId="187" priority="19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нужды)",D2075)))</formula>
    </cfRule>
  </conditionalFormatting>
  <conditionalFormatting sqref="D2035">
    <cfRule type="containsText" dxfId="186" priority="187" operator="containsText" text="РФ">
      <formula>NOT(ISERROR(SEARCH("РФ",D2035)))</formula>
    </cfRule>
    <cfRule type="containsText" dxfId="185" priority="190" operator="containsText" text="Администрация города Магнитогорска">
      <formula>NOT(ISERROR(SEARCH("Администрация города Магнитогорска",D2035)))</formula>
    </cfRule>
  </conditionalFormatting>
  <conditionalFormatting sqref="E2035">
    <cfRule type="containsText" dxfId="184" priority="189" operator="containsText" text="пустующее">
      <formula>NOT(ISERROR(SEARCH("пустующее",E2035)))</formula>
    </cfRule>
  </conditionalFormatting>
  <conditionalFormatting sqref="D2035:E2035">
    <cfRule type="containsText" dxfId="183" priority="191" operator="containsText" text="Администрация города Магнитогорска пустующее">
      <formula>NOT(ISERROR(SEARCH("Администрация города Магнитогорска пустующее",D2035)))</formula>
    </cfRule>
    <cfRule type="containsText" dxfId="182" priority="19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нужды)",D2035)))</formula>
    </cfRule>
  </conditionalFormatting>
  <conditionalFormatting sqref="D2035:E2035">
    <cfRule type="containsText" dxfId="181" priority="18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нужды)",D2035)))</formula>
    </cfRule>
  </conditionalFormatting>
  <conditionalFormatting sqref="A2003:C2003 F2003:XFD2003">
    <cfRule type="containsText" dxfId="180" priority="179" operator="containsText" text="Администрация города Магнитогорска пустующее">
      <formula>NOT(ISERROR(SEARCH("Администрация города Магнитогорска пустующее",A2003)))</formula>
    </cfRule>
    <cfRule type="containsText" dxfId="179" priority="18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нужды)",A2003)))</formula>
    </cfRule>
  </conditionalFormatting>
  <conditionalFormatting sqref="A2003:C2003 F2003:XFD2003">
    <cfRule type="containsText" dxfId="178" priority="17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нужды)",A2003)))</formula>
    </cfRule>
  </conditionalFormatting>
  <conditionalFormatting sqref="D2003">
    <cfRule type="containsText" dxfId="177" priority="172" operator="containsText" text="РФ">
      <formula>NOT(ISERROR(SEARCH("РФ",D2003)))</formula>
    </cfRule>
    <cfRule type="containsText" dxfId="176" priority="175" operator="containsText" text="Администрация города Магнитогорска">
      <formula>NOT(ISERROR(SEARCH("Администрация города Магнитогорска",D2003)))</formula>
    </cfRule>
  </conditionalFormatting>
  <conditionalFormatting sqref="D2003">
    <cfRule type="containsText" dxfId="175" priority="176" operator="containsText" text="Администрация города Магнитогорска пустующее">
      <formula>NOT(ISERROR(SEARCH("Администрация города Магнитогорска пустующее",D2003)))</formula>
    </cfRule>
    <cfRule type="containsText" dxfId="174" priority="177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нужды)",D2003)))</formula>
    </cfRule>
  </conditionalFormatting>
  <conditionalFormatting sqref="D2003">
    <cfRule type="containsText" dxfId="173" priority="173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нужды)",D2003)))</formula>
    </cfRule>
  </conditionalFormatting>
  <conditionalFormatting sqref="A1537:C1537 F1537:XFD1537">
    <cfRule type="containsText" dxfId="172" priority="170" operator="containsText" text="Администрация города Магнитогорска пустующее">
      <formula>NOT(ISERROR(SEARCH("Администрация города Магнитогорска пустующее",A1537)))</formula>
    </cfRule>
    <cfRule type="containsText" dxfId="171" priority="171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нужды)",A1537)))</formula>
    </cfRule>
  </conditionalFormatting>
  <conditionalFormatting sqref="A1537:C1537 F1537:XFD1537">
    <cfRule type="containsText" dxfId="170" priority="169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нужды)",A1537)))</formula>
    </cfRule>
  </conditionalFormatting>
  <conditionalFormatting sqref="D1537">
    <cfRule type="containsText" dxfId="169" priority="163" operator="containsText" text="РФ">
      <formula>NOT(ISERROR(SEARCH("РФ",D1537)))</formula>
    </cfRule>
    <cfRule type="containsText" dxfId="168" priority="166" operator="containsText" text="Администрация города Магнитогорска">
      <formula>NOT(ISERROR(SEARCH("Администрация города Магнитогорска",D1537)))</formula>
    </cfRule>
  </conditionalFormatting>
  <conditionalFormatting sqref="E1537">
    <cfRule type="containsText" dxfId="167" priority="165" operator="containsText" text="пустующее">
      <formula>NOT(ISERROR(SEARCH("пустующее",E1537)))</formula>
    </cfRule>
  </conditionalFormatting>
  <conditionalFormatting sqref="D1537:E1537">
    <cfRule type="containsText" dxfId="166" priority="167" operator="containsText" text="Администрация города Магнитогорска пустующее">
      <formula>NOT(ISERROR(SEARCH("Администрация города Магнитогорска пустующее",D1537)))</formula>
    </cfRule>
    <cfRule type="containsText" dxfId="165" priority="16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нужды)",D1537)))</formula>
    </cfRule>
  </conditionalFormatting>
  <conditionalFormatting sqref="D1537:E1537">
    <cfRule type="containsText" dxfId="164" priority="16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нужды)",D1537)))</formula>
    </cfRule>
  </conditionalFormatting>
  <conditionalFormatting sqref="A1548:C1548 F1548:XFD1548">
    <cfRule type="containsText" dxfId="163" priority="161" operator="containsText" text="Администрация города Магнитогорска пустующее">
      <formula>NOT(ISERROR(SEARCH("Администрация города Магнитогорска пустующее",A1548)))</formula>
    </cfRule>
    <cfRule type="containsText" dxfId="162" priority="16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нужды)",A1548)))</formula>
    </cfRule>
  </conditionalFormatting>
  <conditionalFormatting sqref="A1548:C1548 F1548:XFD1548">
    <cfRule type="containsText" dxfId="161" priority="16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нужды)",A1548)))</formula>
    </cfRule>
  </conditionalFormatting>
  <conditionalFormatting sqref="D1548">
    <cfRule type="containsText" dxfId="160" priority="154" operator="containsText" text="РФ">
      <formula>NOT(ISERROR(SEARCH("РФ",D1548)))</formula>
    </cfRule>
    <cfRule type="containsText" dxfId="159" priority="157" operator="containsText" text="Администрация города Магнитогорска">
      <formula>NOT(ISERROR(SEARCH("Администрация города Магнитогорска",D1548)))</formula>
    </cfRule>
  </conditionalFormatting>
  <conditionalFormatting sqref="D1548">
    <cfRule type="containsText" dxfId="158" priority="158" operator="containsText" text="Администрация города Магнитогорска пустующее">
      <formula>NOT(ISERROR(SEARCH("Администрация города Магнитогорска пустующее",D1548)))</formula>
    </cfRule>
    <cfRule type="containsText" dxfId="157" priority="159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нужды)",D1548)))</formula>
    </cfRule>
  </conditionalFormatting>
  <conditionalFormatting sqref="D1548">
    <cfRule type="containsText" dxfId="156" priority="155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нужды)",D1548)))</formula>
    </cfRule>
  </conditionalFormatting>
  <conditionalFormatting sqref="A1595:XFD1595">
    <cfRule type="containsText" dxfId="155" priority="152" operator="containsText" text="Администрация города Магнитогорска пустующее">
      <formula>NOT(ISERROR(SEARCH("Администрация города Магнитогорска пустующее",A1595)))</formula>
    </cfRule>
    <cfRule type="containsText" dxfId="154" priority="153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нужды)",A1595)))</formula>
    </cfRule>
  </conditionalFormatting>
  <conditionalFormatting sqref="D1595">
    <cfRule type="containsText" dxfId="153" priority="148" operator="containsText" text="РФ">
      <formula>NOT(ISERROR(SEARCH("РФ",D1595)))</formula>
    </cfRule>
    <cfRule type="containsText" dxfId="152" priority="151" operator="containsText" text="Администрация города Магнитогорска">
      <formula>NOT(ISERROR(SEARCH("Администрация города Магнитогорска",D1595)))</formula>
    </cfRule>
  </conditionalFormatting>
  <conditionalFormatting sqref="E1595">
    <cfRule type="containsText" dxfId="151" priority="150" operator="containsText" text="пустующее">
      <formula>NOT(ISERROR(SEARCH("пустующее",E1595)))</formula>
    </cfRule>
  </conditionalFormatting>
  <conditionalFormatting sqref="A1595:XFD1595">
    <cfRule type="containsText" dxfId="150" priority="149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нужды)",A1595)))</formula>
    </cfRule>
  </conditionalFormatting>
  <conditionalFormatting sqref="A1984:C1984 F1984:XFD1984">
    <cfRule type="containsText" dxfId="149" priority="137" operator="containsText" text="Администрация города Магнитогорска пустующее">
      <formula>NOT(ISERROR(SEARCH("Администрация города Магнитогорска пустующее",A1984)))</formula>
    </cfRule>
    <cfRule type="containsText" dxfId="148" priority="13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нужды)",A1984)))</formula>
    </cfRule>
  </conditionalFormatting>
  <conditionalFormatting sqref="A1984:C1984 F1984:XFD1984">
    <cfRule type="containsText" dxfId="147" priority="13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нужды)",A1984)))</formula>
    </cfRule>
  </conditionalFormatting>
  <conditionalFormatting sqref="D1984">
    <cfRule type="containsText" dxfId="146" priority="130" operator="containsText" text="РФ">
      <formula>NOT(ISERROR(SEARCH("РФ",D1984)))</formula>
    </cfRule>
    <cfRule type="containsText" dxfId="145" priority="133" operator="containsText" text="Администрация города Магнитогорска">
      <formula>NOT(ISERROR(SEARCH("Администрация города Магнитогорска",D1984)))</formula>
    </cfRule>
  </conditionalFormatting>
  <conditionalFormatting sqref="D1984">
    <cfRule type="containsText" dxfId="144" priority="134" operator="containsText" text="Администрация города Магнитогорска пустующее">
      <formula>NOT(ISERROR(SEARCH("Администрация города Магнитогорска пустующее",D1984)))</formula>
    </cfRule>
    <cfRule type="containsText" dxfId="143" priority="135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нужды)",D1984)))</formula>
    </cfRule>
  </conditionalFormatting>
  <conditionalFormatting sqref="D1984">
    <cfRule type="containsText" dxfId="142" priority="131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нужды)",D1984)))</formula>
    </cfRule>
  </conditionalFormatting>
  <conditionalFormatting sqref="A943:D943 F943:XFD943">
    <cfRule type="containsText" dxfId="141" priority="128" operator="containsText" text="Администрация города Магнитогорска пустующее">
      <formula>NOT(ISERROR(SEARCH("Администрация города Магнитогорска пустующее",A943)))</formula>
    </cfRule>
    <cfRule type="containsText" dxfId="140" priority="129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нужды)",A943)))</formula>
    </cfRule>
  </conditionalFormatting>
  <conditionalFormatting sqref="D943">
    <cfRule type="containsText" dxfId="139" priority="124" operator="containsText" text="РФ">
      <formula>NOT(ISERROR(SEARCH("РФ",D943)))</formula>
    </cfRule>
    <cfRule type="containsText" dxfId="138" priority="127" operator="containsText" text="Администрация города Магнитогорска">
      <formula>NOT(ISERROR(SEARCH("Администрация города Магнитогорска",D943)))</formula>
    </cfRule>
  </conditionalFormatting>
  <conditionalFormatting sqref="A943:D943 F943:XFD943">
    <cfRule type="containsText" dxfId="137" priority="125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нужды)",A943)))</formula>
    </cfRule>
  </conditionalFormatting>
  <conditionalFormatting sqref="A950:D950 F950:XFD950">
    <cfRule type="containsText" dxfId="136" priority="122" operator="containsText" text="Администрация города Магнитогорска пустующее">
      <formula>NOT(ISERROR(SEARCH("Администрация города Магнитогорска пустующее",A950)))</formula>
    </cfRule>
    <cfRule type="containsText" dxfId="135" priority="123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нужды)",A950)))</formula>
    </cfRule>
  </conditionalFormatting>
  <conditionalFormatting sqref="D950">
    <cfRule type="containsText" dxfId="134" priority="118" operator="containsText" text="РФ">
      <formula>NOT(ISERROR(SEARCH("РФ",D950)))</formula>
    </cfRule>
    <cfRule type="containsText" dxfId="133" priority="121" operator="containsText" text="Администрация города Магнитогорска">
      <formula>NOT(ISERROR(SEARCH("Администрация города Магнитогорска",D950)))</formula>
    </cfRule>
  </conditionalFormatting>
  <conditionalFormatting sqref="A950:D950 F950:XFD950">
    <cfRule type="containsText" dxfId="132" priority="119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нужды)",A950)))</formula>
    </cfRule>
  </conditionalFormatting>
  <conditionalFormatting sqref="A1467:C1467 F1467:XFD1467">
    <cfRule type="containsText" dxfId="131" priority="116" operator="containsText" text="Администрация города Магнитогорска пустующее">
      <formula>NOT(ISERROR(SEARCH("Администрация города Магнитогорска пустующее",A1467)))</formula>
    </cfRule>
    <cfRule type="containsText" dxfId="130" priority="117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нужды)",A1467)))</formula>
    </cfRule>
  </conditionalFormatting>
  <conditionalFormatting sqref="A1467:C1467 F1467:XFD1467">
    <cfRule type="containsText" dxfId="129" priority="115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нужды)",A1467)))</formula>
    </cfRule>
  </conditionalFormatting>
  <conditionalFormatting sqref="D1467">
    <cfRule type="containsText" dxfId="128" priority="109" operator="containsText" text="РФ">
      <formula>NOT(ISERROR(SEARCH("РФ",D1467)))</formula>
    </cfRule>
    <cfRule type="containsText" dxfId="127" priority="112" operator="containsText" text="Администрация города Магнитогорска">
      <formula>NOT(ISERROR(SEARCH("Администрация города Магнитогорска",D1467)))</formula>
    </cfRule>
  </conditionalFormatting>
  <conditionalFormatting sqref="D1467">
    <cfRule type="containsText" dxfId="126" priority="113" operator="containsText" text="Администрация города Магнитогорска пустующее">
      <formula>NOT(ISERROR(SEARCH("Администрация города Магнитогорска пустующее",D1467)))</formula>
    </cfRule>
    <cfRule type="containsText" dxfId="125" priority="11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нужды)",D1467)))</formula>
    </cfRule>
  </conditionalFormatting>
  <conditionalFormatting sqref="D1467">
    <cfRule type="containsText" dxfId="124" priority="11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нужды)",D1467)))</formula>
    </cfRule>
  </conditionalFormatting>
  <conditionalFormatting sqref="A1417:C1417 F1417:XFD1417">
    <cfRule type="containsText" dxfId="123" priority="107" operator="containsText" text="Администрация города Магнитогорска пустующее">
      <formula>NOT(ISERROR(SEARCH("Администрация города Магнитогорска пустующее",A1417)))</formula>
    </cfRule>
    <cfRule type="containsText" dxfId="122" priority="10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нужды)",A1417)))</formula>
    </cfRule>
  </conditionalFormatting>
  <conditionalFormatting sqref="A1417:C1417 F1417:XFD1417">
    <cfRule type="containsText" dxfId="121" priority="10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нужды)",A1417)))</formula>
    </cfRule>
  </conditionalFormatting>
  <conditionalFormatting sqref="D1417">
    <cfRule type="containsText" dxfId="120" priority="100" operator="containsText" text="РФ">
      <formula>NOT(ISERROR(SEARCH("РФ",D1417)))</formula>
    </cfRule>
    <cfRule type="containsText" dxfId="119" priority="103" operator="containsText" text="Администрация города Магнитогорска">
      <formula>NOT(ISERROR(SEARCH("Администрация города Магнитогорска",D1417)))</formula>
    </cfRule>
  </conditionalFormatting>
  <conditionalFormatting sqref="D1417">
    <cfRule type="containsText" dxfId="118" priority="104" operator="containsText" text="Администрация города Магнитогорска пустующее">
      <formula>NOT(ISERROR(SEARCH("Администрация города Магнитогорска пустующее",D1417)))</formula>
    </cfRule>
    <cfRule type="containsText" dxfId="117" priority="105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нужды)",D1417)))</formula>
    </cfRule>
  </conditionalFormatting>
  <conditionalFormatting sqref="D1417">
    <cfRule type="containsText" dxfId="116" priority="101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нужды)",D1417)))</formula>
    </cfRule>
  </conditionalFormatting>
  <conditionalFormatting sqref="A1556:C1556 F1556:XFD1556">
    <cfRule type="containsText" dxfId="115" priority="98" operator="containsText" text="Администрация города Магнитогорска пустующее">
      <formula>NOT(ISERROR(SEARCH("Администрация города Магнитогорска пустующее",A1556)))</formula>
    </cfRule>
    <cfRule type="containsText" dxfId="114" priority="99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нужды)",A1556)))</formula>
    </cfRule>
  </conditionalFormatting>
  <conditionalFormatting sqref="A1556:C1556 F1556:XFD1556">
    <cfRule type="containsText" dxfId="113" priority="97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нужды)",A1556)))</formula>
    </cfRule>
  </conditionalFormatting>
  <conditionalFormatting sqref="D1556">
    <cfRule type="containsText" dxfId="112" priority="91" operator="containsText" text="РФ">
      <formula>NOT(ISERROR(SEARCH("РФ",D1556)))</formula>
    </cfRule>
    <cfRule type="containsText" dxfId="111" priority="94" operator="containsText" text="Администрация города Магнитогорска">
      <formula>NOT(ISERROR(SEARCH("Администрация города Магнитогорска",D1556)))</formula>
    </cfRule>
  </conditionalFormatting>
  <conditionalFormatting sqref="D1556">
    <cfRule type="containsText" dxfId="110" priority="95" operator="containsText" text="Администрация города Магнитогорска пустующее">
      <formula>NOT(ISERROR(SEARCH("Администрация города Магнитогорска пустующее",D1556)))</formula>
    </cfRule>
    <cfRule type="containsText" dxfId="109" priority="9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нужды)",D1556)))</formula>
    </cfRule>
  </conditionalFormatting>
  <conditionalFormatting sqref="D1556">
    <cfRule type="containsText" dxfId="108" priority="9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нужды)",D1556)))</formula>
    </cfRule>
  </conditionalFormatting>
  <conditionalFormatting sqref="A948:XFD948">
    <cfRule type="containsText" dxfId="107" priority="89" operator="containsText" text="Администрация города Магнитогорска пустующее">
      <formula>NOT(ISERROR(SEARCH("Администрация города Магнитогорска пустующее",A948)))</formula>
    </cfRule>
    <cfRule type="containsText" dxfId="106" priority="9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нужды)",A948)))</formula>
    </cfRule>
  </conditionalFormatting>
  <conditionalFormatting sqref="D948">
    <cfRule type="containsText" dxfId="105" priority="85" operator="containsText" text="РФ">
      <formula>NOT(ISERROR(SEARCH("РФ",D948)))</formula>
    </cfRule>
    <cfRule type="containsText" dxfId="104" priority="88" operator="containsText" text="Администрация города Магнитогорска">
      <formula>NOT(ISERROR(SEARCH("Администрация города Магнитогорска",D948)))</formula>
    </cfRule>
  </conditionalFormatting>
  <conditionalFormatting sqref="E948">
    <cfRule type="containsText" dxfId="103" priority="87" operator="containsText" text="пустующее">
      <formula>NOT(ISERROR(SEARCH("пустующее",E948)))</formula>
    </cfRule>
  </conditionalFormatting>
  <conditionalFormatting sqref="A948:XFD948">
    <cfRule type="containsText" dxfId="102" priority="8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нужды)",A948)))</formula>
    </cfRule>
  </conditionalFormatting>
  <conditionalFormatting sqref="A1554:C1554 F1554:XFD1554">
    <cfRule type="containsText" dxfId="101" priority="83" operator="containsText" text="Администрация города Магнитогорска пустующее">
      <formula>NOT(ISERROR(SEARCH("Администрация города Магнитогорска пустующее",A1554)))</formula>
    </cfRule>
    <cfRule type="containsText" dxfId="100" priority="8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нужды)",A1554)))</formula>
    </cfRule>
  </conditionalFormatting>
  <conditionalFormatting sqref="A1554:C1554 F1554:XFD1554">
    <cfRule type="containsText" dxfId="99" priority="8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нужды)",A1554)))</formula>
    </cfRule>
  </conditionalFormatting>
  <conditionalFormatting sqref="D1554">
    <cfRule type="containsText" dxfId="98" priority="76" operator="containsText" text="РФ">
      <formula>NOT(ISERROR(SEARCH("РФ",D1554)))</formula>
    </cfRule>
    <cfRule type="containsText" dxfId="97" priority="79" operator="containsText" text="Администрация города Магнитогорска">
      <formula>NOT(ISERROR(SEARCH("Администрация города Магнитогорска",D1554)))</formula>
    </cfRule>
  </conditionalFormatting>
  <conditionalFormatting sqref="E1554">
    <cfRule type="containsText" dxfId="96" priority="78" operator="containsText" text="пустующее">
      <formula>NOT(ISERROR(SEARCH("пустующее",E1554)))</formula>
    </cfRule>
  </conditionalFormatting>
  <conditionalFormatting sqref="D1554:E1554">
    <cfRule type="containsText" dxfId="95" priority="80" operator="containsText" text="Администрация города Магнитогорска пустующее">
      <formula>NOT(ISERROR(SEARCH("Администрация города Магнитогорска пустующее",D1554)))</formula>
    </cfRule>
    <cfRule type="containsText" dxfId="94" priority="81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нужды)",D1554)))</formula>
    </cfRule>
  </conditionalFormatting>
  <conditionalFormatting sqref="D1554:E1554">
    <cfRule type="containsText" dxfId="93" priority="77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нужды)",D1554)))</formula>
    </cfRule>
  </conditionalFormatting>
  <conditionalFormatting sqref="A1664:XFD1664">
    <cfRule type="containsText" dxfId="92" priority="74" operator="containsText" text="Администрация города Магнитогорска пустующее">
      <formula>NOT(ISERROR(SEARCH("Администрация города Магнитогорска пустующее",A1664)))</formula>
    </cfRule>
    <cfRule type="containsText" dxfId="91" priority="75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нужды)",A1664)))</formula>
    </cfRule>
  </conditionalFormatting>
  <conditionalFormatting sqref="D1664">
    <cfRule type="containsText" dxfId="90" priority="70" operator="containsText" text="РФ">
      <formula>NOT(ISERROR(SEARCH("РФ",D1664)))</formula>
    </cfRule>
    <cfRule type="containsText" dxfId="89" priority="73" operator="containsText" text="Администрация города Магнитогорска">
      <formula>NOT(ISERROR(SEARCH("Администрация города Магнитогорска",D1664)))</formula>
    </cfRule>
  </conditionalFormatting>
  <conditionalFormatting sqref="E1664">
    <cfRule type="containsText" dxfId="88" priority="72" operator="containsText" text="пустующее">
      <formula>NOT(ISERROR(SEARCH("пустующее",E1664)))</formula>
    </cfRule>
  </conditionalFormatting>
  <conditionalFormatting sqref="A1664:XFD1664">
    <cfRule type="containsText" dxfId="87" priority="71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нужды)",A1664)))</formula>
    </cfRule>
  </conditionalFormatting>
  <conditionalFormatting sqref="A1940:XFD1940">
    <cfRule type="containsText" dxfId="86" priority="68" operator="containsText" text="Администрация города Магнитогорска пустующее">
      <formula>NOT(ISERROR(SEARCH("Администрация города Магнитогорска пустующее",A1940)))</formula>
    </cfRule>
    <cfRule type="containsText" dxfId="85" priority="69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нужды)",A1940)))</formula>
    </cfRule>
  </conditionalFormatting>
  <conditionalFormatting sqref="D1940">
    <cfRule type="containsText" dxfId="84" priority="64" operator="containsText" text="РФ">
      <formula>NOT(ISERROR(SEARCH("РФ",D1940)))</formula>
    </cfRule>
    <cfRule type="containsText" dxfId="83" priority="67" operator="containsText" text="Администрация города Магнитогорска">
      <formula>NOT(ISERROR(SEARCH("Администрация города Магнитогорска",D1940)))</formula>
    </cfRule>
  </conditionalFormatting>
  <conditionalFormatting sqref="E1940">
    <cfRule type="containsText" dxfId="82" priority="66" operator="containsText" text="пустующее">
      <formula>NOT(ISERROR(SEARCH("пустующее",E1940)))</formula>
    </cfRule>
  </conditionalFormatting>
  <conditionalFormatting sqref="A1940:XFD1940">
    <cfRule type="containsText" dxfId="81" priority="65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нужды)",A1940)))</formula>
    </cfRule>
  </conditionalFormatting>
  <conditionalFormatting sqref="A1148:C1148 F1148:XFD1148">
    <cfRule type="containsText" dxfId="80" priority="62" operator="containsText" text="Администрация города Магнитогорска пустующее">
      <formula>NOT(ISERROR(SEARCH("Администрация города Магнитогорска пустующее",A1148)))</formula>
    </cfRule>
    <cfRule type="containsText" dxfId="79" priority="63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нужды)",A1148)))</formula>
    </cfRule>
  </conditionalFormatting>
  <conditionalFormatting sqref="A1148:C1148 F1148:XFD1148">
    <cfRule type="containsText" dxfId="78" priority="61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нужды)",A1148)))</formula>
    </cfRule>
  </conditionalFormatting>
  <conditionalFormatting sqref="D1148">
    <cfRule type="containsText" dxfId="77" priority="55" operator="containsText" text="РФ">
      <formula>NOT(ISERROR(SEARCH("РФ",D1148)))</formula>
    </cfRule>
    <cfRule type="containsText" dxfId="76" priority="58" operator="containsText" text="Администрация города Магнитогорска">
      <formula>NOT(ISERROR(SEARCH("Администрация города Магнитогорска",D1148)))</formula>
    </cfRule>
  </conditionalFormatting>
  <conditionalFormatting sqref="E1148">
    <cfRule type="containsText" dxfId="75" priority="57" operator="containsText" text="пустующее">
      <formula>NOT(ISERROR(SEARCH("пустующее",E1148)))</formula>
    </cfRule>
  </conditionalFormatting>
  <conditionalFormatting sqref="D1148:E1148">
    <cfRule type="containsText" dxfId="74" priority="59" operator="containsText" text="Администрация города Магнитогорска пустующее">
      <formula>NOT(ISERROR(SEARCH("Администрация города Магнитогорска пустующее",D1148)))</formula>
    </cfRule>
    <cfRule type="containsText" dxfId="73" priority="6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нужды)",D1148)))</formula>
    </cfRule>
  </conditionalFormatting>
  <conditionalFormatting sqref="D1148:E1148">
    <cfRule type="containsText" dxfId="72" priority="5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нужды)",D1148)))</formula>
    </cfRule>
  </conditionalFormatting>
  <conditionalFormatting sqref="A1140:XFD1140">
    <cfRule type="containsText" dxfId="71" priority="53" operator="containsText" text="Администрация города Магнитогорска пустующее">
      <formula>NOT(ISERROR(SEARCH("Администрация города Магнитогорска пустующее",A1140)))</formula>
    </cfRule>
    <cfRule type="containsText" dxfId="70" priority="5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нужды)",A1140)))</formula>
    </cfRule>
  </conditionalFormatting>
  <conditionalFormatting sqref="D1140">
    <cfRule type="containsText" dxfId="69" priority="49" operator="containsText" text="РФ">
      <formula>NOT(ISERROR(SEARCH("РФ",D1140)))</formula>
    </cfRule>
    <cfRule type="containsText" dxfId="68" priority="52" operator="containsText" text="Администрация города Магнитогорска">
      <formula>NOT(ISERROR(SEARCH("Администрация города Магнитогорска",D1140)))</formula>
    </cfRule>
  </conditionalFormatting>
  <conditionalFormatting sqref="E1140">
    <cfRule type="containsText" dxfId="67" priority="51" operator="containsText" text="пустующее">
      <formula>NOT(ISERROR(SEARCH("пустующее",E1140)))</formula>
    </cfRule>
  </conditionalFormatting>
  <conditionalFormatting sqref="A1140:XFD1140">
    <cfRule type="containsText" dxfId="66" priority="5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нужды)",A1140)))</formula>
    </cfRule>
  </conditionalFormatting>
  <conditionalFormatting sqref="A1069:XFD1069">
    <cfRule type="containsText" dxfId="65" priority="47" operator="containsText" text="Администрация города Магнитогорска пустующее">
      <formula>NOT(ISERROR(SEARCH("Администрация города Магнитогорска пустующее",A1069)))</formula>
    </cfRule>
    <cfRule type="containsText" dxfId="64" priority="4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нужды)",A1069)))</formula>
    </cfRule>
  </conditionalFormatting>
  <conditionalFormatting sqref="D1069">
    <cfRule type="containsText" dxfId="63" priority="43" operator="containsText" text="РФ">
      <formula>NOT(ISERROR(SEARCH("РФ",D1069)))</formula>
    </cfRule>
    <cfRule type="containsText" dxfId="62" priority="46" operator="containsText" text="Администрация города Магнитогорска">
      <formula>NOT(ISERROR(SEARCH("Администрация города Магнитогорска",D1069)))</formula>
    </cfRule>
  </conditionalFormatting>
  <conditionalFormatting sqref="E1069">
    <cfRule type="containsText" dxfId="61" priority="45" operator="containsText" text="пустующее">
      <formula>NOT(ISERROR(SEARCH("пустующее",E1069)))</formula>
    </cfRule>
  </conditionalFormatting>
  <conditionalFormatting sqref="A1069:XFD1069">
    <cfRule type="containsText" dxfId="60" priority="4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нужды)",A1069)))</formula>
    </cfRule>
  </conditionalFormatting>
  <conditionalFormatting sqref="A1070:D1070 F1070:XFD1070">
    <cfRule type="containsText" dxfId="59" priority="41" operator="containsText" text="Администрация города Магнитогорска пустующее">
      <formula>NOT(ISERROR(SEARCH("Администрация города Магнитогорска пустующее",A1070)))</formula>
    </cfRule>
    <cfRule type="containsText" dxfId="58" priority="4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нужды)",A1070)))</formula>
    </cfRule>
  </conditionalFormatting>
  <conditionalFormatting sqref="D1070">
    <cfRule type="containsText" dxfId="57" priority="38" operator="containsText" text="РФ">
      <formula>NOT(ISERROR(SEARCH("РФ",D1070)))</formula>
    </cfRule>
    <cfRule type="containsText" dxfId="56" priority="40" operator="containsText" text="Администрация города Магнитогорска">
      <formula>NOT(ISERROR(SEARCH("Администрация города Магнитогорска",D1070)))</formula>
    </cfRule>
  </conditionalFormatting>
  <conditionalFormatting sqref="A1070:D1070 F1070:XFD1070">
    <cfRule type="containsText" dxfId="55" priority="39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нужды)",A1070)))</formula>
    </cfRule>
  </conditionalFormatting>
  <conditionalFormatting sqref="E1070">
    <cfRule type="containsText" dxfId="54" priority="36" operator="containsText" text="Администрация города Магнитогорска пустующее">
      <formula>NOT(ISERROR(SEARCH("Администрация города Магнитогорска пустующее",E1070)))</formula>
    </cfRule>
    <cfRule type="containsText" dxfId="53" priority="37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нужды)",E1070)))</formula>
    </cfRule>
  </conditionalFormatting>
  <conditionalFormatting sqref="E1070">
    <cfRule type="containsText" dxfId="52" priority="35" operator="containsText" text="пустующее">
      <formula>NOT(ISERROR(SEARCH("пустующее",E1070)))</formula>
    </cfRule>
  </conditionalFormatting>
  <conditionalFormatting sqref="E1070">
    <cfRule type="containsText" dxfId="51" priority="3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нужды)",E1070)))</formula>
    </cfRule>
  </conditionalFormatting>
  <conditionalFormatting sqref="E1984 E2003">
    <cfRule type="containsText" dxfId="50" priority="32" operator="containsText" text="Администрация города Магнитогорска пустующее">
      <formula>NOT(ISERROR(SEARCH("Администрация города Магнитогорска пустующее",E1984)))</formula>
    </cfRule>
    <cfRule type="containsText" dxfId="49" priority="33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нужды)",E1984)))</formula>
    </cfRule>
  </conditionalFormatting>
  <conditionalFormatting sqref="E1984 E2003">
    <cfRule type="containsText" dxfId="48" priority="31" operator="containsText" text="пустующее">
      <formula>NOT(ISERROR(SEARCH("пустующее",E1984)))</formula>
    </cfRule>
  </conditionalFormatting>
  <conditionalFormatting sqref="E1984 E2003">
    <cfRule type="containsText" dxfId="47" priority="3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нужды)",E1984)))</formula>
    </cfRule>
  </conditionalFormatting>
  <conditionalFormatting sqref="E1417 E1467 E1548 E1556">
    <cfRule type="containsText" dxfId="46" priority="28" operator="containsText" text="Администрация города Магнитогорска пустующее">
      <formula>NOT(ISERROR(SEARCH("Администрация города Магнитогорска пустующее",E1417)))</formula>
    </cfRule>
    <cfRule type="containsText" dxfId="45" priority="29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нужды)",E1417)))</formula>
    </cfRule>
  </conditionalFormatting>
  <conditionalFormatting sqref="E1417 E1467 E1548 E1556">
    <cfRule type="containsText" dxfId="44" priority="27" operator="containsText" text="пустующее">
      <formula>NOT(ISERROR(SEARCH("пустующее",E1417)))</formula>
    </cfRule>
  </conditionalFormatting>
  <conditionalFormatting sqref="E1417 E1467 E1548 E1556">
    <cfRule type="containsText" dxfId="43" priority="2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нужды)",E1417)))</formula>
    </cfRule>
  </conditionalFormatting>
  <conditionalFormatting sqref="E943 E950">
    <cfRule type="containsText" dxfId="42" priority="24" operator="containsText" text="Администрация города Магнитогорска пустующее">
      <formula>NOT(ISERROR(SEARCH("Администрация города Магнитогорска пустующее",E943)))</formula>
    </cfRule>
    <cfRule type="containsText" dxfId="41" priority="25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нужды)",E943)))</formula>
    </cfRule>
  </conditionalFormatting>
  <conditionalFormatting sqref="E943 E950">
    <cfRule type="containsText" dxfId="40" priority="23" operator="containsText" text="пустующее">
      <formula>NOT(ISERROR(SEARCH("пустующее",E943)))</formula>
    </cfRule>
  </conditionalFormatting>
  <conditionalFormatting sqref="E943 E950">
    <cfRule type="containsText" dxfId="39" priority="2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нужды)",E943)))</formula>
    </cfRule>
  </conditionalFormatting>
  <conditionalFormatting sqref="A942:D942 F942:XFD942">
    <cfRule type="containsText" dxfId="38" priority="20" operator="containsText" text="Администрация города Магнитогорска пустующее">
      <formula>NOT(ISERROR(SEARCH("Администрация города Магнитогорска пустующее",A942)))</formula>
    </cfRule>
    <cfRule type="containsText" dxfId="37" priority="21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нужды)",A942)))</formula>
    </cfRule>
  </conditionalFormatting>
  <conditionalFormatting sqref="D942">
    <cfRule type="containsText" dxfId="36" priority="17" operator="containsText" text="РФ">
      <formula>NOT(ISERROR(SEARCH("РФ",D942)))</formula>
    </cfRule>
    <cfRule type="containsText" dxfId="35" priority="19" operator="containsText" text="Администрация города Магнитогорска">
      <formula>NOT(ISERROR(SEARCH("Администрация города Магнитогорска",D942)))</formula>
    </cfRule>
  </conditionalFormatting>
  <conditionalFormatting sqref="A942:D942 F942:XFD942">
    <cfRule type="containsText" dxfId="34" priority="18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нужды)",A942)))</formula>
    </cfRule>
  </conditionalFormatting>
  <conditionalFormatting sqref="E942">
    <cfRule type="containsText" dxfId="33" priority="15" operator="containsText" text="Администрация города Магнитогорска пустующее">
      <formula>NOT(ISERROR(SEARCH("Администрация города Магнитогорска пустующее",E942)))</formula>
    </cfRule>
    <cfRule type="containsText" dxfId="32" priority="1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нужды)",E942)))</formula>
    </cfRule>
  </conditionalFormatting>
  <conditionalFormatting sqref="E942">
    <cfRule type="containsText" dxfId="31" priority="14" operator="containsText" text="пустующее">
      <formula>NOT(ISERROR(SEARCH("пустующее",E942)))</formula>
    </cfRule>
  </conditionalFormatting>
  <conditionalFormatting sqref="E942">
    <cfRule type="containsText" dxfId="30" priority="13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нужды)",E942)))</formula>
    </cfRule>
  </conditionalFormatting>
  <conditionalFormatting sqref="A1555:C1555 F1555:XFD1555">
    <cfRule type="containsText" dxfId="29" priority="11" operator="containsText" text="Администрация города Магнитогорска пустующее">
      <formula>NOT(ISERROR(SEARCH("Администрация города Магнитогорска пустующее",A1555)))</formula>
    </cfRule>
    <cfRule type="containsText" dxfId="28" priority="12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нужды)",A1555)))</formula>
    </cfRule>
  </conditionalFormatting>
  <conditionalFormatting sqref="A1555:C1555 F1555:XFD1555">
    <cfRule type="containsText" dxfId="27" priority="10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нужды)",A1555)))</formula>
    </cfRule>
  </conditionalFormatting>
  <conditionalFormatting sqref="D1555">
    <cfRule type="containsText" dxfId="26" priority="5" operator="containsText" text="РФ">
      <formula>NOT(ISERROR(SEARCH("РФ",D1555)))</formula>
    </cfRule>
    <cfRule type="containsText" dxfId="25" priority="7" operator="containsText" text="Администрация города Магнитогорска">
      <formula>NOT(ISERROR(SEARCH("Администрация города Магнитогорска",D1555)))</formula>
    </cfRule>
  </conditionalFormatting>
  <conditionalFormatting sqref="D1555">
    <cfRule type="containsText" dxfId="24" priority="8" operator="containsText" text="Администрация города Магнитогорска пустующее">
      <formula>NOT(ISERROR(SEARCH("Администрация города Магнитогорска пустующее",D1555)))</formula>
    </cfRule>
    <cfRule type="containsText" dxfId="23" priority="9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нужды)",D1555)))</formula>
    </cfRule>
  </conditionalFormatting>
  <conditionalFormatting sqref="D1555">
    <cfRule type="containsText" dxfId="22" priority="6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нужды)",D1555)))</formula>
    </cfRule>
  </conditionalFormatting>
  <conditionalFormatting sqref="E1555">
    <cfRule type="containsText" dxfId="21" priority="3" operator="containsText" text="Администрация города Магнитогорска пустующее">
      <formula>NOT(ISERROR(SEARCH("Администрация города Магнитогорска пустующее",E1555)))</formula>
    </cfRule>
    <cfRule type="containsText" dxfId="20" priority="4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нужды)",E1555)))</formula>
    </cfRule>
  </conditionalFormatting>
  <conditionalFormatting sqref="E1555">
    <cfRule type="containsText" dxfId="19" priority="2" operator="containsText" text="пустующее">
      <formula>NOT(ISERROR(SEARCH("пустующее",E1555)))</formula>
    </cfRule>
  </conditionalFormatting>
  <conditionalFormatting sqref="E1555">
    <cfRule type="containsText" dxfId="18" priority="1" operator="containsText" text="ООО &quot;ЖРЭУ № 5&quot; города Магнитогорска (собственные нужды)">
      <formula>NOT(ISERROR(SEARCH("ООО ""ЖРЭУ № 5"" города Магнитогорска (собственные нужды)",E1555)))</formula>
    </cfRule>
  </conditionalFormatting>
  <pageMargins left="0.70866141732283472" right="0.70866141732283472" top="0.74803149606299213" bottom="0.74803149606299213" header="0.31496062992125984" footer="0.31496062992125984"/>
  <pageSetup paperSize="8" scale="10" fitToHeight="1000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9"/>
  <sheetViews>
    <sheetView zoomScale="120" zoomScaleNormal="120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P383" sqref="P383"/>
    </sheetView>
  </sheetViews>
  <sheetFormatPr defaultColWidth="9.140625" defaultRowHeight="13.15" customHeight="1" x14ac:dyDescent="0.25"/>
  <cols>
    <col min="1" max="1" width="4" style="5" customWidth="1"/>
    <col min="2" max="2" width="17.42578125" style="5" customWidth="1"/>
    <col min="3" max="3" width="6.85546875" style="6" hidden="1" customWidth="1"/>
    <col min="4" max="4" width="5.42578125" style="5" hidden="1" customWidth="1"/>
    <col min="5" max="5" width="6.140625" style="5" hidden="1" customWidth="1"/>
    <col min="6" max="6" width="11" style="7" customWidth="1"/>
    <col min="7" max="7" width="12.42578125" style="7" customWidth="1"/>
    <col min="8" max="8" width="11" customWidth="1"/>
    <col min="9" max="9" width="11" style="361" customWidth="1"/>
    <col min="10" max="10" width="11" style="7" customWidth="1"/>
    <col min="11" max="11" width="10.7109375" style="7" customWidth="1"/>
    <col min="12" max="12" width="10.42578125" style="6" bestFit="1" customWidth="1"/>
    <col min="13" max="16384" width="9.140625" style="3"/>
  </cols>
  <sheetData>
    <row r="1" spans="1:12" ht="37.9" customHeight="1" x14ac:dyDescent="0.2">
      <c r="A1" s="225" t="s">
        <v>1076</v>
      </c>
      <c r="B1" s="226" t="s">
        <v>721</v>
      </c>
      <c r="C1" s="226" t="s">
        <v>1077</v>
      </c>
      <c r="D1" s="226" t="s">
        <v>1078</v>
      </c>
      <c r="E1" s="226" t="s">
        <v>1079</v>
      </c>
      <c r="F1" s="231" t="s">
        <v>1370</v>
      </c>
      <c r="G1" s="230" t="s">
        <v>1350</v>
      </c>
      <c r="H1" s="230" t="s">
        <v>1080</v>
      </c>
      <c r="I1" s="358" t="s">
        <v>1081</v>
      </c>
      <c r="J1" s="230" t="s">
        <v>1351</v>
      </c>
      <c r="K1" s="232" t="s">
        <v>94</v>
      </c>
      <c r="L1" s="3"/>
    </row>
    <row r="2" spans="1:12" ht="13.15" customHeight="1" x14ac:dyDescent="0.25">
      <c r="A2" s="224" t="s">
        <v>1082</v>
      </c>
      <c r="B2" s="1" t="s">
        <v>661</v>
      </c>
      <c r="C2" s="4" t="s">
        <v>1083</v>
      </c>
      <c r="D2" s="2">
        <v>10</v>
      </c>
      <c r="E2" s="2"/>
      <c r="F2" s="229">
        <f>Таблица3[[#This Row],[Площадь (приват.)]]+Таблица3[[#This Row],[Площадь (муницип.)]]</f>
        <v>3439.1</v>
      </c>
      <c r="G2">
        <v>4371.8</v>
      </c>
      <c r="H2">
        <v>3439.1</v>
      </c>
      <c r="I2">
        <v>0</v>
      </c>
      <c r="J2">
        <v>932.7</v>
      </c>
      <c r="K2">
        <v>55</v>
      </c>
      <c r="L2" s="3"/>
    </row>
    <row r="3" spans="1:12" ht="13.15" customHeight="1" x14ac:dyDescent="0.25">
      <c r="A3" s="224" t="s">
        <v>1084</v>
      </c>
      <c r="B3" s="1" t="s">
        <v>553</v>
      </c>
      <c r="C3" s="4" t="s">
        <v>1083</v>
      </c>
      <c r="D3" s="2">
        <v>14</v>
      </c>
      <c r="E3" s="2"/>
      <c r="F3" s="229">
        <f>Таблица3[[#This Row],[Площадь (приват.)]]+Таблица3[[#This Row],[Площадь (муницип.)]]</f>
        <v>3374</v>
      </c>
      <c r="G3">
        <v>4456.8999999999996</v>
      </c>
      <c r="H3">
        <v>3299.7</v>
      </c>
      <c r="I3">
        <v>74.3</v>
      </c>
      <c r="J3">
        <v>1082.9000000000001</v>
      </c>
      <c r="K3">
        <v>56</v>
      </c>
      <c r="L3" s="3"/>
    </row>
    <row r="4" spans="1:12" ht="13.15" customHeight="1" x14ac:dyDescent="0.25">
      <c r="A4" s="224" t="s">
        <v>1084</v>
      </c>
      <c r="B4" s="1" t="s">
        <v>554</v>
      </c>
      <c r="C4" s="4" t="s">
        <v>1083</v>
      </c>
      <c r="D4" s="2">
        <v>18</v>
      </c>
      <c r="E4" s="2"/>
      <c r="F4" s="229">
        <f>Таблица3[[#This Row],[Площадь (приват.)]]+Таблица3[[#This Row],[Площадь (муницип.)]]</f>
        <v>2102.8000000000002</v>
      </c>
      <c r="G4">
        <v>2487.5</v>
      </c>
      <c r="H4">
        <v>2102.8000000000002</v>
      </c>
      <c r="I4">
        <v>0</v>
      </c>
      <c r="J4">
        <v>384.7</v>
      </c>
      <c r="K4">
        <v>50</v>
      </c>
      <c r="L4" s="3"/>
    </row>
    <row r="5" spans="1:12" ht="13.15" customHeight="1" x14ac:dyDescent="0.25">
      <c r="A5" s="224" t="s">
        <v>1084</v>
      </c>
      <c r="B5" s="1" t="s">
        <v>555</v>
      </c>
      <c r="C5" s="4" t="s">
        <v>1083</v>
      </c>
      <c r="D5" s="2">
        <v>18</v>
      </c>
      <c r="E5" s="2" t="s">
        <v>1085</v>
      </c>
      <c r="F5" s="229">
        <f>Таблица3[[#This Row],[Площадь (приват.)]]+Таблица3[[#This Row],[Площадь (муницип.)]]</f>
        <v>2455.1</v>
      </c>
      <c r="G5">
        <v>2534</v>
      </c>
      <c r="H5">
        <v>2371.9</v>
      </c>
      <c r="I5">
        <v>83.2</v>
      </c>
      <c r="J5">
        <v>78.900000000000006</v>
      </c>
      <c r="K5">
        <v>58</v>
      </c>
      <c r="L5" s="3"/>
    </row>
    <row r="6" spans="1:12" ht="13.15" customHeight="1" x14ac:dyDescent="0.25">
      <c r="A6" s="224" t="s">
        <v>1084</v>
      </c>
      <c r="B6" s="1" t="s">
        <v>556</v>
      </c>
      <c r="C6" s="4" t="s">
        <v>1083</v>
      </c>
      <c r="D6" s="2">
        <v>20</v>
      </c>
      <c r="E6" s="2"/>
      <c r="F6" s="229">
        <f>Таблица3[[#This Row],[Площадь (приват.)]]+Таблица3[[#This Row],[Площадь (муницип.)]]</f>
        <v>2821.2</v>
      </c>
      <c r="G6">
        <v>3224.9</v>
      </c>
      <c r="H6">
        <v>2821.2</v>
      </c>
      <c r="I6">
        <v>0</v>
      </c>
      <c r="J6">
        <v>403.7</v>
      </c>
      <c r="K6">
        <v>70</v>
      </c>
      <c r="L6" s="3"/>
    </row>
    <row r="7" spans="1:12" ht="13.15" customHeight="1" x14ac:dyDescent="0.25">
      <c r="A7" s="224" t="s">
        <v>1084</v>
      </c>
      <c r="B7" s="1" t="s">
        <v>557</v>
      </c>
      <c r="C7" s="4" t="s">
        <v>1083</v>
      </c>
      <c r="D7" s="2">
        <v>24</v>
      </c>
      <c r="E7" s="2"/>
      <c r="F7" s="229">
        <f>Таблица3[[#This Row],[Площадь (приват.)]]+Таблица3[[#This Row],[Площадь (муницип.)]]</f>
        <v>2028.3</v>
      </c>
      <c r="G7">
        <v>2159.8000000000002</v>
      </c>
      <c r="H7">
        <v>2028.3</v>
      </c>
      <c r="I7">
        <v>0</v>
      </c>
      <c r="J7">
        <v>131.5</v>
      </c>
      <c r="K7">
        <v>45</v>
      </c>
      <c r="L7" s="3"/>
    </row>
    <row r="8" spans="1:12" ht="13.15" customHeight="1" x14ac:dyDescent="0.25">
      <c r="A8" s="224" t="s">
        <v>1084</v>
      </c>
      <c r="B8" s="1" t="s">
        <v>558</v>
      </c>
      <c r="C8" s="4" t="s">
        <v>1083</v>
      </c>
      <c r="D8" s="2">
        <v>28</v>
      </c>
      <c r="E8" s="2"/>
      <c r="F8" s="229">
        <f>Таблица3[[#This Row],[Площадь (приват.)]]+Таблица3[[#This Row],[Площадь (муницип.)]]</f>
        <v>2023.6</v>
      </c>
      <c r="G8">
        <v>2707.4</v>
      </c>
      <c r="H8">
        <v>2023.6</v>
      </c>
      <c r="I8">
        <v>0</v>
      </c>
      <c r="J8">
        <v>683.8</v>
      </c>
      <c r="K8">
        <v>48</v>
      </c>
      <c r="L8" s="3"/>
    </row>
    <row r="9" spans="1:12" ht="13.15" customHeight="1" x14ac:dyDescent="0.25">
      <c r="A9" s="224" t="s">
        <v>1084</v>
      </c>
      <c r="B9" s="1" t="s">
        <v>559</v>
      </c>
      <c r="C9" s="4" t="s">
        <v>1083</v>
      </c>
      <c r="D9" s="2">
        <v>42</v>
      </c>
      <c r="E9" s="2"/>
      <c r="F9" s="229">
        <f>Таблица3[[#This Row],[Площадь (приват.)]]+Таблица3[[#This Row],[Площадь (муницип.)]]</f>
        <v>1500.7</v>
      </c>
      <c r="G9">
        <v>1500.7</v>
      </c>
      <c r="H9">
        <v>1500.7</v>
      </c>
      <c r="I9">
        <v>0</v>
      </c>
      <c r="J9">
        <v>0</v>
      </c>
      <c r="K9">
        <v>36</v>
      </c>
      <c r="L9" s="3"/>
    </row>
    <row r="10" spans="1:12" ht="13.15" customHeight="1" x14ac:dyDescent="0.25">
      <c r="A10" s="224" t="s">
        <v>1084</v>
      </c>
      <c r="B10" s="1" t="s">
        <v>560</v>
      </c>
      <c r="C10" s="4" t="s">
        <v>1083</v>
      </c>
      <c r="D10" s="2">
        <v>44</v>
      </c>
      <c r="E10" s="2"/>
      <c r="F10" s="229">
        <f>Таблица3[[#This Row],[Площадь (приват.)]]+Таблица3[[#This Row],[Площадь (муницип.)]]</f>
        <v>1505.3</v>
      </c>
      <c r="G10">
        <v>1505.3</v>
      </c>
      <c r="H10">
        <v>1451.3</v>
      </c>
      <c r="I10">
        <v>54</v>
      </c>
      <c r="J10">
        <v>0</v>
      </c>
      <c r="K10">
        <v>36</v>
      </c>
      <c r="L10" s="3"/>
    </row>
    <row r="11" spans="1:12" ht="13.15" customHeight="1" x14ac:dyDescent="0.25">
      <c r="A11" s="224" t="s">
        <v>1086</v>
      </c>
      <c r="B11" s="1" t="s">
        <v>1140</v>
      </c>
      <c r="C11" s="4" t="s">
        <v>1087</v>
      </c>
      <c r="D11" s="2">
        <v>1</v>
      </c>
      <c r="E11" s="2"/>
      <c r="F11" s="229">
        <f>Таблица3[[#This Row],[Площадь (приват.)]]+Таблица3[[#This Row],[Площадь (муницип.)]]</f>
        <v>525.20000000000005</v>
      </c>
      <c r="G11">
        <v>525.20000000000005</v>
      </c>
      <c r="H11">
        <v>525.20000000000005</v>
      </c>
      <c r="I11">
        <v>0</v>
      </c>
      <c r="J11">
        <v>0</v>
      </c>
      <c r="K11">
        <v>16</v>
      </c>
      <c r="L11" s="3"/>
    </row>
    <row r="12" spans="1:12" ht="13.15" customHeight="1" x14ac:dyDescent="0.25">
      <c r="A12" s="224" t="s">
        <v>1088</v>
      </c>
      <c r="B12" s="1" t="s">
        <v>353</v>
      </c>
      <c r="C12" s="4" t="s">
        <v>1087</v>
      </c>
      <c r="D12" s="2">
        <v>11</v>
      </c>
      <c r="E12" s="2"/>
      <c r="F12" s="229">
        <f>Таблица3[[#This Row],[Площадь (приват.)]]+Таблица3[[#This Row],[Площадь (муницип.)]]</f>
        <v>1185.2</v>
      </c>
      <c r="G12">
        <v>1388.8</v>
      </c>
      <c r="H12">
        <v>1185.2</v>
      </c>
      <c r="I12">
        <v>0</v>
      </c>
      <c r="J12">
        <v>203.6</v>
      </c>
      <c r="K12">
        <v>20</v>
      </c>
      <c r="L12" s="3"/>
    </row>
    <row r="13" spans="1:12" ht="13.15" customHeight="1" x14ac:dyDescent="0.25">
      <c r="A13" s="224" t="s">
        <v>1089</v>
      </c>
      <c r="B13" s="1" t="s">
        <v>430</v>
      </c>
      <c r="C13" s="4" t="s">
        <v>1087</v>
      </c>
      <c r="D13" s="2">
        <v>12</v>
      </c>
      <c r="E13" s="2"/>
      <c r="F13" s="229">
        <f>Таблица3[[#This Row],[Площадь (приват.)]]+Таблица3[[#This Row],[Площадь (муницип.)]]</f>
        <v>1744.1</v>
      </c>
      <c r="G13">
        <v>2016.4</v>
      </c>
      <c r="H13">
        <v>1685.5</v>
      </c>
      <c r="I13">
        <v>58.6</v>
      </c>
      <c r="J13">
        <v>272.3</v>
      </c>
      <c r="K13">
        <v>28</v>
      </c>
      <c r="L13" s="3"/>
    </row>
    <row r="14" spans="1:12" ht="13.15" customHeight="1" x14ac:dyDescent="0.25">
      <c r="A14" s="224" t="s">
        <v>1090</v>
      </c>
      <c r="B14" s="1" t="s">
        <v>497</v>
      </c>
      <c r="C14" s="4" t="s">
        <v>1087</v>
      </c>
      <c r="D14" s="2">
        <v>17</v>
      </c>
      <c r="E14" s="2"/>
      <c r="F14" s="229">
        <f>Таблица3[[#This Row],[Площадь (приват.)]]+Таблица3[[#This Row],[Площадь (муницип.)]]</f>
        <v>1659.9</v>
      </c>
      <c r="G14">
        <v>2055.1999999999998</v>
      </c>
      <c r="H14">
        <v>1659.9</v>
      </c>
      <c r="I14">
        <v>0</v>
      </c>
      <c r="J14">
        <v>395.3</v>
      </c>
      <c r="K14">
        <v>28</v>
      </c>
      <c r="L14" s="3"/>
    </row>
    <row r="15" spans="1:12" ht="13.15" customHeight="1" x14ac:dyDescent="0.25">
      <c r="A15" s="224" t="s">
        <v>1089</v>
      </c>
      <c r="B15" s="1" t="s">
        <v>431</v>
      </c>
      <c r="C15" s="4" t="s">
        <v>1087</v>
      </c>
      <c r="D15" s="2">
        <v>18</v>
      </c>
      <c r="E15" s="2"/>
      <c r="F15" s="229">
        <f>Таблица3[[#This Row],[Площадь (приват.)]]+Таблица3[[#This Row],[Площадь (муницип.)]]</f>
        <v>2022.3</v>
      </c>
      <c r="G15">
        <v>2547.4</v>
      </c>
      <c r="H15">
        <v>2022.3</v>
      </c>
      <c r="I15">
        <v>0</v>
      </c>
      <c r="J15">
        <v>525.1</v>
      </c>
      <c r="K15">
        <v>33</v>
      </c>
      <c r="L15" s="3"/>
    </row>
    <row r="16" spans="1:12" ht="13.15" customHeight="1" x14ac:dyDescent="0.25">
      <c r="A16" s="224" t="s">
        <v>1090</v>
      </c>
      <c r="B16" s="1" t="s">
        <v>498</v>
      </c>
      <c r="C16" s="4" t="s">
        <v>1087</v>
      </c>
      <c r="D16" s="2">
        <v>19</v>
      </c>
      <c r="E16" s="2"/>
      <c r="F16" s="229">
        <f>Таблица3[[#This Row],[Площадь (приват.)]]+Таблица3[[#This Row],[Площадь (муницип.)]]</f>
        <v>2073.1</v>
      </c>
      <c r="G16">
        <v>2943.4</v>
      </c>
      <c r="H16">
        <v>2073.1</v>
      </c>
      <c r="I16">
        <v>0</v>
      </c>
      <c r="J16">
        <v>870.3</v>
      </c>
      <c r="K16">
        <v>35</v>
      </c>
      <c r="L16" s="3"/>
    </row>
    <row r="17" spans="1:12" ht="13.15" customHeight="1" x14ac:dyDescent="0.25">
      <c r="A17" s="224" t="s">
        <v>1090</v>
      </c>
      <c r="B17" s="1" t="s">
        <v>499</v>
      </c>
      <c r="C17" s="4" t="s">
        <v>1087</v>
      </c>
      <c r="D17" s="2">
        <v>21</v>
      </c>
      <c r="E17" s="2"/>
      <c r="F17" s="229">
        <f>Таблица3[[#This Row],[Площадь (приват.)]]+Таблица3[[#This Row],[Площадь (муницип.)]]</f>
        <v>2050.5</v>
      </c>
      <c r="G17">
        <v>2587.6999999999998</v>
      </c>
      <c r="H17">
        <v>2050.5</v>
      </c>
      <c r="I17">
        <v>0</v>
      </c>
      <c r="J17">
        <v>537.20000000000005</v>
      </c>
      <c r="K17">
        <v>29</v>
      </c>
      <c r="L17" s="3"/>
    </row>
    <row r="18" spans="1:12" ht="13.15" customHeight="1" x14ac:dyDescent="0.25">
      <c r="A18" s="224" t="s">
        <v>1090</v>
      </c>
      <c r="B18" s="1" t="s">
        <v>500</v>
      </c>
      <c r="C18" s="4" t="s">
        <v>1087</v>
      </c>
      <c r="D18" s="2">
        <v>23</v>
      </c>
      <c r="E18" s="2"/>
      <c r="F18" s="229">
        <f>Таблица3[[#This Row],[Площадь (приват.)]]+Таблица3[[#This Row],[Площадь (муницип.)]]</f>
        <v>3321.16</v>
      </c>
      <c r="G18">
        <v>3915.16</v>
      </c>
      <c r="H18">
        <v>3321.16</v>
      </c>
      <c r="I18">
        <v>0</v>
      </c>
      <c r="J18">
        <v>594</v>
      </c>
      <c r="K18">
        <v>52</v>
      </c>
      <c r="L18" s="3"/>
    </row>
    <row r="19" spans="1:12" ht="13.15" customHeight="1" x14ac:dyDescent="0.25">
      <c r="A19" s="224" t="s">
        <v>1089</v>
      </c>
      <c r="B19" s="1" t="s">
        <v>432</v>
      </c>
      <c r="C19" s="4" t="s">
        <v>1087</v>
      </c>
      <c r="D19" s="2">
        <v>24</v>
      </c>
      <c r="E19" s="2"/>
      <c r="F19" s="229">
        <f>Таблица3[[#This Row],[Площадь (приват.)]]+Таблица3[[#This Row],[Площадь (муницип.)]]</f>
        <v>3172.9</v>
      </c>
      <c r="G19">
        <v>3989.9</v>
      </c>
      <c r="H19">
        <v>3172.9</v>
      </c>
      <c r="I19">
        <v>0</v>
      </c>
      <c r="J19">
        <v>817</v>
      </c>
      <c r="K19">
        <v>48</v>
      </c>
      <c r="L19" s="3"/>
    </row>
    <row r="20" spans="1:12" ht="13.15" customHeight="1" x14ac:dyDescent="0.25">
      <c r="A20" s="224" t="s">
        <v>1090</v>
      </c>
      <c r="B20" s="1" t="s">
        <v>501</v>
      </c>
      <c r="C20" s="4" t="s">
        <v>1087</v>
      </c>
      <c r="D20" s="2">
        <v>25</v>
      </c>
      <c r="E20" s="2"/>
      <c r="F20" s="229">
        <f>Таблица3[[#This Row],[Площадь (приват.)]]+Таблица3[[#This Row],[Площадь (муницип.)]]</f>
        <v>1709</v>
      </c>
      <c r="G20">
        <v>1792.4</v>
      </c>
      <c r="H20">
        <v>1709</v>
      </c>
      <c r="I20">
        <v>0</v>
      </c>
      <c r="J20">
        <v>83.4</v>
      </c>
      <c r="K20">
        <v>26</v>
      </c>
      <c r="L20" s="3"/>
    </row>
    <row r="21" spans="1:12" ht="13.15" customHeight="1" x14ac:dyDescent="0.25">
      <c r="A21" s="224" t="s">
        <v>1089</v>
      </c>
      <c r="B21" s="1" t="s">
        <v>433</v>
      </c>
      <c r="C21" s="4" t="s">
        <v>1087</v>
      </c>
      <c r="D21" s="2">
        <v>26</v>
      </c>
      <c r="E21" s="2"/>
      <c r="F21" s="229">
        <f>Таблица3[[#This Row],[Площадь (приват.)]]+Таблица3[[#This Row],[Площадь (муницип.)]]</f>
        <v>1618.9</v>
      </c>
      <c r="G21">
        <v>1834.9</v>
      </c>
      <c r="H21">
        <v>1618.9</v>
      </c>
      <c r="I21">
        <v>0</v>
      </c>
      <c r="J21">
        <v>216</v>
      </c>
      <c r="K21">
        <v>28</v>
      </c>
      <c r="L21" s="3"/>
    </row>
    <row r="22" spans="1:12" ht="13.15" customHeight="1" x14ac:dyDescent="0.25">
      <c r="A22" s="224" t="s">
        <v>1090</v>
      </c>
      <c r="B22" s="1" t="s">
        <v>502</v>
      </c>
      <c r="C22" s="4" t="s">
        <v>1087</v>
      </c>
      <c r="D22" s="2">
        <v>27</v>
      </c>
      <c r="E22" s="2"/>
      <c r="F22" s="229">
        <f>Таблица3[[#This Row],[Площадь (приват.)]]+Таблица3[[#This Row],[Площадь (муницип.)]]</f>
        <v>3798.74</v>
      </c>
      <c r="G22">
        <v>4611.84</v>
      </c>
      <c r="H22">
        <v>3690.54</v>
      </c>
      <c r="I22">
        <v>108.2</v>
      </c>
      <c r="J22">
        <v>813.1</v>
      </c>
      <c r="K22">
        <v>51</v>
      </c>
      <c r="L22" s="3"/>
    </row>
    <row r="23" spans="1:12" ht="13.15" customHeight="1" x14ac:dyDescent="0.25">
      <c r="A23" s="224" t="s">
        <v>1089</v>
      </c>
      <c r="B23" s="1" t="s">
        <v>434</v>
      </c>
      <c r="C23" s="4" t="s">
        <v>1087</v>
      </c>
      <c r="D23" s="2">
        <v>28</v>
      </c>
      <c r="E23" s="2"/>
      <c r="F23" s="229">
        <f>Таблица3[[#This Row],[Площадь (приват.)]]+Таблица3[[#This Row],[Площадь (муницип.)]]</f>
        <v>3553.2</v>
      </c>
      <c r="G23">
        <v>4480.1000000000004</v>
      </c>
      <c r="H23">
        <v>3553.2</v>
      </c>
      <c r="I23">
        <v>0</v>
      </c>
      <c r="J23">
        <v>926.9</v>
      </c>
      <c r="K23">
        <v>50</v>
      </c>
      <c r="L23" s="3"/>
    </row>
    <row r="24" spans="1:12" ht="13.15" customHeight="1" x14ac:dyDescent="0.25">
      <c r="A24" s="224" t="s">
        <v>1088</v>
      </c>
      <c r="B24" s="1" t="s">
        <v>351</v>
      </c>
      <c r="C24" s="4" t="s">
        <v>1087</v>
      </c>
      <c r="D24" s="2">
        <v>3</v>
      </c>
      <c r="E24" s="2"/>
      <c r="F24" s="229">
        <f>Таблица3[[#This Row],[Площадь (приват.)]]+Таблица3[[#This Row],[Площадь (муницип.)]]</f>
        <v>693.7</v>
      </c>
      <c r="G24">
        <v>964.1</v>
      </c>
      <c r="H24">
        <v>693.7</v>
      </c>
      <c r="I24">
        <v>0</v>
      </c>
      <c r="J24">
        <v>270.39999999999998</v>
      </c>
      <c r="K24">
        <v>15</v>
      </c>
      <c r="L24" s="3"/>
    </row>
    <row r="25" spans="1:12" ht="13.15" customHeight="1" x14ac:dyDescent="0.25">
      <c r="A25" s="224" t="s">
        <v>1089</v>
      </c>
      <c r="B25" s="1" t="s">
        <v>429</v>
      </c>
      <c r="C25" s="4" t="s">
        <v>1087</v>
      </c>
      <c r="D25" s="2">
        <v>4</v>
      </c>
      <c r="E25" s="2"/>
      <c r="F25" s="229">
        <f>Таблица3[[#This Row],[Площадь (приват.)]]+Таблица3[[#This Row],[Площадь (муницип.)]]</f>
        <v>720.2</v>
      </c>
      <c r="G25">
        <v>982.3</v>
      </c>
      <c r="H25">
        <v>720.2</v>
      </c>
      <c r="I25">
        <v>0</v>
      </c>
      <c r="J25">
        <v>262.10000000000002</v>
      </c>
      <c r="K25">
        <v>15</v>
      </c>
      <c r="L25" s="3"/>
    </row>
    <row r="26" spans="1:12" ht="13.15" customHeight="1" x14ac:dyDescent="0.25">
      <c r="A26" s="224" t="s">
        <v>1086</v>
      </c>
      <c r="B26" s="1" t="s">
        <v>1141</v>
      </c>
      <c r="C26" s="4" t="s">
        <v>1087</v>
      </c>
      <c r="D26" s="2">
        <v>9</v>
      </c>
      <c r="E26" s="2"/>
      <c r="F26" s="229">
        <f>Таблица3[[#This Row],[Площадь (приват.)]]+Таблица3[[#This Row],[Площадь (муницип.)]]</f>
        <v>524.4</v>
      </c>
      <c r="G26">
        <v>524.4</v>
      </c>
      <c r="H26">
        <v>524.4</v>
      </c>
      <c r="I26">
        <v>0</v>
      </c>
      <c r="J26">
        <v>0</v>
      </c>
      <c r="K26">
        <v>16</v>
      </c>
      <c r="L26" s="3"/>
    </row>
    <row r="27" spans="1:12" ht="13.15" customHeight="1" x14ac:dyDescent="0.25">
      <c r="A27" s="224" t="s">
        <v>1088</v>
      </c>
      <c r="B27" s="1" t="s">
        <v>352</v>
      </c>
      <c r="C27" s="4" t="s">
        <v>1087</v>
      </c>
      <c r="D27" s="2">
        <v>9</v>
      </c>
      <c r="E27" s="2"/>
      <c r="F27" s="229">
        <f>Таблица3[[#This Row],[Площадь (приват.)]]+Таблица3[[#This Row],[Площадь (муницип.)]]</f>
        <v>765.3</v>
      </c>
      <c r="G27">
        <v>1021.6</v>
      </c>
      <c r="H27">
        <v>765.3</v>
      </c>
      <c r="I27">
        <v>0</v>
      </c>
      <c r="J27">
        <v>256.3</v>
      </c>
      <c r="K27">
        <v>18</v>
      </c>
      <c r="L27" s="3"/>
    </row>
    <row r="28" spans="1:12" ht="13.15" customHeight="1" x14ac:dyDescent="0.25">
      <c r="A28" s="224" t="s">
        <v>1090</v>
      </c>
      <c r="B28" s="1" t="s">
        <v>503</v>
      </c>
      <c r="C28" s="4" t="s">
        <v>1091</v>
      </c>
      <c r="D28" s="2">
        <v>1</v>
      </c>
      <c r="E28" s="2"/>
      <c r="F28" s="229">
        <f>Таблица3[[#This Row],[Площадь (приват.)]]+Таблица3[[#This Row],[Площадь (муницип.)]]</f>
        <v>4570</v>
      </c>
      <c r="G28">
        <v>5252.2</v>
      </c>
      <c r="H28">
        <v>4530.7</v>
      </c>
      <c r="I28">
        <v>39.299999999999997</v>
      </c>
      <c r="J28">
        <v>682.2</v>
      </c>
      <c r="K28">
        <v>65</v>
      </c>
      <c r="L28" s="3"/>
    </row>
    <row r="29" spans="1:12" ht="13.15" customHeight="1" x14ac:dyDescent="0.25">
      <c r="A29" s="224" t="s">
        <v>1090</v>
      </c>
      <c r="B29" s="1" t="s">
        <v>510</v>
      </c>
      <c r="C29" s="4" t="s">
        <v>1091</v>
      </c>
      <c r="D29" s="2">
        <v>10</v>
      </c>
      <c r="E29" s="2"/>
      <c r="F29" s="229">
        <f>Таблица3[[#This Row],[Площадь (приват.)]]+Таблица3[[#This Row],[Площадь (муницип.)]]</f>
        <v>1134.7</v>
      </c>
      <c r="G29">
        <v>1309.2</v>
      </c>
      <c r="H29">
        <v>1082.5</v>
      </c>
      <c r="I29">
        <v>52.2</v>
      </c>
      <c r="J29">
        <v>174.5</v>
      </c>
      <c r="K29">
        <v>23</v>
      </c>
      <c r="L29" s="3"/>
    </row>
    <row r="30" spans="1:12" ht="13.15" customHeight="1" x14ac:dyDescent="0.25">
      <c r="A30" s="224" t="s">
        <v>1090</v>
      </c>
      <c r="B30" s="1" t="s">
        <v>511</v>
      </c>
      <c r="C30" s="4" t="s">
        <v>1091</v>
      </c>
      <c r="D30" s="2">
        <v>11</v>
      </c>
      <c r="E30" s="2"/>
      <c r="F30" s="229">
        <f>Таблица3[[#This Row],[Площадь (приват.)]]+Таблица3[[#This Row],[Площадь (муницип.)]]</f>
        <v>3374.7</v>
      </c>
      <c r="G30">
        <v>3886.5</v>
      </c>
      <c r="H30">
        <v>3374.7</v>
      </c>
      <c r="I30">
        <v>0</v>
      </c>
      <c r="J30">
        <v>511.8</v>
      </c>
      <c r="K30">
        <v>51</v>
      </c>
      <c r="L30" s="3"/>
    </row>
    <row r="31" spans="1:12" ht="13.15" customHeight="1" x14ac:dyDescent="0.25">
      <c r="A31" s="224" t="s">
        <v>1090</v>
      </c>
      <c r="B31" s="1" t="s">
        <v>512</v>
      </c>
      <c r="C31" s="4" t="s">
        <v>1091</v>
      </c>
      <c r="D31" s="2">
        <v>12</v>
      </c>
      <c r="E31" s="2"/>
      <c r="F31" s="229">
        <f>Таблица3[[#This Row],[Площадь (приват.)]]+Таблица3[[#This Row],[Площадь (муницип.)]]</f>
        <v>2336.1</v>
      </c>
      <c r="G31">
        <v>2548.8000000000002</v>
      </c>
      <c r="H31">
        <v>2336.1</v>
      </c>
      <c r="I31">
        <v>0</v>
      </c>
      <c r="J31">
        <v>212.7</v>
      </c>
      <c r="K31">
        <v>41</v>
      </c>
      <c r="L31" s="3"/>
    </row>
    <row r="32" spans="1:12" ht="13.15" customHeight="1" x14ac:dyDescent="0.25">
      <c r="A32" s="224" t="s">
        <v>1090</v>
      </c>
      <c r="B32" s="1" t="s">
        <v>513</v>
      </c>
      <c r="C32" s="4" t="s">
        <v>1091</v>
      </c>
      <c r="D32" s="2">
        <v>14</v>
      </c>
      <c r="E32" s="2"/>
      <c r="F32" s="229">
        <f>Таблица3[[#This Row],[Площадь (приват.)]]+Таблица3[[#This Row],[Площадь (муницип.)]]</f>
        <v>1090.3</v>
      </c>
      <c r="G32">
        <v>1330.7</v>
      </c>
      <c r="H32">
        <v>1041.5</v>
      </c>
      <c r="I32">
        <v>48.8</v>
      </c>
      <c r="J32">
        <v>240.4</v>
      </c>
      <c r="K32">
        <v>22</v>
      </c>
      <c r="L32" s="3"/>
    </row>
    <row r="33" spans="1:12" ht="13.15" customHeight="1" x14ac:dyDescent="0.25">
      <c r="A33" s="224" t="s">
        <v>1089</v>
      </c>
      <c r="B33" s="1" t="s">
        <v>435</v>
      </c>
      <c r="C33" s="4" t="s">
        <v>1091</v>
      </c>
      <c r="D33" s="2">
        <v>17</v>
      </c>
      <c r="E33" s="2"/>
      <c r="F33" s="229">
        <f>Таблица3[[#This Row],[Площадь (приват.)]]+Таблица3[[#This Row],[Площадь (муницип.)]]</f>
        <v>2535.4</v>
      </c>
      <c r="G33">
        <v>2925.4</v>
      </c>
      <c r="H33">
        <v>2535.4</v>
      </c>
      <c r="I33">
        <v>0</v>
      </c>
      <c r="J33">
        <v>390</v>
      </c>
      <c r="K33">
        <v>40</v>
      </c>
      <c r="L33" s="3"/>
    </row>
    <row r="34" spans="1:12" ht="13.15" customHeight="1" x14ac:dyDescent="0.25">
      <c r="A34" s="224" t="s">
        <v>1089</v>
      </c>
      <c r="B34" s="1" t="s">
        <v>436</v>
      </c>
      <c r="C34" s="4" t="s">
        <v>1091</v>
      </c>
      <c r="D34" s="2">
        <v>17</v>
      </c>
      <c r="E34" s="2" t="s">
        <v>1085</v>
      </c>
      <c r="F34" s="229">
        <f>Таблица3[[#This Row],[Площадь (приват.)]]+Таблица3[[#This Row],[Площадь (муницип.)]]</f>
        <v>3636.55</v>
      </c>
      <c r="G34">
        <v>3921.35</v>
      </c>
      <c r="H34">
        <v>3636.55</v>
      </c>
      <c r="I34">
        <v>0</v>
      </c>
      <c r="J34">
        <v>284.8</v>
      </c>
      <c r="K34">
        <v>56</v>
      </c>
      <c r="L34" s="3"/>
    </row>
    <row r="35" spans="1:12" ht="13.15" customHeight="1" x14ac:dyDescent="0.25">
      <c r="A35" s="224" t="s">
        <v>1089</v>
      </c>
      <c r="B35" s="1" t="s">
        <v>437</v>
      </c>
      <c r="C35" s="4" t="s">
        <v>1091</v>
      </c>
      <c r="D35" s="2">
        <v>20</v>
      </c>
      <c r="E35" s="2"/>
      <c r="F35" s="229">
        <f>Таблица3[[#This Row],[Площадь (приват.)]]+Таблица3[[#This Row],[Площадь (муницип.)]]</f>
        <v>2926.9</v>
      </c>
      <c r="G35">
        <v>3479.2</v>
      </c>
      <c r="H35">
        <v>2926.9</v>
      </c>
      <c r="I35">
        <v>0</v>
      </c>
      <c r="J35">
        <v>552.29999999999995</v>
      </c>
      <c r="K35">
        <v>51</v>
      </c>
      <c r="L35" s="3"/>
    </row>
    <row r="36" spans="1:12" ht="13.15" customHeight="1" x14ac:dyDescent="0.25">
      <c r="A36" s="224" t="s">
        <v>1084</v>
      </c>
      <c r="B36" s="1" t="s">
        <v>561</v>
      </c>
      <c r="C36" s="4" t="s">
        <v>1091</v>
      </c>
      <c r="D36" s="2">
        <v>21</v>
      </c>
      <c r="E36" s="2"/>
      <c r="F36" s="229">
        <f>Таблица3[[#This Row],[Площадь (приват.)]]+Таблица3[[#This Row],[Площадь (муницип.)]]</f>
        <v>6015.7</v>
      </c>
      <c r="G36">
        <v>7833.1</v>
      </c>
      <c r="H36">
        <v>6015.7</v>
      </c>
      <c r="I36">
        <v>0</v>
      </c>
      <c r="J36">
        <v>1817.4</v>
      </c>
      <c r="K36">
        <v>91</v>
      </c>
      <c r="L36" s="3"/>
    </row>
    <row r="37" spans="1:12" ht="13.15" customHeight="1" x14ac:dyDescent="0.25">
      <c r="A37" s="224" t="s">
        <v>1089</v>
      </c>
      <c r="B37" s="1" t="s">
        <v>438</v>
      </c>
      <c r="C37" s="4" t="s">
        <v>1091</v>
      </c>
      <c r="D37" s="2">
        <v>22</v>
      </c>
      <c r="E37" s="2"/>
      <c r="F37" s="229">
        <f>Таблица3[[#This Row],[Площадь (приват.)]]+Таблица3[[#This Row],[Площадь (муницип.)]]</f>
        <v>1815.3</v>
      </c>
      <c r="G37">
        <v>2356.1999999999998</v>
      </c>
      <c r="H37">
        <v>1815.3</v>
      </c>
      <c r="I37">
        <v>0</v>
      </c>
      <c r="J37">
        <v>540.9</v>
      </c>
      <c r="K37">
        <v>30</v>
      </c>
      <c r="L37" s="3"/>
    </row>
    <row r="38" spans="1:12" ht="13.15" customHeight="1" x14ac:dyDescent="0.25">
      <c r="A38" s="224" t="s">
        <v>1084</v>
      </c>
      <c r="B38" s="1" t="s">
        <v>562</v>
      </c>
      <c r="C38" s="4" t="s">
        <v>1091</v>
      </c>
      <c r="D38" s="2">
        <v>23</v>
      </c>
      <c r="E38" s="2"/>
      <c r="F38" s="229">
        <f>Таблица3[[#This Row],[Площадь (приват.)]]+Таблица3[[#This Row],[Площадь (муницип.)]]</f>
        <v>2488.4</v>
      </c>
      <c r="G38">
        <v>2934.4</v>
      </c>
      <c r="H38">
        <v>2428.9</v>
      </c>
      <c r="I38">
        <v>59.5</v>
      </c>
      <c r="J38">
        <v>446</v>
      </c>
      <c r="K38">
        <v>40</v>
      </c>
      <c r="L38" s="3"/>
    </row>
    <row r="39" spans="1:12" ht="13.15" customHeight="1" x14ac:dyDescent="0.25">
      <c r="A39" s="224" t="s">
        <v>1084</v>
      </c>
      <c r="B39" s="1" t="s">
        <v>563</v>
      </c>
      <c r="C39" s="4" t="s">
        <v>1091</v>
      </c>
      <c r="D39" s="2">
        <v>25</v>
      </c>
      <c r="E39" s="2"/>
      <c r="F39" s="229">
        <f>Таблица3[[#This Row],[Площадь (приват.)]]+Таблица3[[#This Row],[Площадь (муницип.)]]</f>
        <v>2451.7000000000003</v>
      </c>
      <c r="G39">
        <v>2938.4</v>
      </c>
      <c r="H39">
        <v>2399.8000000000002</v>
      </c>
      <c r="I39">
        <v>51.9</v>
      </c>
      <c r="J39">
        <v>486.7</v>
      </c>
      <c r="K39">
        <v>39</v>
      </c>
      <c r="L39" s="3"/>
    </row>
    <row r="40" spans="1:12" ht="13.15" customHeight="1" x14ac:dyDescent="0.25">
      <c r="A40" s="224" t="s">
        <v>1090</v>
      </c>
      <c r="B40" s="1" t="s">
        <v>504</v>
      </c>
      <c r="C40" s="4" t="s">
        <v>1091</v>
      </c>
      <c r="D40" s="2">
        <v>3</v>
      </c>
      <c r="E40" s="2"/>
      <c r="F40" s="229">
        <f>Таблица3[[#This Row],[Площадь (приват.)]]+Таблица3[[#This Row],[Площадь (муницип.)]]</f>
        <v>5652.7999999999993</v>
      </c>
      <c r="G40">
        <v>6633.1</v>
      </c>
      <c r="H40">
        <v>5593.4</v>
      </c>
      <c r="I40">
        <v>59.4</v>
      </c>
      <c r="J40">
        <v>980.3</v>
      </c>
      <c r="K40">
        <v>80</v>
      </c>
      <c r="L40" s="3"/>
    </row>
    <row r="41" spans="1:12" ht="13.15" customHeight="1" x14ac:dyDescent="0.25">
      <c r="A41" s="224" t="s">
        <v>1090</v>
      </c>
      <c r="B41" s="1" t="s">
        <v>505</v>
      </c>
      <c r="C41" s="4" t="s">
        <v>1091</v>
      </c>
      <c r="D41" s="2">
        <v>3</v>
      </c>
      <c r="E41" s="2" t="s">
        <v>1085</v>
      </c>
      <c r="F41" s="229">
        <f>Таблица3[[#This Row],[Площадь (приват.)]]+Таблица3[[#This Row],[Площадь (муницип.)]]</f>
        <v>3539.8</v>
      </c>
      <c r="G41">
        <v>4002</v>
      </c>
      <c r="H41">
        <v>3479.9</v>
      </c>
      <c r="I41">
        <v>59.9</v>
      </c>
      <c r="J41">
        <v>462.2</v>
      </c>
      <c r="K41">
        <v>53</v>
      </c>
      <c r="L41" s="3"/>
    </row>
    <row r="42" spans="1:12" ht="13.15" customHeight="1" x14ac:dyDescent="0.25">
      <c r="A42" s="224" t="s">
        <v>1090</v>
      </c>
      <c r="B42" s="1" t="s">
        <v>506</v>
      </c>
      <c r="C42" s="4" t="s">
        <v>1091</v>
      </c>
      <c r="D42" s="2">
        <v>3</v>
      </c>
      <c r="E42" s="2" t="s">
        <v>1092</v>
      </c>
      <c r="F42" s="229">
        <f>Таблица3[[#This Row],[Площадь (приват.)]]+Таблица3[[#This Row],[Площадь (муницип.)]]</f>
        <v>3565.2</v>
      </c>
      <c r="G42">
        <v>4007.2</v>
      </c>
      <c r="H42">
        <v>3565.2</v>
      </c>
      <c r="I42">
        <v>0</v>
      </c>
      <c r="J42">
        <v>442</v>
      </c>
      <c r="K42">
        <v>54</v>
      </c>
      <c r="L42" s="3"/>
    </row>
    <row r="43" spans="1:12" ht="13.15" customHeight="1" x14ac:dyDescent="0.25">
      <c r="A43" s="224" t="s">
        <v>1090</v>
      </c>
      <c r="B43" s="1" t="s">
        <v>507</v>
      </c>
      <c r="C43" s="4" t="s">
        <v>1091</v>
      </c>
      <c r="D43" s="2">
        <v>4</v>
      </c>
      <c r="E43" s="2"/>
      <c r="F43" s="229">
        <f>Таблица3[[#This Row],[Площадь (приват.)]]+Таблица3[[#This Row],[Площадь (муницип.)]]</f>
        <v>1905.1</v>
      </c>
      <c r="G43">
        <v>2305.9</v>
      </c>
      <c r="H43">
        <v>1905.1</v>
      </c>
      <c r="I43">
        <v>0</v>
      </c>
      <c r="J43">
        <v>400.8</v>
      </c>
      <c r="K43">
        <v>33</v>
      </c>
      <c r="L43" s="3"/>
    </row>
    <row r="44" spans="1:12" ht="13.15" customHeight="1" x14ac:dyDescent="0.25">
      <c r="A44" s="224" t="s">
        <v>1090</v>
      </c>
      <c r="B44" s="1" t="s">
        <v>508</v>
      </c>
      <c r="C44" s="4" t="s">
        <v>1091</v>
      </c>
      <c r="D44" s="2">
        <v>4</v>
      </c>
      <c r="E44" s="2" t="s">
        <v>1085</v>
      </c>
      <c r="F44" s="229">
        <f>Таблица3[[#This Row],[Площадь (приват.)]]+Таблица3[[#This Row],[Площадь (муницип.)]]</f>
        <v>1393.1</v>
      </c>
      <c r="G44">
        <v>1562</v>
      </c>
      <c r="H44">
        <v>1393.1</v>
      </c>
      <c r="I44">
        <v>0</v>
      </c>
      <c r="J44">
        <v>168.9</v>
      </c>
      <c r="K44">
        <v>24</v>
      </c>
      <c r="L44" s="3"/>
    </row>
    <row r="45" spans="1:12" ht="13.15" customHeight="1" x14ac:dyDescent="0.25">
      <c r="A45" s="224" t="s">
        <v>1090</v>
      </c>
      <c r="B45" s="1" t="s">
        <v>509</v>
      </c>
      <c r="C45" s="4" t="s">
        <v>1091</v>
      </c>
      <c r="D45" s="2">
        <v>9</v>
      </c>
      <c r="E45" s="2"/>
      <c r="F45" s="229">
        <f>Таблица3[[#This Row],[Площадь (приват.)]]+Таблица3[[#This Row],[Площадь (муницип.)]]</f>
        <v>3626.8</v>
      </c>
      <c r="G45">
        <v>4013</v>
      </c>
      <c r="H45">
        <v>3626.8</v>
      </c>
      <c r="I45">
        <v>0</v>
      </c>
      <c r="J45">
        <v>386.2</v>
      </c>
      <c r="K45">
        <v>53</v>
      </c>
      <c r="L45" s="3"/>
    </row>
    <row r="46" spans="1:12" ht="13.15" customHeight="1" x14ac:dyDescent="0.25">
      <c r="A46" s="224" t="s">
        <v>1089</v>
      </c>
      <c r="B46" s="1" t="s">
        <v>439</v>
      </c>
      <c r="C46" s="4" t="s">
        <v>1093</v>
      </c>
      <c r="D46" s="2">
        <v>43</v>
      </c>
      <c r="E46" s="2"/>
      <c r="F46" s="229">
        <f>Таблица3[[#This Row],[Площадь (приват.)]]+Таблица3[[#This Row],[Площадь (муницип.)]]</f>
        <v>5525.7</v>
      </c>
      <c r="G46">
        <v>6330.1</v>
      </c>
      <c r="H46">
        <v>5525.7</v>
      </c>
      <c r="I46">
        <v>0</v>
      </c>
      <c r="J46">
        <v>804.4</v>
      </c>
      <c r="K46">
        <v>92</v>
      </c>
      <c r="L46" s="3"/>
    </row>
    <row r="47" spans="1:12" ht="13.15" customHeight="1" x14ac:dyDescent="0.25">
      <c r="A47" s="224" t="s">
        <v>1089</v>
      </c>
      <c r="B47" s="1" t="s">
        <v>440</v>
      </c>
      <c r="C47" s="4" t="s">
        <v>1093</v>
      </c>
      <c r="D47" s="2">
        <v>44</v>
      </c>
      <c r="E47" s="2"/>
      <c r="F47" s="229">
        <f>Таблица3[[#This Row],[Площадь (приват.)]]+Таблица3[[#This Row],[Площадь (муницип.)]]</f>
        <v>1604.7</v>
      </c>
      <c r="G47">
        <v>2272.6999999999998</v>
      </c>
      <c r="H47">
        <v>1604.7</v>
      </c>
      <c r="I47">
        <v>0</v>
      </c>
      <c r="J47">
        <v>668</v>
      </c>
      <c r="K47">
        <v>28</v>
      </c>
      <c r="L47" s="3"/>
    </row>
    <row r="48" spans="1:12" ht="13.15" customHeight="1" x14ac:dyDescent="0.25">
      <c r="A48" s="224" t="s">
        <v>1089</v>
      </c>
      <c r="B48" s="1" t="s">
        <v>441</v>
      </c>
      <c r="C48" s="4" t="s">
        <v>1093</v>
      </c>
      <c r="D48" s="2">
        <v>45</v>
      </c>
      <c r="E48" s="2" t="s">
        <v>1055</v>
      </c>
      <c r="F48" s="229">
        <f>Таблица3[[#This Row],[Площадь (приват.)]]+Таблица3[[#This Row],[Площадь (муницип.)]]</f>
        <v>2639</v>
      </c>
      <c r="G48">
        <v>2699.9</v>
      </c>
      <c r="H48">
        <v>2639</v>
      </c>
      <c r="I48">
        <v>0</v>
      </c>
      <c r="J48">
        <v>60.9</v>
      </c>
      <c r="K48">
        <v>59</v>
      </c>
      <c r="L48" s="3"/>
    </row>
    <row r="49" spans="1:12" ht="13.15" customHeight="1" x14ac:dyDescent="0.25">
      <c r="A49" s="224" t="s">
        <v>1089</v>
      </c>
      <c r="B49" s="1" t="s">
        <v>442</v>
      </c>
      <c r="C49" s="4" t="s">
        <v>1093</v>
      </c>
      <c r="D49" s="2">
        <v>46</v>
      </c>
      <c r="E49" s="2"/>
      <c r="F49" s="229">
        <f>Таблица3[[#This Row],[Площадь (приват.)]]+Таблица3[[#This Row],[Площадь (муницип.)]]</f>
        <v>845.5</v>
      </c>
      <c r="G49">
        <v>1135.8</v>
      </c>
      <c r="H49">
        <v>845.5</v>
      </c>
      <c r="I49">
        <v>0</v>
      </c>
      <c r="J49">
        <v>290.3</v>
      </c>
      <c r="K49">
        <v>12</v>
      </c>
      <c r="L49" s="3"/>
    </row>
    <row r="50" spans="1:12" ht="13.15" customHeight="1" x14ac:dyDescent="0.25">
      <c r="A50" s="224" t="s">
        <v>1089</v>
      </c>
      <c r="B50" s="1" t="s">
        <v>443</v>
      </c>
      <c r="C50" s="4" t="s">
        <v>1093</v>
      </c>
      <c r="D50" s="2">
        <v>48</v>
      </c>
      <c r="E50" s="2"/>
      <c r="F50" s="229">
        <f>Таблица3[[#This Row],[Площадь (приват.)]]+Таблица3[[#This Row],[Площадь (муницип.)]]</f>
        <v>1867</v>
      </c>
      <c r="G50">
        <v>2338.4</v>
      </c>
      <c r="H50">
        <v>1867</v>
      </c>
      <c r="I50">
        <v>0</v>
      </c>
      <c r="J50">
        <v>471.4</v>
      </c>
      <c r="K50">
        <v>34</v>
      </c>
      <c r="L50" s="3"/>
    </row>
    <row r="51" spans="1:12" ht="13.15" customHeight="1" x14ac:dyDescent="0.25">
      <c r="A51" s="224" t="s">
        <v>1084</v>
      </c>
      <c r="B51" s="1" t="s">
        <v>564</v>
      </c>
      <c r="C51" s="4" t="s">
        <v>1093</v>
      </c>
      <c r="D51" s="2">
        <v>49</v>
      </c>
      <c r="E51" s="2"/>
      <c r="F51" s="229">
        <f>Таблица3[[#This Row],[Площадь (приват.)]]+Таблица3[[#This Row],[Площадь (муницип.)]]</f>
        <v>3090.8</v>
      </c>
      <c r="G51">
        <v>4040.2</v>
      </c>
      <c r="H51">
        <v>3090.8</v>
      </c>
      <c r="I51">
        <v>0</v>
      </c>
      <c r="J51">
        <v>949.4</v>
      </c>
      <c r="K51">
        <v>50</v>
      </c>
      <c r="L51" s="3"/>
    </row>
    <row r="52" spans="1:12" ht="13.15" customHeight="1" x14ac:dyDescent="0.25">
      <c r="A52" s="224" t="s">
        <v>1084</v>
      </c>
      <c r="B52" s="1" t="s">
        <v>565</v>
      </c>
      <c r="C52" s="4" t="s">
        <v>1093</v>
      </c>
      <c r="D52" s="2">
        <v>51</v>
      </c>
      <c r="E52" s="2"/>
      <c r="F52" s="229">
        <f>Таблица3[[#This Row],[Площадь (приват.)]]+Таблица3[[#This Row],[Площадь (муницип.)]]</f>
        <v>2381.8000000000002</v>
      </c>
      <c r="G52">
        <v>3079.8</v>
      </c>
      <c r="H52">
        <v>2381.8000000000002</v>
      </c>
      <c r="I52">
        <v>0</v>
      </c>
      <c r="J52">
        <v>698</v>
      </c>
      <c r="K52">
        <v>40</v>
      </c>
      <c r="L52" s="3"/>
    </row>
    <row r="53" spans="1:12" ht="13.15" customHeight="1" x14ac:dyDescent="0.25">
      <c r="A53" s="224" t="s">
        <v>1084</v>
      </c>
      <c r="B53" s="1" t="s">
        <v>566</v>
      </c>
      <c r="C53" s="4" t="s">
        <v>1093</v>
      </c>
      <c r="D53" s="2">
        <v>54</v>
      </c>
      <c r="E53" s="2"/>
      <c r="F53" s="229">
        <f>Таблица3[[#This Row],[Площадь (приват.)]]+Таблица3[[#This Row],[Площадь (муницип.)]]</f>
        <v>1575</v>
      </c>
      <c r="G53">
        <v>1575</v>
      </c>
      <c r="H53">
        <v>1534</v>
      </c>
      <c r="I53">
        <v>41</v>
      </c>
      <c r="J53">
        <v>0</v>
      </c>
      <c r="K53">
        <v>40</v>
      </c>
      <c r="L53" s="3"/>
    </row>
    <row r="54" spans="1:12" ht="13.15" customHeight="1" x14ac:dyDescent="0.25">
      <c r="A54" s="224" t="s">
        <v>1084</v>
      </c>
      <c r="B54" s="1" t="s">
        <v>567</v>
      </c>
      <c r="C54" s="4" t="s">
        <v>1093</v>
      </c>
      <c r="D54" s="2">
        <v>55</v>
      </c>
      <c r="E54" s="2" t="s">
        <v>1085</v>
      </c>
      <c r="F54" s="229">
        <f>Таблица3[[#This Row],[Площадь (приват.)]]+Таблица3[[#This Row],[Площадь (муницип.)]]</f>
        <v>1687.5</v>
      </c>
      <c r="G54">
        <v>1687.5</v>
      </c>
      <c r="H54">
        <v>1687.5</v>
      </c>
      <c r="I54">
        <v>0</v>
      </c>
      <c r="J54">
        <v>0</v>
      </c>
      <c r="K54">
        <v>27</v>
      </c>
      <c r="L54" s="3"/>
    </row>
    <row r="55" spans="1:12" ht="13.15" customHeight="1" x14ac:dyDescent="0.25">
      <c r="A55" s="224" t="s">
        <v>1084</v>
      </c>
      <c r="B55" s="1" t="s">
        <v>568</v>
      </c>
      <c r="C55" s="4" t="s">
        <v>1093</v>
      </c>
      <c r="D55" s="2">
        <v>56</v>
      </c>
      <c r="E55" s="2"/>
      <c r="F55" s="229">
        <f>Таблица3[[#This Row],[Площадь (приват.)]]+Таблица3[[#This Row],[Площадь (муницип.)]]</f>
        <v>1838.4</v>
      </c>
      <c r="G55">
        <v>2300.6999999999998</v>
      </c>
      <c r="H55">
        <v>1765.7</v>
      </c>
      <c r="I55">
        <v>72.7</v>
      </c>
      <c r="J55">
        <v>462.3</v>
      </c>
      <c r="K55">
        <v>44</v>
      </c>
      <c r="L55" s="3"/>
    </row>
    <row r="56" spans="1:12" ht="13.15" customHeight="1" x14ac:dyDescent="0.25">
      <c r="A56" s="224" t="s">
        <v>1084</v>
      </c>
      <c r="B56" s="1" t="s">
        <v>569</v>
      </c>
      <c r="C56" s="4" t="s">
        <v>1093</v>
      </c>
      <c r="D56" s="2">
        <v>57</v>
      </c>
      <c r="E56" s="2" t="s">
        <v>1085</v>
      </c>
      <c r="F56" s="229">
        <f>Таблица3[[#This Row],[Площадь (приват.)]]+Таблица3[[#This Row],[Площадь (муницип.)]]</f>
        <v>3667.5</v>
      </c>
      <c r="G56">
        <v>3767.4</v>
      </c>
      <c r="H56">
        <v>3667.5</v>
      </c>
      <c r="I56">
        <v>0</v>
      </c>
      <c r="J56">
        <v>99.9</v>
      </c>
      <c r="K56">
        <v>58</v>
      </c>
      <c r="L56" s="3"/>
    </row>
    <row r="57" spans="1:12" ht="13.15" customHeight="1" x14ac:dyDescent="0.25">
      <c r="A57" s="224" t="s">
        <v>1084</v>
      </c>
      <c r="B57" s="1" t="s">
        <v>570</v>
      </c>
      <c r="C57" s="4" t="s">
        <v>1093</v>
      </c>
      <c r="D57" s="2">
        <v>58</v>
      </c>
      <c r="E57" s="2"/>
      <c r="F57" s="229">
        <f>Таблица3[[#This Row],[Площадь (приват.)]]+Таблица3[[#This Row],[Площадь (муницип.)]]</f>
        <v>1467.4</v>
      </c>
      <c r="G57">
        <v>1671.4</v>
      </c>
      <c r="H57">
        <v>1420.4</v>
      </c>
      <c r="I57">
        <v>47</v>
      </c>
      <c r="J57">
        <v>204</v>
      </c>
      <c r="K57">
        <v>35</v>
      </c>
      <c r="L57" s="3"/>
    </row>
    <row r="58" spans="1:12" ht="13.15" customHeight="1" x14ac:dyDescent="0.25">
      <c r="A58" s="224" t="s">
        <v>1084</v>
      </c>
      <c r="B58" s="1" t="s">
        <v>571</v>
      </c>
      <c r="C58" s="4" t="s">
        <v>1093</v>
      </c>
      <c r="D58" s="2">
        <v>59</v>
      </c>
      <c r="E58" s="2"/>
      <c r="F58" s="229">
        <f>Таблица3[[#This Row],[Площадь (приват.)]]+Таблица3[[#This Row],[Площадь (муницип.)]]</f>
        <v>2115.1999999999998</v>
      </c>
      <c r="G58">
        <v>2627.9</v>
      </c>
      <c r="H58">
        <v>2115.1999999999998</v>
      </c>
      <c r="I58">
        <v>0</v>
      </c>
      <c r="J58">
        <v>512.70000000000005</v>
      </c>
      <c r="K58">
        <v>32</v>
      </c>
      <c r="L58" s="3"/>
    </row>
    <row r="59" spans="1:12" ht="13.15" customHeight="1" x14ac:dyDescent="0.25">
      <c r="A59" s="224" t="s">
        <v>1084</v>
      </c>
      <c r="B59" s="1" t="s">
        <v>572</v>
      </c>
      <c r="C59" s="4" t="s">
        <v>1093</v>
      </c>
      <c r="D59" s="2">
        <v>60</v>
      </c>
      <c r="E59" s="2"/>
      <c r="F59" s="229">
        <f>Таблица3[[#This Row],[Площадь (приват.)]]+Таблица3[[#This Row],[Площадь (муницип.)]]</f>
        <v>1651.8</v>
      </c>
      <c r="G59">
        <v>2038.2</v>
      </c>
      <c r="H59">
        <v>1651.8</v>
      </c>
      <c r="I59">
        <v>0</v>
      </c>
      <c r="J59">
        <v>386.4</v>
      </c>
      <c r="K59">
        <v>39</v>
      </c>
      <c r="L59" s="3"/>
    </row>
    <row r="60" spans="1:12" ht="13.15" customHeight="1" x14ac:dyDescent="0.25">
      <c r="A60" s="224" t="s">
        <v>1084</v>
      </c>
      <c r="B60" s="1" t="s">
        <v>573</v>
      </c>
      <c r="C60" s="4" t="s">
        <v>1093</v>
      </c>
      <c r="D60" s="2">
        <v>61</v>
      </c>
      <c r="E60" s="2"/>
      <c r="F60" s="229">
        <f>Таблица3[[#This Row],[Площадь (приват.)]]+Таблица3[[#This Row],[Площадь (муницип.)]]</f>
        <v>2123.1999999999998</v>
      </c>
      <c r="G60">
        <v>2639.3</v>
      </c>
      <c r="H60">
        <v>2123.1999999999998</v>
      </c>
      <c r="I60">
        <v>0</v>
      </c>
      <c r="J60">
        <v>516.1</v>
      </c>
      <c r="K60">
        <v>32</v>
      </c>
      <c r="L60" s="3"/>
    </row>
    <row r="61" spans="1:12" ht="13.15" customHeight="1" x14ac:dyDescent="0.25">
      <c r="A61" s="224" t="s">
        <v>1084</v>
      </c>
      <c r="B61" s="1" t="s">
        <v>574</v>
      </c>
      <c r="C61" s="4" t="s">
        <v>1093</v>
      </c>
      <c r="D61" s="2">
        <v>61</v>
      </c>
      <c r="E61" s="2" t="s">
        <v>1085</v>
      </c>
      <c r="F61" s="229">
        <f>Таблица3[[#This Row],[Площадь (приват.)]]+Таблица3[[#This Row],[Площадь (муницип.)]]</f>
        <v>2444.3000000000002</v>
      </c>
      <c r="G61">
        <v>2631.74</v>
      </c>
      <c r="H61">
        <v>2444.3000000000002</v>
      </c>
      <c r="I61">
        <v>0</v>
      </c>
      <c r="J61">
        <v>187.44</v>
      </c>
      <c r="K61">
        <v>36</v>
      </c>
      <c r="L61" s="3"/>
    </row>
    <row r="62" spans="1:12" ht="13.15" customHeight="1" x14ac:dyDescent="0.25">
      <c r="A62" s="224" t="s">
        <v>1084</v>
      </c>
      <c r="B62" s="1" t="s">
        <v>575</v>
      </c>
      <c r="C62" s="4" t="s">
        <v>1093</v>
      </c>
      <c r="D62" s="2">
        <v>62</v>
      </c>
      <c r="E62" s="2"/>
      <c r="F62" s="229">
        <f>Таблица3[[#This Row],[Площадь (приват.)]]+Таблица3[[#This Row],[Площадь (муницип.)]]</f>
        <v>1213.9000000000001</v>
      </c>
      <c r="G62">
        <v>1751.9</v>
      </c>
      <c r="H62">
        <v>1213.9000000000001</v>
      </c>
      <c r="I62">
        <v>0</v>
      </c>
      <c r="J62">
        <v>538</v>
      </c>
      <c r="K62">
        <v>30</v>
      </c>
      <c r="L62" s="3"/>
    </row>
    <row r="63" spans="1:12" ht="13.15" customHeight="1" x14ac:dyDescent="0.25">
      <c r="A63" s="224" t="s">
        <v>1084</v>
      </c>
      <c r="B63" s="1" t="s">
        <v>576</v>
      </c>
      <c r="C63" s="4" t="s">
        <v>1093</v>
      </c>
      <c r="D63" s="2">
        <v>63</v>
      </c>
      <c r="E63" s="2"/>
      <c r="F63" s="229">
        <f>Таблица3[[#This Row],[Площадь (приват.)]]+Таблица3[[#This Row],[Площадь (муницип.)]]</f>
        <v>3432.5</v>
      </c>
      <c r="G63">
        <v>4311.5</v>
      </c>
      <c r="H63">
        <v>3377.1</v>
      </c>
      <c r="I63">
        <v>55.4</v>
      </c>
      <c r="J63">
        <v>879</v>
      </c>
      <c r="K63">
        <v>56</v>
      </c>
      <c r="L63" s="3"/>
    </row>
    <row r="64" spans="1:12" ht="13.15" customHeight="1" x14ac:dyDescent="0.25">
      <c r="A64" s="224" t="s">
        <v>1084</v>
      </c>
      <c r="B64" s="1" t="s">
        <v>577</v>
      </c>
      <c r="C64" s="4" t="s">
        <v>1093</v>
      </c>
      <c r="D64" s="2">
        <v>63</v>
      </c>
      <c r="E64" s="2" t="s">
        <v>1085</v>
      </c>
      <c r="F64" s="229">
        <f>Таблица3[[#This Row],[Площадь (приват.)]]+Таблица3[[#This Row],[Площадь (муницип.)]]</f>
        <v>6185.16</v>
      </c>
      <c r="G64">
        <v>6276.96</v>
      </c>
      <c r="H64">
        <v>6033.16</v>
      </c>
      <c r="I64">
        <v>152</v>
      </c>
      <c r="J64">
        <v>91.8</v>
      </c>
      <c r="K64">
        <v>97</v>
      </c>
      <c r="L64" s="3"/>
    </row>
    <row r="65" spans="1:12" ht="13.15" customHeight="1" x14ac:dyDescent="0.25">
      <c r="A65" s="289" t="s">
        <v>1084</v>
      </c>
      <c r="B65" s="290" t="s">
        <v>578</v>
      </c>
      <c r="C65" s="291" t="s">
        <v>1093</v>
      </c>
      <c r="D65" s="292">
        <v>64</v>
      </c>
      <c r="E65" s="292"/>
      <c r="F65" s="293">
        <f>Таблица3[[#This Row],[Площадь (приват.)]]+Таблица3[[#This Row],[Площадь (муницип.)]]</f>
        <v>2640.7099999999996</v>
      </c>
      <c r="G65">
        <v>3065.81</v>
      </c>
      <c r="H65">
        <v>2583.7399999999998</v>
      </c>
      <c r="I65">
        <v>56.97</v>
      </c>
      <c r="J65">
        <v>425.1</v>
      </c>
      <c r="K65">
        <v>128</v>
      </c>
      <c r="L65" s="3"/>
    </row>
    <row r="66" spans="1:12" ht="13.15" customHeight="1" x14ac:dyDescent="0.25">
      <c r="A66" s="224" t="s">
        <v>1084</v>
      </c>
      <c r="B66" s="1" t="s">
        <v>579</v>
      </c>
      <c r="C66" s="4" t="s">
        <v>1093</v>
      </c>
      <c r="D66" s="2">
        <v>64</v>
      </c>
      <c r="E66" s="2" t="s">
        <v>1085</v>
      </c>
      <c r="F66" s="229">
        <f>Таблица3[[#This Row],[Площадь (приват.)]]+Таблица3[[#This Row],[Площадь (муницип.)]]</f>
        <v>4037.5</v>
      </c>
      <c r="G66">
        <v>4037.5</v>
      </c>
      <c r="H66">
        <v>3945.8</v>
      </c>
      <c r="I66">
        <v>91.7</v>
      </c>
      <c r="J66">
        <v>0</v>
      </c>
      <c r="K66">
        <v>82</v>
      </c>
      <c r="L66" s="3"/>
    </row>
    <row r="67" spans="1:12" ht="13.15" customHeight="1" x14ac:dyDescent="0.25">
      <c r="A67" s="224" t="s">
        <v>1084</v>
      </c>
      <c r="B67" s="1" t="s">
        <v>580</v>
      </c>
      <c r="C67" s="4" t="s">
        <v>1093</v>
      </c>
      <c r="D67" s="2">
        <v>65</v>
      </c>
      <c r="E67" s="2"/>
      <c r="F67" s="229">
        <f>Таблица3[[#This Row],[Площадь (приват.)]]+Таблица3[[#This Row],[Площадь (муницип.)]]</f>
        <v>1286.3</v>
      </c>
      <c r="G67">
        <v>1722</v>
      </c>
      <c r="H67">
        <v>1286.3</v>
      </c>
      <c r="I67">
        <v>0</v>
      </c>
      <c r="J67">
        <v>435.7</v>
      </c>
      <c r="K67">
        <v>32</v>
      </c>
      <c r="L67" s="3"/>
    </row>
    <row r="68" spans="1:12" ht="13.15" customHeight="1" x14ac:dyDescent="0.25">
      <c r="A68" s="224" t="s">
        <v>1084</v>
      </c>
      <c r="B68" s="1" t="s">
        <v>581</v>
      </c>
      <c r="C68" s="4" t="s">
        <v>1093</v>
      </c>
      <c r="D68" s="2">
        <v>67</v>
      </c>
      <c r="E68" s="2"/>
      <c r="F68" s="229">
        <f>Таблица3[[#This Row],[Площадь (приват.)]]+Таблица3[[#This Row],[Площадь (муницип.)]]</f>
        <v>1391.1000000000001</v>
      </c>
      <c r="G68">
        <v>1649.1</v>
      </c>
      <c r="H68">
        <v>1354.7</v>
      </c>
      <c r="I68">
        <v>36.4</v>
      </c>
      <c r="J68">
        <v>258</v>
      </c>
      <c r="K68">
        <v>25</v>
      </c>
      <c r="L68" s="3"/>
    </row>
    <row r="69" spans="1:12" ht="13.15" customHeight="1" x14ac:dyDescent="0.25">
      <c r="A69" s="224" t="s">
        <v>1084</v>
      </c>
      <c r="B69" s="1" t="s">
        <v>582</v>
      </c>
      <c r="C69" s="4" t="s">
        <v>1093</v>
      </c>
      <c r="D69" s="2">
        <v>67</v>
      </c>
      <c r="E69" s="2" t="s">
        <v>1085</v>
      </c>
      <c r="F69" s="229">
        <f>Таблица3[[#This Row],[Площадь (приват.)]]+Таблица3[[#This Row],[Площадь (муницип.)]]</f>
        <v>2591.3000000000002</v>
      </c>
      <c r="G69">
        <v>2591.3000000000002</v>
      </c>
      <c r="H69">
        <v>2591.3000000000002</v>
      </c>
      <c r="I69">
        <v>0</v>
      </c>
      <c r="J69">
        <v>0</v>
      </c>
      <c r="K69">
        <v>40</v>
      </c>
      <c r="L69" s="3"/>
    </row>
    <row r="70" spans="1:12" ht="13.15" customHeight="1" x14ac:dyDescent="0.25">
      <c r="A70" s="224" t="s">
        <v>1084</v>
      </c>
      <c r="B70" s="1" t="s">
        <v>583</v>
      </c>
      <c r="C70" s="4" t="s">
        <v>1093</v>
      </c>
      <c r="D70" s="2">
        <v>67</v>
      </c>
      <c r="E70" s="2" t="s">
        <v>1092</v>
      </c>
      <c r="F70" s="229">
        <f>Таблица3[[#This Row],[Площадь (приват.)]]+Таблица3[[#This Row],[Площадь (муницип.)]]</f>
        <v>2579.1</v>
      </c>
      <c r="G70">
        <v>2683.1</v>
      </c>
      <c r="H70">
        <v>2579.1</v>
      </c>
      <c r="I70">
        <v>0</v>
      </c>
      <c r="J70">
        <v>104</v>
      </c>
      <c r="K70">
        <v>39</v>
      </c>
      <c r="L70" s="3"/>
    </row>
    <row r="71" spans="1:12" ht="13.15" customHeight="1" x14ac:dyDescent="0.25">
      <c r="A71" s="224" t="s">
        <v>1084</v>
      </c>
      <c r="B71" s="1" t="s">
        <v>584</v>
      </c>
      <c r="C71" s="4" t="s">
        <v>1093</v>
      </c>
      <c r="D71" s="2">
        <v>70</v>
      </c>
      <c r="E71" s="2"/>
      <c r="F71" s="229">
        <f>Таблица3[[#This Row],[Площадь (приват.)]]+Таблица3[[#This Row],[Площадь (муницип.)]]</f>
        <v>2051.4</v>
      </c>
      <c r="G71">
        <v>2735.1</v>
      </c>
      <c r="H71">
        <v>2018.4</v>
      </c>
      <c r="I71">
        <v>33</v>
      </c>
      <c r="J71">
        <v>683.7</v>
      </c>
      <c r="K71">
        <v>48</v>
      </c>
      <c r="L71" s="3"/>
    </row>
    <row r="72" spans="1:12" ht="13.15" customHeight="1" x14ac:dyDescent="0.25">
      <c r="A72" s="224" t="s">
        <v>1084</v>
      </c>
      <c r="B72" s="1" t="s">
        <v>585</v>
      </c>
      <c r="C72" s="4" t="s">
        <v>1093</v>
      </c>
      <c r="D72" s="2">
        <v>71</v>
      </c>
      <c r="E72" s="2"/>
      <c r="F72" s="229">
        <f>Таблица3[[#This Row],[Площадь (приват.)]]+Таблица3[[#This Row],[Площадь (муницип.)]]</f>
        <v>1319.3</v>
      </c>
      <c r="G72">
        <v>1634.3</v>
      </c>
      <c r="H72">
        <v>1319.3</v>
      </c>
      <c r="I72">
        <v>0</v>
      </c>
      <c r="J72">
        <v>315</v>
      </c>
      <c r="K72">
        <v>24</v>
      </c>
      <c r="L72" s="3"/>
    </row>
    <row r="73" spans="1:12" ht="13.15" customHeight="1" x14ac:dyDescent="0.25">
      <c r="A73" s="224" t="s">
        <v>1084</v>
      </c>
      <c r="B73" s="1" t="s">
        <v>586</v>
      </c>
      <c r="C73" s="4" t="s">
        <v>1093</v>
      </c>
      <c r="D73" s="2">
        <v>71</v>
      </c>
      <c r="E73" s="2" t="s">
        <v>1085</v>
      </c>
      <c r="F73" s="229">
        <f>Таблица3[[#This Row],[Площадь (приват.)]]+Таблица3[[#This Row],[Площадь (муницип.)]]</f>
        <v>3685.2</v>
      </c>
      <c r="G73">
        <v>3685.2</v>
      </c>
      <c r="H73">
        <v>3685.2</v>
      </c>
      <c r="I73">
        <v>0</v>
      </c>
      <c r="J73">
        <v>0</v>
      </c>
      <c r="K73">
        <v>59</v>
      </c>
      <c r="L73" s="3"/>
    </row>
    <row r="74" spans="1:12" ht="13.15" customHeight="1" x14ac:dyDescent="0.25">
      <c r="A74" s="224" t="s">
        <v>1084</v>
      </c>
      <c r="B74" s="1" t="s">
        <v>587</v>
      </c>
      <c r="C74" s="4" t="s">
        <v>1093</v>
      </c>
      <c r="D74" s="2">
        <v>71</v>
      </c>
      <c r="E74" s="2" t="s">
        <v>1092</v>
      </c>
      <c r="F74" s="229">
        <f>Таблица3[[#This Row],[Площадь (приват.)]]+Таблица3[[#This Row],[Площадь (муницип.)]]</f>
        <v>2575.4</v>
      </c>
      <c r="G74">
        <v>2575.4</v>
      </c>
      <c r="H74">
        <v>2575.4</v>
      </c>
      <c r="I74">
        <v>0</v>
      </c>
      <c r="J74">
        <v>0</v>
      </c>
      <c r="K74">
        <v>40</v>
      </c>
      <c r="L74" s="3"/>
    </row>
    <row r="75" spans="1:12" ht="13.15" customHeight="1" x14ac:dyDescent="0.25">
      <c r="A75" s="224" t="s">
        <v>1084</v>
      </c>
      <c r="B75" s="1" t="s">
        <v>588</v>
      </c>
      <c r="C75" s="4" t="s">
        <v>1093</v>
      </c>
      <c r="D75" s="2">
        <v>72</v>
      </c>
      <c r="E75" s="2"/>
      <c r="F75" s="229">
        <f>Таблица3[[#This Row],[Площадь (приват.)]]+Таблица3[[#This Row],[Площадь (муницип.)]]</f>
        <v>2588.4</v>
      </c>
      <c r="G75">
        <v>2588.4</v>
      </c>
      <c r="H75">
        <v>2546.1</v>
      </c>
      <c r="I75">
        <v>42.3</v>
      </c>
      <c r="J75">
        <v>0</v>
      </c>
      <c r="K75">
        <v>60</v>
      </c>
      <c r="L75" s="3"/>
    </row>
    <row r="76" spans="1:12" ht="13.15" customHeight="1" x14ac:dyDescent="0.25">
      <c r="A76" s="224" t="s">
        <v>1084</v>
      </c>
      <c r="B76" s="1" t="s">
        <v>589</v>
      </c>
      <c r="C76" s="4" t="s">
        <v>1093</v>
      </c>
      <c r="D76" s="2">
        <v>73</v>
      </c>
      <c r="E76" s="2"/>
      <c r="F76" s="229">
        <f>Таблица3[[#This Row],[Площадь (приват.)]]+Таблица3[[#This Row],[Площадь (муницип.)]]</f>
        <v>1280.0999999999999</v>
      </c>
      <c r="G76">
        <v>1777.4</v>
      </c>
      <c r="H76">
        <v>1280.0999999999999</v>
      </c>
      <c r="I76">
        <v>0</v>
      </c>
      <c r="J76">
        <v>497.3</v>
      </c>
      <c r="K76">
        <v>32</v>
      </c>
      <c r="L76" s="3"/>
    </row>
    <row r="77" spans="1:12" ht="13.15" customHeight="1" x14ac:dyDescent="0.25">
      <c r="A77" s="224" t="s">
        <v>1084</v>
      </c>
      <c r="B77" s="1" t="s">
        <v>590</v>
      </c>
      <c r="C77" s="4" t="s">
        <v>1093</v>
      </c>
      <c r="D77" s="2">
        <v>73</v>
      </c>
      <c r="E77" s="2" t="s">
        <v>1085</v>
      </c>
      <c r="F77" s="229">
        <f>Таблица3[[#This Row],[Площадь (приват.)]]+Таблица3[[#This Row],[Площадь (муницип.)]]</f>
        <v>2502</v>
      </c>
      <c r="G77">
        <v>2573.6</v>
      </c>
      <c r="H77">
        <v>2502</v>
      </c>
      <c r="I77">
        <v>0</v>
      </c>
      <c r="J77">
        <v>71.599999999999994</v>
      </c>
      <c r="K77">
        <v>39</v>
      </c>
      <c r="L77" s="3"/>
    </row>
    <row r="78" spans="1:12" ht="13.15" customHeight="1" x14ac:dyDescent="0.25">
      <c r="A78" s="224" t="s">
        <v>1084</v>
      </c>
      <c r="B78" s="1" t="s">
        <v>591</v>
      </c>
      <c r="C78" s="4" t="s">
        <v>1093</v>
      </c>
      <c r="D78" s="2">
        <v>75</v>
      </c>
      <c r="E78" s="2"/>
      <c r="F78" s="229">
        <f>Таблица3[[#This Row],[Площадь (приват.)]]+Таблица3[[#This Row],[Площадь (муницип.)]]</f>
        <v>2899.1</v>
      </c>
      <c r="G78">
        <v>3707.1</v>
      </c>
      <c r="H78">
        <v>2899.1</v>
      </c>
      <c r="I78">
        <v>0</v>
      </c>
      <c r="J78">
        <v>808</v>
      </c>
      <c r="K78">
        <v>47</v>
      </c>
      <c r="L78" s="3"/>
    </row>
    <row r="79" spans="1:12" ht="13.15" customHeight="1" x14ac:dyDescent="0.25">
      <c r="A79" s="224" t="s">
        <v>1084</v>
      </c>
      <c r="B79" s="1" t="s">
        <v>592</v>
      </c>
      <c r="C79" s="4" t="s">
        <v>1093</v>
      </c>
      <c r="D79" s="2">
        <v>76</v>
      </c>
      <c r="E79" s="2"/>
      <c r="F79" s="229">
        <f>Таблица3[[#This Row],[Площадь (приват.)]]+Таблица3[[#This Row],[Площадь (муницип.)]]</f>
        <v>1488.3</v>
      </c>
      <c r="G79">
        <v>2372.8000000000002</v>
      </c>
      <c r="H79">
        <v>1488.3</v>
      </c>
      <c r="I79">
        <v>0</v>
      </c>
      <c r="J79">
        <v>884.5</v>
      </c>
      <c r="K79">
        <v>36</v>
      </c>
      <c r="L79" s="3"/>
    </row>
    <row r="80" spans="1:12" ht="13.15" customHeight="1" x14ac:dyDescent="0.25">
      <c r="A80" s="224" t="s">
        <v>1084</v>
      </c>
      <c r="B80" s="1" t="s">
        <v>593</v>
      </c>
      <c r="C80" s="4" t="s">
        <v>1093</v>
      </c>
      <c r="D80" s="2">
        <v>78</v>
      </c>
      <c r="E80" s="2"/>
      <c r="F80" s="229">
        <f>Таблица3[[#This Row],[Площадь (приват.)]]+Таблица3[[#This Row],[Площадь (муницип.)]]</f>
        <v>2217.5</v>
      </c>
      <c r="G80">
        <v>2522.5</v>
      </c>
      <c r="H80">
        <v>2173.1</v>
      </c>
      <c r="I80">
        <v>44.4</v>
      </c>
      <c r="J80">
        <v>305</v>
      </c>
      <c r="K80">
        <v>53</v>
      </c>
      <c r="L80" s="3"/>
    </row>
    <row r="81" spans="1:12" ht="13.15" customHeight="1" x14ac:dyDescent="0.25">
      <c r="A81" s="224" t="s">
        <v>1084</v>
      </c>
      <c r="B81" s="1" t="s">
        <v>594</v>
      </c>
      <c r="C81" s="4" t="s">
        <v>1093</v>
      </c>
      <c r="D81" s="2">
        <v>78</v>
      </c>
      <c r="E81" s="2" t="s">
        <v>1085</v>
      </c>
      <c r="F81" s="229">
        <f>Таблица3[[#This Row],[Площадь (приват.)]]+Таблица3[[#This Row],[Площадь (муницип.)]]</f>
        <v>2456.5</v>
      </c>
      <c r="G81">
        <v>2499.4</v>
      </c>
      <c r="H81">
        <v>2456.5</v>
      </c>
      <c r="I81">
        <v>0</v>
      </c>
      <c r="J81">
        <v>42.9</v>
      </c>
      <c r="K81">
        <v>59</v>
      </c>
      <c r="L81" s="3"/>
    </row>
    <row r="82" spans="1:12" ht="13.15" customHeight="1" x14ac:dyDescent="0.25">
      <c r="A82" s="224" t="s">
        <v>1084</v>
      </c>
      <c r="B82" s="1" t="s">
        <v>595</v>
      </c>
      <c r="C82" s="4" t="s">
        <v>1093</v>
      </c>
      <c r="D82" s="2">
        <v>80</v>
      </c>
      <c r="E82" s="2"/>
      <c r="F82" s="229">
        <f>Таблица3[[#This Row],[Площадь (приват.)]]+Таблица3[[#This Row],[Площадь (муницип.)]]</f>
        <v>2115</v>
      </c>
      <c r="G82">
        <v>2502.6</v>
      </c>
      <c r="H82">
        <v>2071.6</v>
      </c>
      <c r="I82">
        <v>43.4</v>
      </c>
      <c r="J82">
        <v>387.6</v>
      </c>
      <c r="K82">
        <v>51</v>
      </c>
      <c r="L82" s="3"/>
    </row>
    <row r="83" spans="1:12" ht="13.15" customHeight="1" x14ac:dyDescent="0.25">
      <c r="A83" s="224" t="s">
        <v>1084</v>
      </c>
      <c r="B83" s="1" t="s">
        <v>596</v>
      </c>
      <c r="C83" s="4" t="s">
        <v>1093</v>
      </c>
      <c r="D83" s="2">
        <v>82</v>
      </c>
      <c r="E83" s="2"/>
      <c r="F83" s="229">
        <f>Таблица3[[#This Row],[Площадь (приват.)]]+Таблица3[[#This Row],[Площадь (муницип.)]]</f>
        <v>2788.8</v>
      </c>
      <c r="G83">
        <v>3361.3</v>
      </c>
      <c r="H83">
        <v>2744.9</v>
      </c>
      <c r="I83">
        <v>43.9</v>
      </c>
      <c r="J83">
        <v>572.5</v>
      </c>
      <c r="K83">
        <v>66</v>
      </c>
      <c r="L83" s="3"/>
    </row>
    <row r="84" spans="1:12" ht="13.15" customHeight="1" x14ac:dyDescent="0.25">
      <c r="A84" s="224" t="s">
        <v>1084</v>
      </c>
      <c r="B84" s="1" t="s">
        <v>597</v>
      </c>
      <c r="C84" s="4" t="s">
        <v>1093</v>
      </c>
      <c r="D84" s="2">
        <v>82</v>
      </c>
      <c r="E84" s="2" t="s">
        <v>1085</v>
      </c>
      <c r="F84" s="229">
        <f>Таблица3[[#This Row],[Площадь (приват.)]]+Таблица3[[#This Row],[Площадь (муницип.)]]</f>
        <v>3116.7000000000003</v>
      </c>
      <c r="G84">
        <v>3376.5</v>
      </c>
      <c r="H84">
        <v>3084.9</v>
      </c>
      <c r="I84">
        <v>31.8</v>
      </c>
      <c r="J84">
        <v>259.8</v>
      </c>
      <c r="K84">
        <v>80</v>
      </c>
      <c r="L84" s="3"/>
    </row>
    <row r="85" spans="1:12" ht="13.15" customHeight="1" x14ac:dyDescent="0.25">
      <c r="A85" s="224" t="s">
        <v>1084</v>
      </c>
      <c r="B85" s="1" t="s">
        <v>598</v>
      </c>
      <c r="C85" s="4" t="s">
        <v>1093</v>
      </c>
      <c r="D85" s="2">
        <v>82</v>
      </c>
      <c r="E85" s="2" t="s">
        <v>1092</v>
      </c>
      <c r="F85" s="229">
        <f>Таблица3[[#This Row],[Площадь (приват.)]]+Таблица3[[#This Row],[Площадь (муницип.)]]</f>
        <v>3053.7000000000003</v>
      </c>
      <c r="G85">
        <v>3150.9</v>
      </c>
      <c r="H85">
        <v>2997.8</v>
      </c>
      <c r="I85">
        <v>55.9</v>
      </c>
      <c r="J85">
        <v>97.2</v>
      </c>
      <c r="K85">
        <v>76</v>
      </c>
      <c r="L85" s="3"/>
    </row>
    <row r="86" spans="1:12" ht="13.15" customHeight="1" x14ac:dyDescent="0.25">
      <c r="A86" s="224" t="s">
        <v>1088</v>
      </c>
      <c r="B86" s="1" t="s">
        <v>1329</v>
      </c>
      <c r="C86" s="4" t="s">
        <v>1095</v>
      </c>
      <c r="D86" s="2">
        <v>1</v>
      </c>
      <c r="E86" s="2"/>
      <c r="F86" s="229">
        <f>Таблица3[[#This Row],[Площадь (приват.)]]+Таблица3[[#This Row],[Площадь (муницип.)]]</f>
        <v>1794.1</v>
      </c>
      <c r="G86">
        <v>2448.1</v>
      </c>
      <c r="H86">
        <v>1794.1</v>
      </c>
      <c r="I86">
        <v>0</v>
      </c>
      <c r="J86">
        <v>654</v>
      </c>
      <c r="K86">
        <v>26</v>
      </c>
      <c r="L86" s="3"/>
    </row>
    <row r="87" spans="1:12" ht="13.15" customHeight="1" x14ac:dyDescent="0.25">
      <c r="A87" s="224" t="s">
        <v>1088</v>
      </c>
      <c r="B87" s="1" t="s">
        <v>358</v>
      </c>
      <c r="C87" s="4" t="s">
        <v>1095</v>
      </c>
      <c r="D87" s="2">
        <v>11</v>
      </c>
      <c r="E87" s="2"/>
      <c r="F87" s="229">
        <f>Таблица3[[#This Row],[Площадь (приват.)]]+Таблица3[[#This Row],[Площадь (муницип.)]]</f>
        <v>705.9</v>
      </c>
      <c r="G87">
        <v>948.3</v>
      </c>
      <c r="H87">
        <v>705.9</v>
      </c>
      <c r="I87">
        <v>0</v>
      </c>
      <c r="J87">
        <v>242.4</v>
      </c>
      <c r="K87">
        <v>15</v>
      </c>
      <c r="L87" s="3"/>
    </row>
    <row r="88" spans="1:12" ht="13.15" customHeight="1" x14ac:dyDescent="0.25">
      <c r="A88" s="224" t="s">
        <v>1088</v>
      </c>
      <c r="B88" s="1" t="s">
        <v>359</v>
      </c>
      <c r="C88" s="4" t="s">
        <v>1095</v>
      </c>
      <c r="D88" s="2">
        <v>13</v>
      </c>
      <c r="E88" s="2"/>
      <c r="F88" s="229">
        <f>Таблица3[[#This Row],[Площадь (приват.)]]+Таблица3[[#This Row],[Площадь (муницип.)]]</f>
        <v>1079.3</v>
      </c>
      <c r="G88">
        <v>1079.3</v>
      </c>
      <c r="H88">
        <v>1079.3</v>
      </c>
      <c r="I88">
        <v>0</v>
      </c>
      <c r="J88">
        <v>0</v>
      </c>
      <c r="K88">
        <v>16</v>
      </c>
      <c r="L88" s="3"/>
    </row>
    <row r="89" spans="1:12" ht="13.15" customHeight="1" x14ac:dyDescent="0.25">
      <c r="A89" s="224" t="s">
        <v>1088</v>
      </c>
      <c r="B89" s="1" t="s">
        <v>360</v>
      </c>
      <c r="C89" s="4" t="s">
        <v>1095</v>
      </c>
      <c r="D89" s="2">
        <v>15</v>
      </c>
      <c r="E89" s="2"/>
      <c r="F89" s="229">
        <f>Таблица3[[#This Row],[Площадь (приват.)]]+Таблица3[[#This Row],[Площадь (муницип.)]]</f>
        <v>752.1</v>
      </c>
      <c r="G89">
        <v>752.1</v>
      </c>
      <c r="H89">
        <v>752.1</v>
      </c>
      <c r="I89">
        <v>0</v>
      </c>
      <c r="J89">
        <v>0</v>
      </c>
      <c r="K89">
        <v>16</v>
      </c>
      <c r="L89" s="3"/>
    </row>
    <row r="90" spans="1:12" ht="13.15" customHeight="1" x14ac:dyDescent="0.25">
      <c r="A90" s="224" t="s">
        <v>1088</v>
      </c>
      <c r="B90" s="1" t="s">
        <v>361</v>
      </c>
      <c r="C90" s="4" t="s">
        <v>1095</v>
      </c>
      <c r="D90" s="2">
        <v>17</v>
      </c>
      <c r="E90" s="2"/>
      <c r="F90" s="229">
        <f>Таблица3[[#This Row],[Площадь (приват.)]]+Таблица3[[#This Row],[Площадь (муницип.)]]</f>
        <v>813.7</v>
      </c>
      <c r="G90">
        <v>1064.2</v>
      </c>
      <c r="H90">
        <v>813.7</v>
      </c>
      <c r="I90">
        <v>0</v>
      </c>
      <c r="J90">
        <v>250.5</v>
      </c>
      <c r="K90">
        <v>13</v>
      </c>
      <c r="L90" s="3"/>
    </row>
    <row r="91" spans="1:12" ht="13.15" customHeight="1" x14ac:dyDescent="0.25">
      <c r="A91" s="224" t="s">
        <v>1088</v>
      </c>
      <c r="B91" s="1" t="s">
        <v>362</v>
      </c>
      <c r="C91" s="4" t="s">
        <v>1095</v>
      </c>
      <c r="D91" s="2">
        <v>19</v>
      </c>
      <c r="E91" s="2"/>
      <c r="F91" s="229">
        <f>Таблица3[[#This Row],[Площадь (приват.)]]+Таблица3[[#This Row],[Площадь (муницип.)]]</f>
        <v>1425</v>
      </c>
      <c r="G91">
        <v>2542.6999999999998</v>
      </c>
      <c r="H91">
        <v>1425</v>
      </c>
      <c r="I91">
        <v>0</v>
      </c>
      <c r="J91">
        <v>1117.7</v>
      </c>
      <c r="K91">
        <v>20</v>
      </c>
      <c r="L91" s="3"/>
    </row>
    <row r="92" spans="1:12" ht="13.15" customHeight="1" x14ac:dyDescent="0.25">
      <c r="A92" s="224" t="s">
        <v>1089</v>
      </c>
      <c r="B92" s="1" t="s">
        <v>444</v>
      </c>
      <c r="C92" s="4" t="s">
        <v>1095</v>
      </c>
      <c r="D92" s="2">
        <v>21</v>
      </c>
      <c r="E92" s="2"/>
      <c r="F92" s="229">
        <f>Таблица3[[#This Row],[Площадь (приват.)]]+Таблица3[[#This Row],[Площадь (муницип.)]]</f>
        <v>1921.3</v>
      </c>
      <c r="G92">
        <v>3138</v>
      </c>
      <c r="H92">
        <v>1921.3</v>
      </c>
      <c r="I92">
        <v>0</v>
      </c>
      <c r="J92">
        <v>1216.7</v>
      </c>
      <c r="K92">
        <v>26</v>
      </c>
      <c r="L92" s="3"/>
    </row>
    <row r="93" spans="1:12" ht="13.15" customHeight="1" x14ac:dyDescent="0.25">
      <c r="A93" s="224" t="s">
        <v>1089</v>
      </c>
      <c r="B93" s="1" t="s">
        <v>445</v>
      </c>
      <c r="C93" s="4" t="s">
        <v>1095</v>
      </c>
      <c r="D93" s="2">
        <v>23</v>
      </c>
      <c r="E93" s="2"/>
      <c r="F93" s="229">
        <f>Таблица3[[#This Row],[Площадь (приват.)]]+Таблица3[[#This Row],[Площадь (муницип.)]]</f>
        <v>1642</v>
      </c>
      <c r="G93">
        <v>2105.1999999999998</v>
      </c>
      <c r="H93">
        <v>1587.8</v>
      </c>
      <c r="I93">
        <v>54.2</v>
      </c>
      <c r="J93">
        <v>463.2</v>
      </c>
      <c r="K93">
        <v>28</v>
      </c>
      <c r="L93" s="3"/>
    </row>
    <row r="94" spans="1:12" ht="13.15" customHeight="1" x14ac:dyDescent="0.25">
      <c r="A94" s="224" t="s">
        <v>1089</v>
      </c>
      <c r="B94" s="1" t="s">
        <v>446</v>
      </c>
      <c r="C94" s="4" t="s">
        <v>1095</v>
      </c>
      <c r="D94" s="2">
        <v>25</v>
      </c>
      <c r="E94" s="2"/>
      <c r="F94" s="229">
        <f>Таблица3[[#This Row],[Площадь (приват.)]]+Таблица3[[#This Row],[Площадь (муницип.)]]</f>
        <v>1643.8</v>
      </c>
      <c r="G94">
        <v>2206.1999999999998</v>
      </c>
      <c r="H94">
        <v>1643.8</v>
      </c>
      <c r="I94">
        <v>0</v>
      </c>
      <c r="J94">
        <v>562.4</v>
      </c>
      <c r="K94">
        <v>27</v>
      </c>
      <c r="L94" s="3"/>
    </row>
    <row r="95" spans="1:12" ht="13.15" customHeight="1" x14ac:dyDescent="0.25">
      <c r="A95" s="224" t="s">
        <v>1089</v>
      </c>
      <c r="B95" s="1" t="s">
        <v>447</v>
      </c>
      <c r="C95" s="4" t="s">
        <v>1095</v>
      </c>
      <c r="D95" s="2">
        <v>29</v>
      </c>
      <c r="E95" s="2"/>
      <c r="F95" s="229">
        <f>Таблица3[[#This Row],[Площадь (приват.)]]+Таблица3[[#This Row],[Площадь (муницип.)]]</f>
        <v>2674.02</v>
      </c>
      <c r="G95">
        <v>3040.12</v>
      </c>
      <c r="H95">
        <v>2674.02</v>
      </c>
      <c r="I95">
        <v>0</v>
      </c>
      <c r="J95">
        <v>366.1</v>
      </c>
      <c r="K95">
        <v>48</v>
      </c>
      <c r="L95" s="3"/>
    </row>
    <row r="96" spans="1:12" ht="13.15" customHeight="1" x14ac:dyDescent="0.25">
      <c r="A96" s="224" t="s">
        <v>1088</v>
      </c>
      <c r="B96" s="1" t="s">
        <v>354</v>
      </c>
      <c r="C96" s="4" t="s">
        <v>1095</v>
      </c>
      <c r="D96" s="2">
        <v>3</v>
      </c>
      <c r="E96" s="2"/>
      <c r="F96" s="229">
        <f>Таблица3[[#This Row],[Площадь (приват.)]]+Таблица3[[#This Row],[Площадь (муницип.)]]</f>
        <v>989.1</v>
      </c>
      <c r="G96">
        <v>1109.9000000000001</v>
      </c>
      <c r="H96">
        <v>989.1</v>
      </c>
      <c r="I96">
        <v>0</v>
      </c>
      <c r="J96">
        <v>120.8</v>
      </c>
      <c r="K96">
        <v>15</v>
      </c>
      <c r="L96" s="3"/>
    </row>
    <row r="97" spans="1:12" ht="13.15" customHeight="1" x14ac:dyDescent="0.25">
      <c r="A97" s="224" t="s">
        <v>1088</v>
      </c>
      <c r="B97" s="1" t="s">
        <v>355</v>
      </c>
      <c r="C97" s="4" t="s">
        <v>1095</v>
      </c>
      <c r="D97" s="2">
        <v>3</v>
      </c>
      <c r="E97" s="2" t="s">
        <v>1085</v>
      </c>
      <c r="F97" s="229">
        <f>Таблица3[[#This Row],[Площадь (приват.)]]+Таблица3[[#This Row],[Площадь (муницип.)]]</f>
        <v>1130</v>
      </c>
      <c r="G97">
        <v>1426.3</v>
      </c>
      <c r="H97">
        <v>1130</v>
      </c>
      <c r="I97">
        <v>0</v>
      </c>
      <c r="J97">
        <v>296.3</v>
      </c>
      <c r="K97">
        <v>18</v>
      </c>
      <c r="L97" s="3"/>
    </row>
    <row r="98" spans="1:12" ht="13.15" customHeight="1" x14ac:dyDescent="0.25">
      <c r="A98" s="224" t="s">
        <v>1089</v>
      </c>
      <c r="B98" s="1" t="s">
        <v>448</v>
      </c>
      <c r="C98" s="4" t="s">
        <v>1095</v>
      </c>
      <c r="D98" s="2">
        <v>37</v>
      </c>
      <c r="E98" s="2"/>
      <c r="F98" s="229">
        <f>Таблица3[[#This Row],[Площадь (приват.)]]+Таблица3[[#This Row],[Площадь (муницип.)]]</f>
        <v>4810.1000000000004</v>
      </c>
      <c r="G98">
        <v>5981.3</v>
      </c>
      <c r="H98">
        <v>4731</v>
      </c>
      <c r="I98">
        <v>79.099999999999994</v>
      </c>
      <c r="J98">
        <v>1171.2</v>
      </c>
      <c r="K98">
        <v>76</v>
      </c>
      <c r="L98" s="3"/>
    </row>
    <row r="99" spans="1:12" ht="13.15" customHeight="1" x14ac:dyDescent="0.25">
      <c r="A99" s="224" t="s">
        <v>1088</v>
      </c>
      <c r="B99" s="1" t="s">
        <v>1328</v>
      </c>
      <c r="C99" s="4" t="s">
        <v>1095</v>
      </c>
      <c r="D99" s="2">
        <v>5</v>
      </c>
      <c r="E99" s="2"/>
      <c r="F99" s="229">
        <f>Таблица3[[#This Row],[Площадь (приват.)]]+Таблица3[[#This Row],[Площадь (муницип.)]]</f>
        <v>1094.2</v>
      </c>
      <c r="G99">
        <v>1166.4000000000001</v>
      </c>
      <c r="H99">
        <v>1094.2</v>
      </c>
      <c r="I99">
        <v>0</v>
      </c>
      <c r="J99">
        <v>72.2</v>
      </c>
      <c r="K99">
        <v>20</v>
      </c>
      <c r="L99" s="3"/>
    </row>
    <row r="100" spans="1:12" ht="13.15" customHeight="1" x14ac:dyDescent="0.25">
      <c r="A100" s="224" t="s">
        <v>1088</v>
      </c>
      <c r="B100" s="1" t="s">
        <v>356</v>
      </c>
      <c r="C100" s="4" t="s">
        <v>1095</v>
      </c>
      <c r="D100" s="2">
        <v>7</v>
      </c>
      <c r="E100" s="2"/>
      <c r="F100" s="229">
        <f>Таблица3[[#This Row],[Площадь (приват.)]]+Таблица3[[#This Row],[Площадь (муницип.)]]</f>
        <v>1827.3</v>
      </c>
      <c r="G100">
        <v>2163.9</v>
      </c>
      <c r="H100">
        <v>1827.3</v>
      </c>
      <c r="I100">
        <v>0</v>
      </c>
      <c r="J100">
        <v>336.6</v>
      </c>
      <c r="K100">
        <v>28</v>
      </c>
      <c r="L100" s="3"/>
    </row>
    <row r="101" spans="1:12" ht="13.15" customHeight="1" x14ac:dyDescent="0.25">
      <c r="A101" s="224" t="s">
        <v>1088</v>
      </c>
      <c r="B101" s="1" t="s">
        <v>357</v>
      </c>
      <c r="C101" s="4" t="s">
        <v>1095</v>
      </c>
      <c r="D101" s="2">
        <v>9</v>
      </c>
      <c r="E101" s="2"/>
      <c r="F101" s="229">
        <f>Таблица3[[#This Row],[Площадь (приват.)]]+Таблица3[[#This Row],[Площадь (муницип.)]]</f>
        <v>1063.5</v>
      </c>
      <c r="G101">
        <v>1063.5</v>
      </c>
      <c r="H101">
        <v>1063.5</v>
      </c>
      <c r="I101">
        <v>0</v>
      </c>
      <c r="J101">
        <v>0</v>
      </c>
      <c r="K101">
        <v>16</v>
      </c>
      <c r="L101" s="3"/>
    </row>
    <row r="102" spans="1:12" ht="13.15" customHeight="1" x14ac:dyDescent="0.25">
      <c r="A102" s="224" t="s">
        <v>1088</v>
      </c>
      <c r="B102" s="1" t="s">
        <v>364</v>
      </c>
      <c r="C102" s="4" t="s">
        <v>1096</v>
      </c>
      <c r="D102" s="2">
        <v>10</v>
      </c>
      <c r="E102" s="2"/>
      <c r="F102" s="229">
        <f>Таблица3[[#This Row],[Площадь (приват.)]]+Таблица3[[#This Row],[Площадь (муницип.)]]</f>
        <v>1018.2</v>
      </c>
      <c r="G102">
        <v>1178.5999999999999</v>
      </c>
      <c r="H102">
        <v>1018.2</v>
      </c>
      <c r="I102">
        <v>0</v>
      </c>
      <c r="J102">
        <v>160.4</v>
      </c>
      <c r="K102">
        <v>24</v>
      </c>
      <c r="L102" s="3"/>
    </row>
    <row r="103" spans="1:12" ht="13.15" customHeight="1" x14ac:dyDescent="0.25">
      <c r="A103" s="224" t="s">
        <v>1088</v>
      </c>
      <c r="B103" s="1" t="s">
        <v>365</v>
      </c>
      <c r="C103" s="4" t="s">
        <v>1096</v>
      </c>
      <c r="D103" s="2">
        <v>11</v>
      </c>
      <c r="E103" s="2"/>
      <c r="F103" s="229">
        <f>Таблица3[[#This Row],[Площадь (приват.)]]+Таблица3[[#This Row],[Площадь (муницип.)]]</f>
        <v>955.4</v>
      </c>
      <c r="G103">
        <v>1186</v>
      </c>
      <c r="H103">
        <v>955.4</v>
      </c>
      <c r="I103">
        <v>0</v>
      </c>
      <c r="J103">
        <v>230.6</v>
      </c>
      <c r="K103">
        <v>17</v>
      </c>
      <c r="L103" s="3"/>
    </row>
    <row r="104" spans="1:12" ht="13.15" customHeight="1" x14ac:dyDescent="0.25">
      <c r="A104" s="224" t="s">
        <v>1088</v>
      </c>
      <c r="B104" s="1" t="s">
        <v>366</v>
      </c>
      <c r="C104" s="4" t="s">
        <v>1096</v>
      </c>
      <c r="D104" s="2">
        <v>11</v>
      </c>
      <c r="E104" s="2" t="s">
        <v>1085</v>
      </c>
      <c r="F104" s="229">
        <f>Таблица3[[#This Row],[Площадь (приват.)]]+Таблица3[[#This Row],[Площадь (муницип.)]]</f>
        <v>1125.5999999999999</v>
      </c>
      <c r="G104">
        <v>1307.9000000000001</v>
      </c>
      <c r="H104">
        <v>1125.5999999999999</v>
      </c>
      <c r="I104">
        <v>0</v>
      </c>
      <c r="J104">
        <v>182.3</v>
      </c>
      <c r="K104">
        <v>18</v>
      </c>
      <c r="L104" s="3"/>
    </row>
    <row r="105" spans="1:12" ht="13.15" customHeight="1" x14ac:dyDescent="0.25">
      <c r="A105" s="224" t="s">
        <v>1088</v>
      </c>
      <c r="B105" s="1" t="s">
        <v>367</v>
      </c>
      <c r="C105" s="4" t="s">
        <v>1096</v>
      </c>
      <c r="D105" s="2">
        <v>12</v>
      </c>
      <c r="E105" s="2"/>
      <c r="F105" s="229">
        <f>Таблица3[[#This Row],[Площадь (приват.)]]+Таблица3[[#This Row],[Площадь (муницип.)]]</f>
        <v>1128.2</v>
      </c>
      <c r="G105">
        <v>1176.4000000000001</v>
      </c>
      <c r="H105">
        <v>1128.2</v>
      </c>
      <c r="I105">
        <v>0</v>
      </c>
      <c r="J105">
        <v>48.2</v>
      </c>
      <c r="K105">
        <v>19</v>
      </c>
      <c r="L105" s="3"/>
    </row>
    <row r="106" spans="1:12" ht="13.15" customHeight="1" x14ac:dyDescent="0.25">
      <c r="A106" s="224" t="s">
        <v>1090</v>
      </c>
      <c r="B106" s="1" t="s">
        <v>514</v>
      </c>
      <c r="C106" s="4" t="s">
        <v>1096</v>
      </c>
      <c r="D106" s="2">
        <v>17</v>
      </c>
      <c r="E106" s="2"/>
      <c r="F106" s="229">
        <f>Таблица3[[#This Row],[Площадь (приват.)]]+Таблица3[[#This Row],[Площадь (муницип.)]]</f>
        <v>2298.4</v>
      </c>
      <c r="G106">
        <v>2601.4</v>
      </c>
      <c r="H106">
        <v>2298.4</v>
      </c>
      <c r="I106">
        <v>0</v>
      </c>
      <c r="J106">
        <v>303</v>
      </c>
      <c r="K106">
        <v>38</v>
      </c>
      <c r="L106" s="3"/>
    </row>
    <row r="107" spans="1:12" ht="13.15" customHeight="1" x14ac:dyDescent="0.25">
      <c r="A107" s="224" t="s">
        <v>1090</v>
      </c>
      <c r="B107" s="1" t="s">
        <v>515</v>
      </c>
      <c r="C107" s="4" t="s">
        <v>1096</v>
      </c>
      <c r="D107" s="2">
        <v>18</v>
      </c>
      <c r="E107" s="2"/>
      <c r="F107" s="229">
        <f>Таблица3[[#This Row],[Площадь (приват.)]]+Таблица3[[#This Row],[Площадь (муницип.)]]</f>
        <v>1778.12</v>
      </c>
      <c r="G107">
        <v>2037.72</v>
      </c>
      <c r="H107">
        <v>1778.12</v>
      </c>
      <c r="I107">
        <v>0</v>
      </c>
      <c r="J107">
        <v>259.60000000000002</v>
      </c>
      <c r="K107">
        <v>28</v>
      </c>
      <c r="L107" s="3"/>
    </row>
    <row r="108" spans="1:12" ht="13.15" customHeight="1" x14ac:dyDescent="0.25">
      <c r="A108" s="224" t="s">
        <v>1090</v>
      </c>
      <c r="B108" s="1" t="s">
        <v>516</v>
      </c>
      <c r="C108" s="4" t="s">
        <v>1096</v>
      </c>
      <c r="D108" s="2">
        <v>20</v>
      </c>
      <c r="E108" s="2"/>
      <c r="F108" s="229">
        <f>Таблица3[[#This Row],[Площадь (приват.)]]+Таблица3[[#This Row],[Площадь (муницип.)]]</f>
        <v>2205.1999999999998</v>
      </c>
      <c r="G108">
        <v>2999</v>
      </c>
      <c r="H108">
        <v>2205.1999999999998</v>
      </c>
      <c r="I108">
        <v>0</v>
      </c>
      <c r="J108">
        <v>793.8</v>
      </c>
      <c r="K108">
        <v>35</v>
      </c>
      <c r="L108" s="3"/>
    </row>
    <row r="109" spans="1:12" ht="13.15" customHeight="1" x14ac:dyDescent="0.25">
      <c r="A109" s="224" t="s">
        <v>1090</v>
      </c>
      <c r="B109" s="1" t="s">
        <v>517</v>
      </c>
      <c r="C109" s="4" t="s">
        <v>1096</v>
      </c>
      <c r="D109" s="2">
        <v>21</v>
      </c>
      <c r="E109" s="2"/>
      <c r="F109" s="229">
        <f>Таблица3[[#This Row],[Площадь (приват.)]]+Таблица3[[#This Row],[Площадь (муницип.)]]</f>
        <v>3365.3</v>
      </c>
      <c r="G109">
        <v>3934.3</v>
      </c>
      <c r="H109">
        <v>3312.5</v>
      </c>
      <c r="I109">
        <v>52.8</v>
      </c>
      <c r="J109">
        <v>569</v>
      </c>
      <c r="K109">
        <v>50</v>
      </c>
      <c r="L109" s="3"/>
    </row>
    <row r="110" spans="1:12" ht="13.15" customHeight="1" x14ac:dyDescent="0.25">
      <c r="A110" s="224" t="s">
        <v>1090</v>
      </c>
      <c r="B110" s="1" t="s">
        <v>518</v>
      </c>
      <c r="C110" s="4" t="s">
        <v>1096</v>
      </c>
      <c r="D110" s="2">
        <v>22</v>
      </c>
      <c r="E110" s="2"/>
      <c r="F110" s="229">
        <f>Таблица3[[#This Row],[Площадь (приват.)]]+Таблица3[[#This Row],[Площадь (муницип.)]]</f>
        <v>1911</v>
      </c>
      <c r="G110">
        <v>2571.1999999999998</v>
      </c>
      <c r="H110">
        <v>1832.6</v>
      </c>
      <c r="I110">
        <v>78.400000000000006</v>
      </c>
      <c r="J110">
        <v>660.2</v>
      </c>
      <c r="K110">
        <v>32</v>
      </c>
      <c r="L110" s="3"/>
    </row>
    <row r="111" spans="1:12" ht="13.15" customHeight="1" x14ac:dyDescent="0.25">
      <c r="A111" s="224" t="s">
        <v>1090</v>
      </c>
      <c r="B111" s="1" t="s">
        <v>519</v>
      </c>
      <c r="C111" s="4" t="s">
        <v>1096</v>
      </c>
      <c r="D111" s="2">
        <v>23</v>
      </c>
      <c r="E111" s="2"/>
      <c r="F111" s="229">
        <f>Таблица3[[#This Row],[Площадь (приват.)]]+Таблица3[[#This Row],[Площадь (муницип.)]]</f>
        <v>1579.1</v>
      </c>
      <c r="G111">
        <v>1811.9</v>
      </c>
      <c r="H111">
        <v>1579.1</v>
      </c>
      <c r="I111">
        <v>0</v>
      </c>
      <c r="J111">
        <v>232.8</v>
      </c>
      <c r="K111">
        <v>26</v>
      </c>
      <c r="L111" s="3"/>
    </row>
    <row r="112" spans="1:12" ht="13.15" customHeight="1" x14ac:dyDescent="0.25">
      <c r="A112" s="224" t="s">
        <v>1090</v>
      </c>
      <c r="B112" s="1" t="s">
        <v>520</v>
      </c>
      <c r="C112" s="4" t="s">
        <v>1096</v>
      </c>
      <c r="D112" s="2">
        <v>24</v>
      </c>
      <c r="E112" s="2"/>
      <c r="F112" s="229">
        <f>Таблица3[[#This Row],[Площадь (приват.)]]+Таблица3[[#This Row],[Площадь (муницип.)]]</f>
        <v>3570.3</v>
      </c>
      <c r="G112">
        <v>3991.3</v>
      </c>
      <c r="H112">
        <v>3570.3</v>
      </c>
      <c r="I112">
        <v>0</v>
      </c>
      <c r="J112">
        <v>421</v>
      </c>
      <c r="K112">
        <v>54</v>
      </c>
      <c r="L112" s="3"/>
    </row>
    <row r="113" spans="1:12" ht="13.15" customHeight="1" x14ac:dyDescent="0.25">
      <c r="A113" s="224" t="s">
        <v>1090</v>
      </c>
      <c r="B113" s="1" t="s">
        <v>1327</v>
      </c>
      <c r="C113" s="4" t="s">
        <v>1096</v>
      </c>
      <c r="D113" s="2">
        <v>25</v>
      </c>
      <c r="E113" s="2"/>
      <c r="F113" s="229">
        <f>Таблица3[[#This Row],[Площадь (приват.)]]+Таблица3[[#This Row],[Площадь (муницип.)]]</f>
        <v>3641.4</v>
      </c>
      <c r="G113">
        <v>4618.2</v>
      </c>
      <c r="H113">
        <v>3641.4</v>
      </c>
      <c r="I113">
        <v>0</v>
      </c>
      <c r="J113">
        <v>976.8</v>
      </c>
      <c r="K113">
        <v>51</v>
      </c>
      <c r="L113" s="3"/>
    </row>
    <row r="114" spans="1:12" ht="13.15" customHeight="1" x14ac:dyDescent="0.25">
      <c r="A114" s="224" t="s">
        <v>1090</v>
      </c>
      <c r="B114" s="1" t="s">
        <v>521</v>
      </c>
      <c r="C114" s="4" t="s">
        <v>1096</v>
      </c>
      <c r="D114" s="2">
        <v>26</v>
      </c>
      <c r="E114" s="2"/>
      <c r="F114" s="229">
        <f>Таблица3[[#This Row],[Площадь (приват.)]]+Таблица3[[#This Row],[Площадь (муницип.)]]</f>
        <v>1531.1</v>
      </c>
      <c r="G114">
        <v>1797.4</v>
      </c>
      <c r="H114">
        <v>1531.1</v>
      </c>
      <c r="I114">
        <v>0</v>
      </c>
      <c r="J114">
        <v>266.3</v>
      </c>
      <c r="K114">
        <v>27</v>
      </c>
      <c r="L114" s="3"/>
    </row>
    <row r="115" spans="1:12" ht="13.15" customHeight="1" x14ac:dyDescent="0.25">
      <c r="A115" s="224" t="s">
        <v>1090</v>
      </c>
      <c r="B115" s="1" t="s">
        <v>1326</v>
      </c>
      <c r="C115" s="4" t="s">
        <v>1096</v>
      </c>
      <c r="D115" s="2">
        <v>28</v>
      </c>
      <c r="E115" s="2"/>
      <c r="F115" s="229">
        <f>Таблица3[[#This Row],[Площадь (приват.)]]+Таблица3[[#This Row],[Площадь (муницип.)]]</f>
        <v>3822.1</v>
      </c>
      <c r="G115">
        <v>4935.1000000000004</v>
      </c>
      <c r="H115">
        <v>3746.7</v>
      </c>
      <c r="I115">
        <v>75.400000000000006</v>
      </c>
      <c r="J115">
        <v>1113</v>
      </c>
      <c r="K115">
        <v>55</v>
      </c>
      <c r="L115" s="3"/>
    </row>
    <row r="116" spans="1:12" ht="13.15" customHeight="1" x14ac:dyDescent="0.25">
      <c r="A116" s="224" t="s">
        <v>1088</v>
      </c>
      <c r="B116" s="1" t="s">
        <v>363</v>
      </c>
      <c r="C116" s="4" t="s">
        <v>1096</v>
      </c>
      <c r="D116" s="2">
        <v>4</v>
      </c>
      <c r="E116" s="2"/>
      <c r="F116" s="229">
        <f>Таблица3[[#This Row],[Площадь (приват.)]]+Таблица3[[#This Row],[Площадь (муницип.)]]</f>
        <v>1429.1</v>
      </c>
      <c r="G116">
        <v>1685.1</v>
      </c>
      <c r="H116">
        <v>1429.1</v>
      </c>
      <c r="I116">
        <v>0</v>
      </c>
      <c r="J116">
        <v>256</v>
      </c>
      <c r="K116">
        <v>31</v>
      </c>
      <c r="L116" s="3"/>
    </row>
    <row r="117" spans="1:12" ht="13.15" customHeight="1" x14ac:dyDescent="0.25">
      <c r="A117" s="224" t="s">
        <v>1089</v>
      </c>
      <c r="B117" s="1" t="s">
        <v>449</v>
      </c>
      <c r="C117" s="4" t="s">
        <v>1097</v>
      </c>
      <c r="D117" s="2">
        <v>30</v>
      </c>
      <c r="E117" s="2"/>
      <c r="F117" s="229">
        <f>Таблица3[[#This Row],[Площадь (приват.)]]+Таблица3[[#This Row],[Площадь (муницип.)]]</f>
        <v>3498.1000000000004</v>
      </c>
      <c r="G117">
        <v>4664.8999999999996</v>
      </c>
      <c r="H117">
        <v>3425.3</v>
      </c>
      <c r="I117">
        <v>72.8</v>
      </c>
      <c r="J117">
        <v>1166.8</v>
      </c>
      <c r="K117">
        <v>61</v>
      </c>
      <c r="L117" s="3"/>
    </row>
    <row r="118" spans="1:12" ht="13.15" customHeight="1" x14ac:dyDescent="0.25">
      <c r="A118" s="224" t="s">
        <v>1089</v>
      </c>
      <c r="B118" s="1" t="s">
        <v>450</v>
      </c>
      <c r="C118" s="4" t="s">
        <v>1097</v>
      </c>
      <c r="D118" s="2">
        <v>31</v>
      </c>
      <c r="E118" s="2"/>
      <c r="F118" s="229">
        <f>Таблица3[[#This Row],[Площадь (приват.)]]+Таблица3[[#This Row],[Площадь (муницип.)]]</f>
        <v>1238.2</v>
      </c>
      <c r="G118">
        <v>1496.3</v>
      </c>
      <c r="H118">
        <v>1170.2</v>
      </c>
      <c r="I118">
        <v>68</v>
      </c>
      <c r="J118">
        <v>258.10000000000002</v>
      </c>
      <c r="K118">
        <v>24</v>
      </c>
      <c r="L118" s="3"/>
    </row>
    <row r="119" spans="1:12" ht="13.15" customHeight="1" x14ac:dyDescent="0.25">
      <c r="A119" s="224" t="s">
        <v>1089</v>
      </c>
      <c r="B119" s="1" t="s">
        <v>451</v>
      </c>
      <c r="C119" s="4" t="s">
        <v>1097</v>
      </c>
      <c r="D119" s="2">
        <v>33</v>
      </c>
      <c r="E119" s="2"/>
      <c r="F119" s="229">
        <f>Таблица3[[#This Row],[Площадь (приват.)]]+Таблица3[[#This Row],[Площадь (муницип.)]]</f>
        <v>1315</v>
      </c>
      <c r="G119">
        <v>1680.9</v>
      </c>
      <c r="H119">
        <v>1315</v>
      </c>
      <c r="I119">
        <v>0</v>
      </c>
      <c r="J119">
        <v>365.9</v>
      </c>
      <c r="K119">
        <v>26</v>
      </c>
      <c r="L119" s="3"/>
    </row>
    <row r="120" spans="1:12" ht="13.15" customHeight="1" x14ac:dyDescent="0.25">
      <c r="A120" s="224" t="s">
        <v>1089</v>
      </c>
      <c r="B120" s="1" t="s">
        <v>92</v>
      </c>
      <c r="C120" s="4" t="s">
        <v>1097</v>
      </c>
      <c r="D120" s="2">
        <v>34</v>
      </c>
      <c r="E120" s="2"/>
      <c r="F120" s="229">
        <f>Таблица3[[#This Row],[Площадь (приват.)]]+Таблица3[[#This Row],[Площадь (муницип.)]]</f>
        <v>4663.8</v>
      </c>
      <c r="G120">
        <v>5999.1</v>
      </c>
      <c r="H120">
        <v>4663.8</v>
      </c>
      <c r="I120">
        <v>0</v>
      </c>
      <c r="J120">
        <v>1335.3</v>
      </c>
      <c r="K120">
        <v>72</v>
      </c>
      <c r="L120" s="3"/>
    </row>
    <row r="121" spans="1:12" ht="13.15" customHeight="1" x14ac:dyDescent="0.25">
      <c r="A121" s="224" t="s">
        <v>1089</v>
      </c>
      <c r="B121" s="1" t="s">
        <v>452</v>
      </c>
      <c r="C121" s="4" t="s">
        <v>1097</v>
      </c>
      <c r="D121" s="2">
        <v>35</v>
      </c>
      <c r="E121" s="2"/>
      <c r="F121" s="229">
        <f>Таблица3[[#This Row],[Площадь (приват.)]]+Таблица3[[#This Row],[Площадь (муницип.)]]</f>
        <v>2048.1</v>
      </c>
      <c r="G121">
        <v>3486.7</v>
      </c>
      <c r="H121">
        <v>2015</v>
      </c>
      <c r="I121">
        <v>33.1</v>
      </c>
      <c r="J121">
        <v>1438.6</v>
      </c>
      <c r="K121">
        <v>43</v>
      </c>
      <c r="L121" s="3"/>
    </row>
    <row r="122" spans="1:12" ht="13.15" customHeight="1" x14ac:dyDescent="0.25">
      <c r="A122" s="224" t="s">
        <v>1089</v>
      </c>
      <c r="B122" s="1" t="s">
        <v>453</v>
      </c>
      <c r="C122" s="4" t="s">
        <v>1097</v>
      </c>
      <c r="D122" s="2">
        <v>37</v>
      </c>
      <c r="E122" s="2"/>
      <c r="F122" s="229">
        <f>Таблица3[[#This Row],[Площадь (приват.)]]+Таблица3[[#This Row],[Площадь (муницип.)]]</f>
        <v>3032.9</v>
      </c>
      <c r="G122">
        <v>4004.2</v>
      </c>
      <c r="H122">
        <v>3032.9</v>
      </c>
      <c r="I122">
        <v>0</v>
      </c>
      <c r="J122">
        <v>971.3</v>
      </c>
      <c r="K122">
        <v>53</v>
      </c>
      <c r="L122" s="3"/>
    </row>
    <row r="123" spans="1:12" ht="13.15" customHeight="1" x14ac:dyDescent="0.25">
      <c r="A123" s="224" t="s">
        <v>1089</v>
      </c>
      <c r="B123" s="1" t="s">
        <v>454</v>
      </c>
      <c r="C123" s="4" t="s">
        <v>1097</v>
      </c>
      <c r="D123" s="2">
        <v>39</v>
      </c>
      <c r="E123" s="2"/>
      <c r="F123" s="229">
        <f>Таблица3[[#This Row],[Площадь (приват.)]]+Таблица3[[#This Row],[Площадь (муницип.)]]</f>
        <v>2354.33</v>
      </c>
      <c r="G123">
        <v>3970.63</v>
      </c>
      <c r="H123">
        <v>2322.79</v>
      </c>
      <c r="I123">
        <v>31.54</v>
      </c>
      <c r="J123">
        <v>1616.3</v>
      </c>
      <c r="K123">
        <v>36</v>
      </c>
      <c r="L123" s="3"/>
    </row>
    <row r="124" spans="1:12" ht="13.15" customHeight="1" x14ac:dyDescent="0.25">
      <c r="A124" s="224" t="s">
        <v>1089</v>
      </c>
      <c r="B124" s="1" t="s">
        <v>455</v>
      </c>
      <c r="C124" s="4" t="s">
        <v>1097</v>
      </c>
      <c r="D124" s="2">
        <v>43</v>
      </c>
      <c r="E124" s="2"/>
      <c r="F124" s="229">
        <f>Таблица3[[#This Row],[Площадь (приват.)]]+Таблица3[[#This Row],[Площадь (муницип.)]]</f>
        <v>2694.94</v>
      </c>
      <c r="G124">
        <v>3649.24</v>
      </c>
      <c r="H124">
        <v>2694.94</v>
      </c>
      <c r="I124">
        <v>0</v>
      </c>
      <c r="J124">
        <v>954.3</v>
      </c>
      <c r="K124">
        <v>43</v>
      </c>
      <c r="L124" s="3"/>
    </row>
    <row r="125" spans="1:12" ht="13.15" customHeight="1" x14ac:dyDescent="0.25">
      <c r="A125" s="224" t="s">
        <v>1089</v>
      </c>
      <c r="B125" s="1" t="s">
        <v>456</v>
      </c>
      <c r="C125" s="4" t="s">
        <v>1097</v>
      </c>
      <c r="D125" s="2">
        <v>43</v>
      </c>
      <c r="E125" s="2" t="s">
        <v>1085</v>
      </c>
      <c r="F125" s="229">
        <f>Таблица3[[#This Row],[Площадь (приват.)]]+Таблица3[[#This Row],[Площадь (муницип.)]]</f>
        <v>1386.4</v>
      </c>
      <c r="G125">
        <v>2191.1999999999998</v>
      </c>
      <c r="H125">
        <v>1386.4</v>
      </c>
      <c r="I125">
        <v>0</v>
      </c>
      <c r="J125">
        <v>804.8</v>
      </c>
      <c r="K125">
        <v>24</v>
      </c>
      <c r="L125" s="3"/>
    </row>
    <row r="126" spans="1:12" ht="13.15" customHeight="1" x14ac:dyDescent="0.25">
      <c r="A126" s="224" t="s">
        <v>1089</v>
      </c>
      <c r="B126" s="1" t="s">
        <v>457</v>
      </c>
      <c r="C126" s="4" t="s">
        <v>1097</v>
      </c>
      <c r="D126" s="2">
        <v>45</v>
      </c>
      <c r="E126" s="2"/>
      <c r="F126" s="229">
        <f>Таблица3[[#This Row],[Площадь (приват.)]]+Таблица3[[#This Row],[Площадь (муницип.)]]</f>
        <v>2711.8</v>
      </c>
      <c r="G126">
        <v>4239</v>
      </c>
      <c r="H126">
        <v>2711.8</v>
      </c>
      <c r="I126">
        <v>0</v>
      </c>
      <c r="J126">
        <v>1527.2</v>
      </c>
      <c r="K126">
        <v>43</v>
      </c>
      <c r="L126" s="3"/>
    </row>
    <row r="127" spans="1:12" ht="13.15" customHeight="1" x14ac:dyDescent="0.25">
      <c r="A127" s="224" t="s">
        <v>1089</v>
      </c>
      <c r="B127" s="1" t="s">
        <v>458</v>
      </c>
      <c r="C127" s="4" t="s">
        <v>1097</v>
      </c>
      <c r="D127" s="2">
        <v>45</v>
      </c>
      <c r="E127" s="2" t="s">
        <v>1085</v>
      </c>
      <c r="F127" s="229">
        <f>Таблица3[[#This Row],[Площадь (приват.)]]+Таблица3[[#This Row],[Площадь (муницип.)]]</f>
        <v>1634.24</v>
      </c>
      <c r="G127">
        <v>1924.64</v>
      </c>
      <c r="H127">
        <v>1634.24</v>
      </c>
      <c r="I127">
        <v>0</v>
      </c>
      <c r="J127">
        <v>290.39999999999998</v>
      </c>
      <c r="K127">
        <v>26</v>
      </c>
      <c r="L127" s="3"/>
    </row>
    <row r="128" spans="1:12" ht="13.15" customHeight="1" x14ac:dyDescent="0.25">
      <c r="A128" s="224" t="s">
        <v>1084</v>
      </c>
      <c r="B128" s="1" t="s">
        <v>599</v>
      </c>
      <c r="C128" s="4" t="s">
        <v>1097</v>
      </c>
      <c r="D128" s="2">
        <v>46</v>
      </c>
      <c r="E128" s="2"/>
      <c r="F128" s="229">
        <f>Таблица3[[#This Row],[Площадь (приват.)]]+Таблица3[[#This Row],[Площадь (муницип.)]]</f>
        <v>2989.2000000000003</v>
      </c>
      <c r="G128">
        <v>4240.7</v>
      </c>
      <c r="H128">
        <v>2925.9</v>
      </c>
      <c r="I128">
        <v>63.3</v>
      </c>
      <c r="J128">
        <v>1251.5</v>
      </c>
      <c r="K128">
        <v>48</v>
      </c>
      <c r="L128" s="3"/>
    </row>
    <row r="129" spans="1:12" ht="13.15" customHeight="1" x14ac:dyDescent="0.25">
      <c r="A129" s="224" t="s">
        <v>1089</v>
      </c>
      <c r="B129" s="1" t="s">
        <v>459</v>
      </c>
      <c r="C129" s="4" t="s">
        <v>1097</v>
      </c>
      <c r="D129" s="2">
        <v>47</v>
      </c>
      <c r="E129" s="2"/>
      <c r="F129" s="229">
        <f>Таблица3[[#This Row],[Площадь (приват.)]]+Таблица3[[#This Row],[Площадь (муницип.)]]</f>
        <v>5349.8</v>
      </c>
      <c r="G129">
        <v>7118.4</v>
      </c>
      <c r="H129">
        <v>5349.8</v>
      </c>
      <c r="I129">
        <v>0</v>
      </c>
      <c r="J129">
        <v>1768.6</v>
      </c>
      <c r="K129">
        <v>79</v>
      </c>
      <c r="L129" s="3"/>
    </row>
    <row r="130" spans="1:12" ht="13.15" customHeight="1" x14ac:dyDescent="0.25">
      <c r="A130" s="224" t="s">
        <v>1089</v>
      </c>
      <c r="B130" s="1" t="s">
        <v>460</v>
      </c>
      <c r="C130" s="4" t="s">
        <v>1097</v>
      </c>
      <c r="D130" s="2">
        <v>47</v>
      </c>
      <c r="E130" s="2" t="s">
        <v>1085</v>
      </c>
      <c r="F130" s="229">
        <f>Таблица3[[#This Row],[Площадь (приват.)]]+Таблица3[[#This Row],[Площадь (муницип.)]]</f>
        <v>1920.28</v>
      </c>
      <c r="G130">
        <v>2081.88</v>
      </c>
      <c r="H130">
        <v>1920.28</v>
      </c>
      <c r="I130">
        <v>0</v>
      </c>
      <c r="J130">
        <v>161.6</v>
      </c>
      <c r="K130">
        <v>31</v>
      </c>
      <c r="L130" s="3"/>
    </row>
    <row r="131" spans="1:12" ht="13.15" customHeight="1" x14ac:dyDescent="0.25">
      <c r="A131" s="224" t="s">
        <v>1082</v>
      </c>
      <c r="B131" s="1" t="s">
        <v>662</v>
      </c>
      <c r="C131" s="4" t="s">
        <v>1097</v>
      </c>
      <c r="D131" s="2">
        <v>48</v>
      </c>
      <c r="E131" s="2"/>
      <c r="F131" s="229">
        <f>Таблица3[[#This Row],[Площадь (приват.)]]+Таблица3[[#This Row],[Площадь (муницип.)]]</f>
        <v>2930.95</v>
      </c>
      <c r="G131">
        <v>3788.35</v>
      </c>
      <c r="H131">
        <v>2930.95</v>
      </c>
      <c r="I131">
        <v>0</v>
      </c>
      <c r="J131">
        <v>857.4</v>
      </c>
      <c r="K131">
        <v>45</v>
      </c>
      <c r="L131" s="3"/>
    </row>
    <row r="132" spans="1:12" ht="13.15" customHeight="1" x14ac:dyDescent="0.25">
      <c r="A132" s="224" t="s">
        <v>1089</v>
      </c>
      <c r="B132" s="1" t="s">
        <v>461</v>
      </c>
      <c r="C132" s="4" t="s">
        <v>1097</v>
      </c>
      <c r="D132" s="2">
        <v>49</v>
      </c>
      <c r="E132" s="2"/>
      <c r="F132" s="229">
        <f>Таблица3[[#This Row],[Площадь (приват.)]]+Таблица3[[#This Row],[Площадь (муницип.)]]</f>
        <v>2071.9</v>
      </c>
      <c r="G132">
        <v>2617.3000000000002</v>
      </c>
      <c r="H132">
        <v>2071.9</v>
      </c>
      <c r="I132">
        <v>0</v>
      </c>
      <c r="J132">
        <v>545.4</v>
      </c>
      <c r="K132">
        <v>33</v>
      </c>
      <c r="L132" s="3"/>
    </row>
    <row r="133" spans="1:12" ht="13.15" customHeight="1" x14ac:dyDescent="0.25">
      <c r="A133" s="224" t="s">
        <v>1082</v>
      </c>
      <c r="B133" s="1" t="s">
        <v>663</v>
      </c>
      <c r="C133" s="4" t="s">
        <v>1097</v>
      </c>
      <c r="D133" s="2">
        <v>50</v>
      </c>
      <c r="E133" s="2"/>
      <c r="F133" s="229">
        <f>Таблица3[[#This Row],[Площадь (приват.)]]+Таблица3[[#This Row],[Площадь (муницип.)]]</f>
        <v>2744.5</v>
      </c>
      <c r="G133">
        <v>4166.7</v>
      </c>
      <c r="H133">
        <v>2713.8</v>
      </c>
      <c r="I133">
        <v>30.7</v>
      </c>
      <c r="J133">
        <v>1422.2</v>
      </c>
      <c r="K133">
        <v>56</v>
      </c>
      <c r="L133" s="3"/>
    </row>
    <row r="134" spans="1:12" ht="13.15" customHeight="1" x14ac:dyDescent="0.25">
      <c r="A134" s="224" t="s">
        <v>1082</v>
      </c>
      <c r="B134" s="1" t="s">
        <v>664</v>
      </c>
      <c r="C134" s="4" t="s">
        <v>1097</v>
      </c>
      <c r="D134" s="2">
        <v>50</v>
      </c>
      <c r="E134" s="2" t="s">
        <v>1085</v>
      </c>
      <c r="F134" s="229">
        <f>Таблица3[[#This Row],[Площадь (приват.)]]+Таблица3[[#This Row],[Площадь (муницип.)]]</f>
        <v>1682.6</v>
      </c>
      <c r="G134">
        <v>1682.6</v>
      </c>
      <c r="H134">
        <v>1682.6</v>
      </c>
      <c r="I134">
        <v>0</v>
      </c>
      <c r="J134">
        <v>0</v>
      </c>
      <c r="K134">
        <v>30</v>
      </c>
      <c r="L134" s="3"/>
    </row>
    <row r="135" spans="1:12" ht="13.15" customHeight="1" x14ac:dyDescent="0.25">
      <c r="A135" s="224" t="s">
        <v>1089</v>
      </c>
      <c r="B135" s="1" t="s">
        <v>462</v>
      </c>
      <c r="C135" s="4" t="s">
        <v>1097</v>
      </c>
      <c r="D135" s="2">
        <v>51</v>
      </c>
      <c r="E135" s="2"/>
      <c r="F135" s="229">
        <f>Таблица3[[#This Row],[Площадь (приват.)]]+Таблица3[[#This Row],[Площадь (муницип.)]]</f>
        <v>3901.4</v>
      </c>
      <c r="G135">
        <v>5701.2</v>
      </c>
      <c r="H135">
        <v>3826.6</v>
      </c>
      <c r="I135">
        <v>74.8</v>
      </c>
      <c r="J135">
        <v>1799.8</v>
      </c>
      <c r="K135">
        <v>59</v>
      </c>
      <c r="L135" s="3"/>
    </row>
    <row r="136" spans="1:12" ht="13.15" customHeight="1" x14ac:dyDescent="0.25">
      <c r="A136" s="224" t="s">
        <v>1089</v>
      </c>
      <c r="B136" s="1" t="s">
        <v>463</v>
      </c>
      <c r="C136" s="4" t="s">
        <v>1097</v>
      </c>
      <c r="D136" s="2">
        <v>51</v>
      </c>
      <c r="E136" s="2" t="s">
        <v>1085</v>
      </c>
      <c r="F136" s="229">
        <f>Таблица3[[#This Row],[Площадь (приват.)]]+Таблица3[[#This Row],[Площадь (муницип.)]]</f>
        <v>1900.1</v>
      </c>
      <c r="G136">
        <v>2047.1</v>
      </c>
      <c r="H136">
        <v>1900.1</v>
      </c>
      <c r="I136">
        <v>0</v>
      </c>
      <c r="J136">
        <v>147</v>
      </c>
      <c r="K136">
        <v>30</v>
      </c>
      <c r="L136" s="3"/>
    </row>
    <row r="137" spans="1:12" ht="13.15" customHeight="1" x14ac:dyDescent="0.25">
      <c r="A137" s="224" t="s">
        <v>1082</v>
      </c>
      <c r="B137" s="1" t="s">
        <v>665</v>
      </c>
      <c r="C137" s="4" t="s">
        <v>1097</v>
      </c>
      <c r="D137" s="2">
        <v>52</v>
      </c>
      <c r="E137" s="2"/>
      <c r="F137" s="229">
        <f>Таблица3[[#This Row],[Площадь (приват.)]]+Таблица3[[#This Row],[Площадь (муницип.)]]</f>
        <v>3035.6</v>
      </c>
      <c r="G137">
        <v>3778.7</v>
      </c>
      <c r="H137">
        <v>3035.6</v>
      </c>
      <c r="I137">
        <v>0</v>
      </c>
      <c r="J137">
        <v>743.1</v>
      </c>
      <c r="K137">
        <v>48</v>
      </c>
      <c r="L137" s="3"/>
    </row>
    <row r="138" spans="1:12" ht="13.15" customHeight="1" x14ac:dyDescent="0.25">
      <c r="A138" s="224" t="s">
        <v>1082</v>
      </c>
      <c r="B138" s="1" t="s">
        <v>666</v>
      </c>
      <c r="C138" s="4" t="s">
        <v>1097</v>
      </c>
      <c r="D138" s="2">
        <v>52</v>
      </c>
      <c r="E138" s="2" t="s">
        <v>1085</v>
      </c>
      <c r="F138" s="229">
        <f>Таблица3[[#This Row],[Площадь (приват.)]]+Таблица3[[#This Row],[Площадь (муницип.)]]</f>
        <v>6345.6</v>
      </c>
      <c r="G138">
        <v>6503.3</v>
      </c>
      <c r="H138">
        <v>6345.6</v>
      </c>
      <c r="I138">
        <v>0</v>
      </c>
      <c r="J138">
        <v>157.69999999999999</v>
      </c>
      <c r="K138">
        <v>98</v>
      </c>
      <c r="L138" s="3"/>
    </row>
    <row r="139" spans="1:12" ht="13.15" customHeight="1" x14ac:dyDescent="0.25">
      <c r="A139" s="224" t="s">
        <v>1082</v>
      </c>
      <c r="B139" s="1" t="s">
        <v>667</v>
      </c>
      <c r="C139" s="4" t="s">
        <v>1097</v>
      </c>
      <c r="D139" s="2">
        <v>52</v>
      </c>
      <c r="E139" s="2" t="s">
        <v>1094</v>
      </c>
      <c r="F139" s="229">
        <f>Таблица3[[#This Row],[Площадь (приват.)]]+Таблица3[[#This Row],[Площадь (муницип.)]]</f>
        <v>4383.09</v>
      </c>
      <c r="G139">
        <v>4383.09</v>
      </c>
      <c r="H139">
        <v>4339.09</v>
      </c>
      <c r="I139">
        <v>44</v>
      </c>
      <c r="J139">
        <v>0</v>
      </c>
      <c r="K139">
        <v>90</v>
      </c>
      <c r="L139" s="3"/>
    </row>
    <row r="140" spans="1:12" ht="13.15" customHeight="1" x14ac:dyDescent="0.25">
      <c r="A140" s="224" t="s">
        <v>1082</v>
      </c>
      <c r="B140" s="1" t="s">
        <v>688</v>
      </c>
      <c r="C140" s="4" t="s">
        <v>1097</v>
      </c>
      <c r="D140" s="2">
        <v>53</v>
      </c>
      <c r="E140" s="2"/>
      <c r="F140" s="229">
        <f>Таблица3[[#This Row],[Площадь (приват.)]]+Таблица3[[#This Row],[Площадь (муницип.)]]</f>
        <v>4230.07</v>
      </c>
      <c r="G140">
        <v>5582.67</v>
      </c>
      <c r="H140">
        <v>4230.07</v>
      </c>
      <c r="I140">
        <v>0</v>
      </c>
      <c r="J140">
        <v>1352.6</v>
      </c>
      <c r="K140">
        <v>65</v>
      </c>
      <c r="L140" s="3"/>
    </row>
    <row r="141" spans="1:12" ht="13.15" customHeight="1" x14ac:dyDescent="0.25">
      <c r="A141" s="224" t="s">
        <v>1082</v>
      </c>
      <c r="B141" s="1" t="s">
        <v>689</v>
      </c>
      <c r="C141" s="4" t="s">
        <v>1097</v>
      </c>
      <c r="D141" s="2">
        <v>53</v>
      </c>
      <c r="E141" s="2" t="s">
        <v>1085</v>
      </c>
      <c r="F141" s="229">
        <f>Таблица3[[#This Row],[Площадь (приват.)]]+Таблица3[[#This Row],[Площадь (муницип.)]]</f>
        <v>1583.4</v>
      </c>
      <c r="G141">
        <v>1626.7</v>
      </c>
      <c r="H141">
        <v>1583.4</v>
      </c>
      <c r="I141">
        <v>0</v>
      </c>
      <c r="J141">
        <v>43.3</v>
      </c>
      <c r="K141">
        <v>39</v>
      </c>
      <c r="L141" s="3"/>
    </row>
    <row r="142" spans="1:12" ht="13.15" customHeight="1" x14ac:dyDescent="0.25">
      <c r="A142" s="224" t="s">
        <v>1082</v>
      </c>
      <c r="B142" s="1" t="s">
        <v>668</v>
      </c>
      <c r="C142" s="4" t="s">
        <v>1097</v>
      </c>
      <c r="D142" s="2">
        <v>54</v>
      </c>
      <c r="E142" s="2"/>
      <c r="F142" s="229">
        <f>Таблица3[[#This Row],[Площадь (приват.)]]+Таблица3[[#This Row],[Площадь (муницип.)]]</f>
        <v>2946.5</v>
      </c>
      <c r="G142">
        <v>3674.4</v>
      </c>
      <c r="H142">
        <v>2892.3</v>
      </c>
      <c r="I142">
        <v>54.2</v>
      </c>
      <c r="J142">
        <v>727.9</v>
      </c>
      <c r="K142">
        <v>45</v>
      </c>
      <c r="L142" s="3"/>
    </row>
    <row r="143" spans="1:12" ht="13.15" customHeight="1" x14ac:dyDescent="0.25">
      <c r="A143" s="224" t="s">
        <v>1082</v>
      </c>
      <c r="B143" s="1" t="s">
        <v>669</v>
      </c>
      <c r="C143" s="4" t="s">
        <v>1097</v>
      </c>
      <c r="D143" s="2">
        <v>54</v>
      </c>
      <c r="E143" s="2" t="s">
        <v>1085</v>
      </c>
      <c r="F143" s="229">
        <f>Таблица3[[#This Row],[Площадь (приват.)]]+Таблица3[[#This Row],[Площадь (муницип.)]]</f>
        <v>6039.6</v>
      </c>
      <c r="G143">
        <v>6325.9</v>
      </c>
      <c r="H143">
        <v>6039.6</v>
      </c>
      <c r="I143">
        <v>0</v>
      </c>
      <c r="J143">
        <v>286.3</v>
      </c>
      <c r="K143">
        <v>95</v>
      </c>
      <c r="L143" s="3"/>
    </row>
    <row r="144" spans="1:12" ht="13.15" customHeight="1" x14ac:dyDescent="0.25">
      <c r="A144" s="224" t="s">
        <v>1082</v>
      </c>
      <c r="B144" s="1" t="s">
        <v>690</v>
      </c>
      <c r="C144" s="4" t="s">
        <v>1097</v>
      </c>
      <c r="D144" s="2">
        <v>55</v>
      </c>
      <c r="E144" s="2"/>
      <c r="F144" s="229">
        <f>Таблица3[[#This Row],[Площадь (приват.)]]+Таблица3[[#This Row],[Площадь (муницип.)]]</f>
        <v>2672.6</v>
      </c>
      <c r="G144">
        <v>3324.1</v>
      </c>
      <c r="H144">
        <v>2672.6</v>
      </c>
      <c r="I144">
        <v>0</v>
      </c>
      <c r="J144">
        <v>651.5</v>
      </c>
      <c r="K144">
        <v>47</v>
      </c>
      <c r="L144" s="3"/>
    </row>
    <row r="145" spans="1:12" ht="13.15" customHeight="1" x14ac:dyDescent="0.25">
      <c r="A145" s="224" t="s">
        <v>1082</v>
      </c>
      <c r="B145" s="1" t="s">
        <v>691</v>
      </c>
      <c r="C145" s="4" t="s">
        <v>1097</v>
      </c>
      <c r="D145" s="2">
        <v>55</v>
      </c>
      <c r="E145" s="2" t="s">
        <v>1085</v>
      </c>
      <c r="F145" s="229">
        <f>Таблица3[[#This Row],[Площадь (приват.)]]+Таблица3[[#This Row],[Площадь (муницип.)]]</f>
        <v>1616</v>
      </c>
      <c r="G145">
        <v>1616</v>
      </c>
      <c r="H145">
        <v>1616</v>
      </c>
      <c r="I145">
        <v>0</v>
      </c>
      <c r="J145">
        <v>0</v>
      </c>
      <c r="K145">
        <v>40</v>
      </c>
      <c r="L145" s="3"/>
    </row>
    <row r="146" spans="1:12" ht="13.15" customHeight="1" x14ac:dyDescent="0.25">
      <c r="A146" s="224" t="s">
        <v>1082</v>
      </c>
      <c r="B146" s="1" t="s">
        <v>670</v>
      </c>
      <c r="C146" s="4" t="s">
        <v>1097</v>
      </c>
      <c r="D146" s="2">
        <v>56</v>
      </c>
      <c r="E146" s="2"/>
      <c r="F146" s="229">
        <f>Таблица3[[#This Row],[Площадь (приват.)]]+Таблица3[[#This Row],[Площадь (муницип.)]]</f>
        <v>1512.9</v>
      </c>
      <c r="G146">
        <v>2404.8000000000002</v>
      </c>
      <c r="H146">
        <v>1512.9</v>
      </c>
      <c r="I146">
        <v>0</v>
      </c>
      <c r="J146">
        <v>891.9</v>
      </c>
      <c r="K146">
        <v>36</v>
      </c>
      <c r="L146" s="3"/>
    </row>
    <row r="147" spans="1:12" ht="13.15" customHeight="1" x14ac:dyDescent="0.25">
      <c r="A147" s="224" t="s">
        <v>1082</v>
      </c>
      <c r="B147" s="1" t="s">
        <v>692</v>
      </c>
      <c r="C147" s="4" t="s">
        <v>1097</v>
      </c>
      <c r="D147" s="2">
        <v>57</v>
      </c>
      <c r="E147" s="2"/>
      <c r="F147" s="229">
        <f>Таблица3[[#This Row],[Площадь (приват.)]]+Таблица3[[#This Row],[Площадь (муницип.)]]</f>
        <v>1123.0999999999999</v>
      </c>
      <c r="G147">
        <v>1771.1</v>
      </c>
      <c r="H147">
        <v>1080.8</v>
      </c>
      <c r="I147">
        <v>42.3</v>
      </c>
      <c r="J147">
        <v>648</v>
      </c>
      <c r="K147">
        <v>28</v>
      </c>
      <c r="L147" s="3"/>
    </row>
    <row r="148" spans="1:12" ht="13.15" customHeight="1" x14ac:dyDescent="0.25">
      <c r="A148" s="224" t="s">
        <v>1082</v>
      </c>
      <c r="B148" s="1" t="s">
        <v>693</v>
      </c>
      <c r="C148" s="4" t="s">
        <v>1097</v>
      </c>
      <c r="D148" s="2">
        <v>57</v>
      </c>
      <c r="E148" s="2" t="s">
        <v>1085</v>
      </c>
      <c r="F148" s="229">
        <f>Таблица3[[#This Row],[Площадь (приват.)]]+Таблица3[[#This Row],[Площадь (муницип.)]]</f>
        <v>1617.2</v>
      </c>
      <c r="G148">
        <v>1617.2</v>
      </c>
      <c r="H148">
        <v>1617.2</v>
      </c>
      <c r="I148">
        <v>0</v>
      </c>
      <c r="J148">
        <v>0</v>
      </c>
      <c r="K148">
        <v>40</v>
      </c>
      <c r="L148" s="3"/>
    </row>
    <row r="149" spans="1:12" ht="13.15" customHeight="1" x14ac:dyDescent="0.25">
      <c r="A149" s="224" t="s">
        <v>1082</v>
      </c>
      <c r="B149" s="1" t="s">
        <v>671</v>
      </c>
      <c r="C149" s="4" t="s">
        <v>1097</v>
      </c>
      <c r="D149" s="2">
        <v>58</v>
      </c>
      <c r="E149" s="2"/>
      <c r="F149" s="229">
        <f>Таблица3[[#This Row],[Площадь (приват.)]]+Таблица3[[#This Row],[Площадь (муницип.)]]</f>
        <v>2074</v>
      </c>
      <c r="G149">
        <v>2743.4</v>
      </c>
      <c r="H149">
        <v>2074</v>
      </c>
      <c r="I149">
        <v>0</v>
      </c>
      <c r="J149">
        <v>669.4</v>
      </c>
      <c r="K149">
        <v>32</v>
      </c>
      <c r="L149" s="3"/>
    </row>
    <row r="150" spans="1:12" ht="13.15" customHeight="1" x14ac:dyDescent="0.25">
      <c r="A150" s="224" t="s">
        <v>1082</v>
      </c>
      <c r="B150" s="1" t="s">
        <v>672</v>
      </c>
      <c r="C150" s="4" t="s">
        <v>1097</v>
      </c>
      <c r="D150" s="2">
        <v>58</v>
      </c>
      <c r="E150" s="2" t="s">
        <v>1085</v>
      </c>
      <c r="F150" s="229">
        <f>Таблица3[[#This Row],[Площадь (приват.)]]+Таблица3[[#This Row],[Площадь (муницип.)]]</f>
        <v>3327.5</v>
      </c>
      <c r="G150">
        <v>3327.5</v>
      </c>
      <c r="H150">
        <v>3327.5</v>
      </c>
      <c r="I150">
        <v>0</v>
      </c>
      <c r="J150">
        <v>0</v>
      </c>
      <c r="K150">
        <v>58</v>
      </c>
      <c r="L150" s="3"/>
    </row>
    <row r="151" spans="1:12" ht="13.15" customHeight="1" x14ac:dyDescent="0.25">
      <c r="A151" s="224" t="s">
        <v>1082</v>
      </c>
      <c r="B151" s="1" t="s">
        <v>673</v>
      </c>
      <c r="C151" s="4" t="s">
        <v>1097</v>
      </c>
      <c r="D151" s="2">
        <v>60</v>
      </c>
      <c r="E151" s="2"/>
      <c r="F151" s="229">
        <f>Таблица3[[#This Row],[Площадь (приват.)]]+Таблица3[[#This Row],[Площадь (муницип.)]]</f>
        <v>2144</v>
      </c>
      <c r="G151">
        <v>2578.6999999999998</v>
      </c>
      <c r="H151">
        <v>2144</v>
      </c>
      <c r="I151">
        <v>0</v>
      </c>
      <c r="J151">
        <v>434.7</v>
      </c>
      <c r="K151">
        <v>32</v>
      </c>
      <c r="L151" s="3"/>
    </row>
    <row r="152" spans="1:12" ht="13.15" customHeight="1" x14ac:dyDescent="0.25">
      <c r="A152" s="224" t="s">
        <v>1082</v>
      </c>
      <c r="B152" s="1" t="s">
        <v>674</v>
      </c>
      <c r="C152" s="4" t="s">
        <v>1097</v>
      </c>
      <c r="D152" s="2">
        <v>60</v>
      </c>
      <c r="E152" s="2" t="s">
        <v>1085</v>
      </c>
      <c r="F152" s="229">
        <f>Таблица3[[#This Row],[Площадь (приват.)]]+Таблица3[[#This Row],[Площадь (муницип.)]]</f>
        <v>3337.4</v>
      </c>
      <c r="G152">
        <v>3337.4</v>
      </c>
      <c r="H152">
        <v>3282.6</v>
      </c>
      <c r="I152">
        <v>54.8</v>
      </c>
      <c r="J152">
        <v>0</v>
      </c>
      <c r="K152">
        <v>60</v>
      </c>
      <c r="L152" s="3"/>
    </row>
    <row r="153" spans="1:12" ht="13.15" customHeight="1" x14ac:dyDescent="0.25">
      <c r="A153" s="224" t="s">
        <v>1082</v>
      </c>
      <c r="B153" s="1" t="s">
        <v>694</v>
      </c>
      <c r="C153" s="4" t="s">
        <v>1097</v>
      </c>
      <c r="D153" s="2">
        <v>61</v>
      </c>
      <c r="E153" s="2"/>
      <c r="F153" s="229">
        <f>Таблица3[[#This Row],[Площадь (приват.)]]+Таблица3[[#This Row],[Площадь (муницип.)]]</f>
        <v>965.9</v>
      </c>
      <c r="G153">
        <v>1576.3</v>
      </c>
      <c r="H153">
        <v>934.8</v>
      </c>
      <c r="I153">
        <v>31.1</v>
      </c>
      <c r="J153">
        <v>610.4</v>
      </c>
      <c r="K153">
        <v>24</v>
      </c>
      <c r="L153" s="3"/>
    </row>
    <row r="154" spans="1:12" ht="13.15" customHeight="1" x14ac:dyDescent="0.25">
      <c r="A154" s="224" t="s">
        <v>1082</v>
      </c>
      <c r="B154" s="1" t="s">
        <v>695</v>
      </c>
      <c r="C154" s="4" t="s">
        <v>1097</v>
      </c>
      <c r="D154" s="2">
        <v>61</v>
      </c>
      <c r="E154" s="2" t="s">
        <v>1085</v>
      </c>
      <c r="F154" s="229">
        <f>Таблица3[[#This Row],[Площадь (приват.)]]+Таблица3[[#This Row],[Площадь (муницип.)]]</f>
        <v>1618.4</v>
      </c>
      <c r="G154">
        <v>1618.4</v>
      </c>
      <c r="H154">
        <v>1618.4</v>
      </c>
      <c r="I154">
        <v>0</v>
      </c>
      <c r="J154">
        <v>0</v>
      </c>
      <c r="K154">
        <v>40</v>
      </c>
      <c r="L154" s="3"/>
    </row>
    <row r="155" spans="1:12" ht="13.15" customHeight="1" x14ac:dyDescent="0.25">
      <c r="A155" s="224" t="s">
        <v>1082</v>
      </c>
      <c r="B155" s="1" t="s">
        <v>675</v>
      </c>
      <c r="C155" s="4" t="s">
        <v>1097</v>
      </c>
      <c r="D155" s="2">
        <v>62</v>
      </c>
      <c r="E155" s="2"/>
      <c r="F155" s="229">
        <f>Таблица3[[#This Row],[Площадь (приват.)]]+Таблица3[[#This Row],[Площадь (муницип.)]]</f>
        <v>1516.5</v>
      </c>
      <c r="G155">
        <v>2411.1999999999998</v>
      </c>
      <c r="H155">
        <v>1462.2</v>
      </c>
      <c r="I155">
        <v>54.3</v>
      </c>
      <c r="J155">
        <v>894.7</v>
      </c>
      <c r="K155">
        <v>36</v>
      </c>
      <c r="L155" s="3"/>
    </row>
    <row r="156" spans="1:12" ht="13.15" customHeight="1" x14ac:dyDescent="0.25">
      <c r="A156" s="224" t="s">
        <v>1082</v>
      </c>
      <c r="B156" s="1" t="s">
        <v>682</v>
      </c>
      <c r="C156" s="4" t="s">
        <v>1097</v>
      </c>
      <c r="D156" s="2">
        <v>63</v>
      </c>
      <c r="E156" s="2"/>
      <c r="F156" s="229">
        <f>Таблица3[[#This Row],[Площадь (приват.)]]+Таблица3[[#This Row],[Площадь (муницип.)]]</f>
        <v>3954.5</v>
      </c>
      <c r="G156">
        <v>5038.8</v>
      </c>
      <c r="H156">
        <v>3954.5</v>
      </c>
      <c r="I156">
        <v>0</v>
      </c>
      <c r="J156">
        <v>1084.3</v>
      </c>
      <c r="K156">
        <v>71</v>
      </c>
      <c r="L156" s="3"/>
    </row>
    <row r="157" spans="1:12" ht="13.15" customHeight="1" x14ac:dyDescent="0.25">
      <c r="A157" s="224" t="s">
        <v>1082</v>
      </c>
      <c r="B157" s="1" t="s">
        <v>683</v>
      </c>
      <c r="C157" s="4" t="s">
        <v>1097</v>
      </c>
      <c r="D157" s="2">
        <v>63</v>
      </c>
      <c r="E157" s="2" t="s">
        <v>1085</v>
      </c>
      <c r="F157" s="229">
        <f>Таблица3[[#This Row],[Площадь (приват.)]]+Таблица3[[#This Row],[Площадь (муницип.)]]</f>
        <v>1616.9</v>
      </c>
      <c r="G157">
        <v>1616.9</v>
      </c>
      <c r="H157">
        <v>1572</v>
      </c>
      <c r="I157">
        <v>44.9</v>
      </c>
      <c r="J157">
        <v>0</v>
      </c>
      <c r="K157">
        <v>40</v>
      </c>
      <c r="L157" s="3"/>
    </row>
    <row r="158" spans="1:12" ht="13.15" customHeight="1" x14ac:dyDescent="0.25">
      <c r="A158" s="224" t="s">
        <v>1082</v>
      </c>
      <c r="B158" s="1" t="s">
        <v>676</v>
      </c>
      <c r="C158" s="4" t="s">
        <v>1097</v>
      </c>
      <c r="D158" s="2">
        <v>64</v>
      </c>
      <c r="E158" s="2"/>
      <c r="F158" s="229">
        <f>Таблица3[[#This Row],[Площадь (приват.)]]+Таблица3[[#This Row],[Площадь (муницип.)]]</f>
        <v>2904.9</v>
      </c>
      <c r="G158">
        <v>3717.9</v>
      </c>
      <c r="H158">
        <v>2904.9</v>
      </c>
      <c r="I158">
        <v>0</v>
      </c>
      <c r="J158">
        <v>813</v>
      </c>
      <c r="K158">
        <v>47</v>
      </c>
      <c r="L158" s="3"/>
    </row>
    <row r="159" spans="1:12" ht="13.15" customHeight="1" x14ac:dyDescent="0.25">
      <c r="A159" s="224" t="s">
        <v>1082</v>
      </c>
      <c r="B159" s="1" t="s">
        <v>684</v>
      </c>
      <c r="C159" s="4" t="s">
        <v>1097</v>
      </c>
      <c r="D159" s="2">
        <v>65</v>
      </c>
      <c r="E159" s="2" t="s">
        <v>1085</v>
      </c>
      <c r="F159" s="229">
        <f>Таблица3[[#This Row],[Площадь (приват.)]]+Таблица3[[#This Row],[Площадь (муницип.)]]</f>
        <v>1628.7</v>
      </c>
      <c r="G159">
        <v>1628.7</v>
      </c>
      <c r="H159">
        <v>1596.2</v>
      </c>
      <c r="I159">
        <v>32.5</v>
      </c>
      <c r="J159">
        <v>0</v>
      </c>
      <c r="K159">
        <v>40</v>
      </c>
      <c r="L159" s="3"/>
    </row>
    <row r="160" spans="1:12" ht="13.15" customHeight="1" x14ac:dyDescent="0.25">
      <c r="A160" s="224" t="s">
        <v>1082</v>
      </c>
      <c r="B160" s="1" t="s">
        <v>685</v>
      </c>
      <c r="C160" s="4" t="s">
        <v>1097</v>
      </c>
      <c r="D160" s="2">
        <v>67</v>
      </c>
      <c r="E160" s="2"/>
      <c r="F160" s="229">
        <f>Таблица3[[#This Row],[Площадь (приват.)]]+Таблица3[[#This Row],[Площадь (муницип.)]]</f>
        <v>1607.9</v>
      </c>
      <c r="G160">
        <v>1607.9</v>
      </c>
      <c r="H160">
        <v>1607.9</v>
      </c>
      <c r="I160">
        <v>0</v>
      </c>
      <c r="J160">
        <v>0</v>
      </c>
      <c r="K160">
        <v>40</v>
      </c>
      <c r="L160" s="3"/>
    </row>
    <row r="161" spans="1:12" ht="13.15" customHeight="1" x14ac:dyDescent="0.25">
      <c r="A161" s="224" t="s">
        <v>1082</v>
      </c>
      <c r="B161" s="1" t="s">
        <v>686</v>
      </c>
      <c r="C161" s="4" t="s">
        <v>1097</v>
      </c>
      <c r="D161" s="2">
        <v>69</v>
      </c>
      <c r="E161" s="2"/>
      <c r="F161" s="229">
        <f>Таблица3[[#This Row],[Площадь (приват.)]]+Таблица3[[#This Row],[Площадь (муницип.)]]</f>
        <v>6932.2</v>
      </c>
      <c r="G161">
        <v>8971.7999999999993</v>
      </c>
      <c r="H161">
        <v>6932.2</v>
      </c>
      <c r="I161">
        <v>0</v>
      </c>
      <c r="J161">
        <v>2039.6</v>
      </c>
      <c r="K161">
        <v>114</v>
      </c>
      <c r="L161" s="3"/>
    </row>
    <row r="162" spans="1:12" ht="13.15" customHeight="1" x14ac:dyDescent="0.25">
      <c r="A162" s="224" t="s">
        <v>1082</v>
      </c>
      <c r="B162" s="1" t="s">
        <v>687</v>
      </c>
      <c r="C162" s="4" t="s">
        <v>1097</v>
      </c>
      <c r="D162" s="2">
        <v>69</v>
      </c>
      <c r="E162" s="2" t="s">
        <v>1085</v>
      </c>
      <c r="F162" s="229">
        <f>Таблица3[[#This Row],[Площадь (приват.)]]+Таблица3[[#This Row],[Площадь (муницип.)]]</f>
        <v>3524.9</v>
      </c>
      <c r="G162">
        <v>3657.1</v>
      </c>
      <c r="H162">
        <v>3480.3</v>
      </c>
      <c r="I162">
        <v>44.6</v>
      </c>
      <c r="J162">
        <v>132.19999999999999</v>
      </c>
      <c r="K162">
        <v>100</v>
      </c>
      <c r="L162" s="3"/>
    </row>
    <row r="163" spans="1:12" ht="13.15" customHeight="1" x14ac:dyDescent="0.25">
      <c r="A163" s="224" t="s">
        <v>1090</v>
      </c>
      <c r="B163" s="1" t="s">
        <v>524</v>
      </c>
      <c r="C163" s="4" t="s">
        <v>1099</v>
      </c>
      <c r="D163" s="2">
        <v>10</v>
      </c>
      <c r="E163" s="2"/>
      <c r="F163" s="229">
        <f>Таблица3[[#This Row],[Площадь (приват.)]]+Таблица3[[#This Row],[Площадь (муницип.)]]</f>
        <v>4970.3999999999996</v>
      </c>
      <c r="G163">
        <v>5954.5</v>
      </c>
      <c r="H163">
        <v>4970.3999999999996</v>
      </c>
      <c r="I163">
        <v>0</v>
      </c>
      <c r="J163">
        <v>984.1</v>
      </c>
      <c r="K163">
        <v>67</v>
      </c>
      <c r="L163" s="3"/>
    </row>
    <row r="164" spans="1:12" ht="13.15" customHeight="1" x14ac:dyDescent="0.25">
      <c r="A164" s="224" t="s">
        <v>1098</v>
      </c>
      <c r="B164" s="1" t="s">
        <v>653</v>
      </c>
      <c r="C164" s="4" t="s">
        <v>1099</v>
      </c>
      <c r="D164" s="2">
        <v>11</v>
      </c>
      <c r="E164" s="2"/>
      <c r="F164" s="229">
        <f>Таблица3[[#This Row],[Площадь (приват.)]]+Таблица3[[#This Row],[Площадь (муницип.)]]</f>
        <v>3020.8</v>
      </c>
      <c r="G164">
        <v>3278.1</v>
      </c>
      <c r="H164">
        <v>3020.8</v>
      </c>
      <c r="I164">
        <v>0</v>
      </c>
      <c r="J164">
        <v>257.3</v>
      </c>
      <c r="K164">
        <v>55</v>
      </c>
      <c r="L164" s="3"/>
    </row>
    <row r="165" spans="1:12" ht="13.15" customHeight="1" x14ac:dyDescent="0.25">
      <c r="A165" s="224" t="s">
        <v>1090</v>
      </c>
      <c r="B165" s="1" t="s">
        <v>525</v>
      </c>
      <c r="C165" s="4" t="s">
        <v>1099</v>
      </c>
      <c r="D165" s="2">
        <v>12</v>
      </c>
      <c r="E165" s="2"/>
      <c r="F165" s="229">
        <f>Таблица3[[#This Row],[Площадь (приват.)]]+Таблица3[[#This Row],[Площадь (муницип.)]]</f>
        <v>4846</v>
      </c>
      <c r="G165">
        <v>5933.9</v>
      </c>
      <c r="H165">
        <v>4818.0600000000004</v>
      </c>
      <c r="I165">
        <v>27.94</v>
      </c>
      <c r="J165">
        <v>1087.9000000000001</v>
      </c>
      <c r="K165">
        <v>66</v>
      </c>
      <c r="L165" s="3"/>
    </row>
    <row r="166" spans="1:12" ht="13.15" customHeight="1" x14ac:dyDescent="0.25">
      <c r="A166" s="224" t="s">
        <v>1082</v>
      </c>
      <c r="B166" s="1" t="s">
        <v>696</v>
      </c>
      <c r="C166" s="4" t="s">
        <v>1099</v>
      </c>
      <c r="D166" s="2">
        <v>13</v>
      </c>
      <c r="E166" s="2"/>
      <c r="F166" s="229">
        <f>Таблица3[[#This Row],[Площадь (приват.)]]+Таблица3[[#This Row],[Площадь (муницип.)]]</f>
        <v>3500.3999999999996</v>
      </c>
      <c r="G166">
        <v>3500.4</v>
      </c>
      <c r="H166">
        <v>3469.2</v>
      </c>
      <c r="I166">
        <v>31.2</v>
      </c>
      <c r="J166">
        <v>0</v>
      </c>
      <c r="K166">
        <v>100</v>
      </c>
      <c r="L166" s="3"/>
    </row>
    <row r="167" spans="1:12" ht="13.15" customHeight="1" x14ac:dyDescent="0.25">
      <c r="A167" s="224" t="s">
        <v>1098</v>
      </c>
      <c r="B167" s="1" t="s">
        <v>654</v>
      </c>
      <c r="C167" s="4" t="s">
        <v>1099</v>
      </c>
      <c r="D167" s="2">
        <v>13</v>
      </c>
      <c r="E167" s="2" t="s">
        <v>1085</v>
      </c>
      <c r="F167" s="229">
        <f>Таблица3[[#This Row],[Площадь (приват.)]]+Таблица3[[#This Row],[Площадь (муницип.)]]</f>
        <v>2105.6999999999998</v>
      </c>
      <c r="G167">
        <v>3038.5</v>
      </c>
      <c r="H167">
        <v>2105.6999999999998</v>
      </c>
      <c r="I167">
        <v>0</v>
      </c>
      <c r="J167">
        <v>932.8</v>
      </c>
      <c r="K167">
        <v>49</v>
      </c>
      <c r="L167" s="3"/>
    </row>
    <row r="168" spans="1:12" ht="13.15" customHeight="1" x14ac:dyDescent="0.25">
      <c r="A168" s="224" t="s">
        <v>1082</v>
      </c>
      <c r="B168" s="1" t="s">
        <v>697</v>
      </c>
      <c r="C168" s="4" t="s">
        <v>1099</v>
      </c>
      <c r="D168" s="2">
        <v>15</v>
      </c>
      <c r="E168" s="2"/>
      <c r="F168" s="229">
        <f>Таблица3[[#This Row],[Площадь (приват.)]]+Таблица3[[#This Row],[Площадь (муницип.)]]</f>
        <v>4097.7</v>
      </c>
      <c r="G168">
        <v>4911.8</v>
      </c>
      <c r="H168">
        <v>4071</v>
      </c>
      <c r="I168">
        <v>26.7</v>
      </c>
      <c r="J168">
        <v>814.1</v>
      </c>
      <c r="K168">
        <v>76</v>
      </c>
      <c r="L168" s="3"/>
    </row>
    <row r="169" spans="1:12" ht="13.15" customHeight="1" x14ac:dyDescent="0.25">
      <c r="A169" s="224" t="s">
        <v>1082</v>
      </c>
      <c r="B169" s="1" t="s">
        <v>698</v>
      </c>
      <c r="C169" s="4" t="s">
        <v>1099</v>
      </c>
      <c r="D169" s="2">
        <v>15</v>
      </c>
      <c r="E169" s="2" t="s">
        <v>1085</v>
      </c>
      <c r="F169" s="229">
        <f>Таблица3[[#This Row],[Площадь (приват.)]]+Таблица3[[#This Row],[Площадь (муницип.)]]</f>
        <v>1555.9</v>
      </c>
      <c r="G169">
        <v>1555.9</v>
      </c>
      <c r="H169">
        <v>1555.9</v>
      </c>
      <c r="I169">
        <v>0</v>
      </c>
      <c r="J169">
        <v>0</v>
      </c>
      <c r="K169">
        <v>40</v>
      </c>
      <c r="L169" s="3"/>
    </row>
    <row r="170" spans="1:12" ht="13.15" customHeight="1" x14ac:dyDescent="0.25">
      <c r="A170" s="224" t="s">
        <v>1089</v>
      </c>
      <c r="B170" s="1" t="s">
        <v>464</v>
      </c>
      <c r="C170" s="4" t="s">
        <v>1099</v>
      </c>
      <c r="D170" s="2">
        <v>16</v>
      </c>
      <c r="E170" s="2"/>
      <c r="F170" s="229">
        <f>Таблица3[[#This Row],[Площадь (приват.)]]+Таблица3[[#This Row],[Площадь (муницип.)]]</f>
        <v>3851.5</v>
      </c>
      <c r="G170">
        <v>5193.2</v>
      </c>
      <c r="H170">
        <v>3851.5</v>
      </c>
      <c r="I170">
        <v>0</v>
      </c>
      <c r="J170">
        <v>1341.7</v>
      </c>
      <c r="K170">
        <v>47</v>
      </c>
      <c r="L170" s="3"/>
    </row>
    <row r="171" spans="1:12" ht="13.15" customHeight="1" x14ac:dyDescent="0.25">
      <c r="A171" s="224" t="s">
        <v>1089</v>
      </c>
      <c r="B171" s="1" t="s">
        <v>465</v>
      </c>
      <c r="C171" s="4" t="s">
        <v>1099</v>
      </c>
      <c r="D171" s="2">
        <v>16</v>
      </c>
      <c r="E171" s="2" t="s">
        <v>1085</v>
      </c>
      <c r="F171" s="229">
        <f>Таблица3[[#This Row],[Площадь (приват.)]]+Таблица3[[#This Row],[Площадь (муницип.)]]</f>
        <v>1433.7</v>
      </c>
      <c r="G171">
        <v>2124.1999999999998</v>
      </c>
      <c r="H171">
        <v>1433.7</v>
      </c>
      <c r="I171">
        <v>0</v>
      </c>
      <c r="J171">
        <v>690.5</v>
      </c>
      <c r="K171">
        <v>24</v>
      </c>
      <c r="L171" s="3"/>
    </row>
    <row r="172" spans="1:12" ht="13.15" customHeight="1" x14ac:dyDescent="0.25">
      <c r="A172" s="224" t="s">
        <v>1082</v>
      </c>
      <c r="B172" s="1" t="s">
        <v>699</v>
      </c>
      <c r="C172" s="4" t="s">
        <v>1099</v>
      </c>
      <c r="D172" s="2">
        <v>17</v>
      </c>
      <c r="E172" s="2" t="s">
        <v>1085</v>
      </c>
      <c r="F172" s="229">
        <f>Таблица3[[#This Row],[Площадь (приват.)]]+Таблица3[[#This Row],[Площадь (муницип.)]]</f>
        <v>1569</v>
      </c>
      <c r="G172">
        <v>1569</v>
      </c>
      <c r="H172">
        <v>1538.9</v>
      </c>
      <c r="I172">
        <v>30.1</v>
      </c>
      <c r="J172">
        <v>0</v>
      </c>
      <c r="K172">
        <v>40</v>
      </c>
      <c r="L172" s="3"/>
    </row>
    <row r="173" spans="1:12" ht="13.15" customHeight="1" x14ac:dyDescent="0.25">
      <c r="A173" s="224" t="s">
        <v>1089</v>
      </c>
      <c r="B173" s="1" t="s">
        <v>466</v>
      </c>
      <c r="C173" s="4" t="s">
        <v>1099</v>
      </c>
      <c r="D173" s="2">
        <v>18</v>
      </c>
      <c r="E173" s="2"/>
      <c r="F173" s="229">
        <f>Таблица3[[#This Row],[Площадь (приват.)]]+Таблица3[[#This Row],[Площадь (муницип.)]]</f>
        <v>1903.1</v>
      </c>
      <c r="G173">
        <v>2485</v>
      </c>
      <c r="H173">
        <v>1903.1</v>
      </c>
      <c r="I173">
        <v>0</v>
      </c>
      <c r="J173">
        <v>581.9</v>
      </c>
      <c r="K173">
        <v>26</v>
      </c>
      <c r="L173" s="3"/>
    </row>
    <row r="174" spans="1:12" ht="13.15" customHeight="1" x14ac:dyDescent="0.25">
      <c r="A174" s="224" t="s">
        <v>1082</v>
      </c>
      <c r="B174" s="1" t="s">
        <v>700</v>
      </c>
      <c r="C174" s="4" t="s">
        <v>1099</v>
      </c>
      <c r="D174" s="2">
        <v>19</v>
      </c>
      <c r="E174" s="2"/>
      <c r="F174" s="229">
        <f>Таблица3[[#This Row],[Площадь (приват.)]]+Таблица3[[#This Row],[Площадь (муницип.)]]</f>
        <v>2799.7</v>
      </c>
      <c r="G174">
        <v>3291.7</v>
      </c>
      <c r="H174">
        <v>2799.7</v>
      </c>
      <c r="I174">
        <v>0</v>
      </c>
      <c r="J174">
        <v>492</v>
      </c>
      <c r="K174">
        <v>52</v>
      </c>
      <c r="L174" s="3"/>
    </row>
    <row r="175" spans="1:12" ht="13.15" customHeight="1" x14ac:dyDescent="0.25">
      <c r="A175" s="224" t="s">
        <v>1082</v>
      </c>
      <c r="B175" s="1" t="s">
        <v>701</v>
      </c>
      <c r="C175" s="4" t="s">
        <v>1099</v>
      </c>
      <c r="D175" s="2">
        <v>19</v>
      </c>
      <c r="E175" s="2" t="s">
        <v>1085</v>
      </c>
      <c r="F175" s="229">
        <f>Таблица3[[#This Row],[Площадь (приват.)]]+Таблица3[[#This Row],[Площадь (муницип.)]]</f>
        <v>3505.8999999999996</v>
      </c>
      <c r="G175">
        <v>3505.9</v>
      </c>
      <c r="H175">
        <v>3473.2</v>
      </c>
      <c r="I175">
        <v>32.700000000000003</v>
      </c>
      <c r="J175">
        <v>0</v>
      </c>
      <c r="K175">
        <v>100</v>
      </c>
      <c r="L175" s="3"/>
    </row>
    <row r="176" spans="1:12" ht="13.15" customHeight="1" x14ac:dyDescent="0.25">
      <c r="A176" s="224" t="s">
        <v>1098</v>
      </c>
      <c r="B176" s="1" t="s">
        <v>621</v>
      </c>
      <c r="C176" s="4" t="s">
        <v>1099</v>
      </c>
      <c r="D176" s="2">
        <v>2</v>
      </c>
      <c r="E176" s="2"/>
      <c r="F176" s="229">
        <f>Таблица3[[#This Row],[Площадь (приват.)]]+Таблица3[[#This Row],[Площадь (муницип.)]]</f>
        <v>5025.5</v>
      </c>
      <c r="G176">
        <v>5392.9</v>
      </c>
      <c r="H176">
        <v>5025.5</v>
      </c>
      <c r="I176">
        <v>0</v>
      </c>
      <c r="J176">
        <v>367.4</v>
      </c>
      <c r="K176">
        <v>76</v>
      </c>
      <c r="L176" s="3"/>
    </row>
    <row r="177" spans="1:12" ht="13.15" customHeight="1" x14ac:dyDescent="0.25">
      <c r="A177" s="224" t="s">
        <v>1082</v>
      </c>
      <c r="B177" s="1" t="s">
        <v>702</v>
      </c>
      <c r="C177" s="4" t="s">
        <v>1099</v>
      </c>
      <c r="D177" s="2">
        <v>21</v>
      </c>
      <c r="E177" s="2"/>
      <c r="F177" s="229">
        <f>Таблица3[[#This Row],[Площадь (приват.)]]+Таблица3[[#This Row],[Площадь (муницип.)]]</f>
        <v>2931.8</v>
      </c>
      <c r="G177">
        <v>3391.1</v>
      </c>
      <c r="H177">
        <v>2931.8</v>
      </c>
      <c r="I177">
        <v>0</v>
      </c>
      <c r="J177">
        <v>459.3</v>
      </c>
      <c r="K177">
        <v>54</v>
      </c>
      <c r="L177" s="3"/>
    </row>
    <row r="178" spans="1:12" ht="13.15" customHeight="1" x14ac:dyDescent="0.25">
      <c r="A178" s="224" t="s">
        <v>1084</v>
      </c>
      <c r="B178" s="1" t="s">
        <v>600</v>
      </c>
      <c r="C178" s="4" t="s">
        <v>1099</v>
      </c>
      <c r="D178" s="2">
        <v>22</v>
      </c>
      <c r="E178" s="2"/>
      <c r="F178" s="229">
        <f>Таблица3[[#This Row],[Площадь (приват.)]]+Таблица3[[#This Row],[Площадь (муницип.)]]</f>
        <v>5423.4</v>
      </c>
      <c r="G178">
        <v>6871.8</v>
      </c>
      <c r="H178">
        <v>5326.5</v>
      </c>
      <c r="I178">
        <v>96.9</v>
      </c>
      <c r="J178">
        <v>1448.4</v>
      </c>
      <c r="K178">
        <v>82</v>
      </c>
      <c r="L178" s="3"/>
    </row>
    <row r="179" spans="1:12" ht="13.15" customHeight="1" x14ac:dyDescent="0.25">
      <c r="A179" s="224" t="s">
        <v>1084</v>
      </c>
      <c r="B179" s="1" t="s">
        <v>601</v>
      </c>
      <c r="C179" s="4" t="s">
        <v>1099</v>
      </c>
      <c r="D179" s="2">
        <v>22</v>
      </c>
      <c r="E179" s="2" t="s">
        <v>1085</v>
      </c>
      <c r="F179" s="229">
        <f>Таблица3[[#This Row],[Площадь (приват.)]]+Таблица3[[#This Row],[Площадь (муницип.)]]</f>
        <v>2544.5</v>
      </c>
      <c r="G179">
        <v>2925.6</v>
      </c>
      <c r="H179">
        <v>2544.5</v>
      </c>
      <c r="I179">
        <v>0</v>
      </c>
      <c r="J179">
        <v>381.1</v>
      </c>
      <c r="K179">
        <v>39</v>
      </c>
      <c r="L179" s="3"/>
    </row>
    <row r="180" spans="1:12" ht="13.15" customHeight="1" x14ac:dyDescent="0.25">
      <c r="A180" s="224" t="s">
        <v>1082</v>
      </c>
      <c r="B180" s="1" t="s">
        <v>703</v>
      </c>
      <c r="C180" s="4" t="s">
        <v>1099</v>
      </c>
      <c r="D180" s="2">
        <v>23</v>
      </c>
      <c r="E180" s="2"/>
      <c r="F180" s="229">
        <f>Таблица3[[#This Row],[Площадь (приват.)]]+Таблица3[[#This Row],[Площадь (муницип.)]]</f>
        <v>3501.56</v>
      </c>
      <c r="G180">
        <v>3635.16</v>
      </c>
      <c r="H180">
        <v>3468.46</v>
      </c>
      <c r="I180">
        <v>33.1</v>
      </c>
      <c r="J180">
        <v>133.6</v>
      </c>
      <c r="K180">
        <v>99</v>
      </c>
      <c r="L180" s="3"/>
    </row>
    <row r="181" spans="1:12" ht="13.15" customHeight="1" x14ac:dyDescent="0.25">
      <c r="A181" s="224" t="s">
        <v>1082</v>
      </c>
      <c r="B181" s="1" t="s">
        <v>704</v>
      </c>
      <c r="C181" s="4" t="s">
        <v>1099</v>
      </c>
      <c r="D181" s="2">
        <v>25</v>
      </c>
      <c r="E181" s="2" t="s">
        <v>1085</v>
      </c>
      <c r="F181" s="229">
        <f>Таблица3[[#This Row],[Площадь (приват.)]]+Таблица3[[#This Row],[Площадь (муницип.)]]</f>
        <v>1520.7</v>
      </c>
      <c r="G181">
        <v>1626.6</v>
      </c>
      <c r="H181">
        <v>1520.7</v>
      </c>
      <c r="I181">
        <v>0</v>
      </c>
      <c r="J181">
        <v>105.9</v>
      </c>
      <c r="K181">
        <v>37</v>
      </c>
      <c r="L181" s="3"/>
    </row>
    <row r="182" spans="1:12" ht="13.15" customHeight="1" x14ac:dyDescent="0.25">
      <c r="A182" s="224" t="s">
        <v>1084</v>
      </c>
      <c r="B182" s="1" t="s">
        <v>602</v>
      </c>
      <c r="C182" s="4" t="s">
        <v>1099</v>
      </c>
      <c r="D182" s="2">
        <v>26</v>
      </c>
      <c r="E182" s="2"/>
      <c r="F182" s="229">
        <f>Таблица3[[#This Row],[Площадь (приват.)]]+Таблица3[[#This Row],[Площадь (муницип.)]]</f>
        <v>4989.3</v>
      </c>
      <c r="G182">
        <v>6517.1</v>
      </c>
      <c r="H182">
        <v>4896.3</v>
      </c>
      <c r="I182">
        <v>93</v>
      </c>
      <c r="J182">
        <v>1527.8</v>
      </c>
      <c r="K182">
        <v>77</v>
      </c>
      <c r="L182" s="3"/>
    </row>
    <row r="183" spans="1:12" ht="13.15" customHeight="1" x14ac:dyDescent="0.25">
      <c r="A183" s="224" t="s">
        <v>1084</v>
      </c>
      <c r="B183" s="1" t="s">
        <v>603</v>
      </c>
      <c r="C183" s="4" t="s">
        <v>1099</v>
      </c>
      <c r="D183" s="2">
        <v>26</v>
      </c>
      <c r="E183" s="2" t="s">
        <v>1085</v>
      </c>
      <c r="F183" s="229">
        <f>Таблица3[[#This Row],[Площадь (приват.)]]+Таблица3[[#This Row],[Площадь (муницип.)]]</f>
        <v>2520.1600000000003</v>
      </c>
      <c r="G183">
        <v>2905.76</v>
      </c>
      <c r="H183">
        <v>2462.86</v>
      </c>
      <c r="I183">
        <v>57.3</v>
      </c>
      <c r="J183">
        <v>385.6</v>
      </c>
      <c r="K183">
        <v>40</v>
      </c>
      <c r="L183" s="3"/>
    </row>
    <row r="184" spans="1:12" ht="13.15" customHeight="1" x14ac:dyDescent="0.25">
      <c r="A184" s="224" t="s">
        <v>1082</v>
      </c>
      <c r="B184" s="1" t="s">
        <v>705</v>
      </c>
      <c r="C184" s="4" t="s">
        <v>1099</v>
      </c>
      <c r="D184" s="2">
        <v>27</v>
      </c>
      <c r="E184" s="2"/>
      <c r="F184" s="229">
        <f>Таблица3[[#This Row],[Площадь (приват.)]]+Таблица3[[#This Row],[Площадь (муницип.)]]</f>
        <v>2856.1</v>
      </c>
      <c r="G184">
        <v>3313.7</v>
      </c>
      <c r="H184">
        <v>2856.1</v>
      </c>
      <c r="I184">
        <v>0</v>
      </c>
      <c r="J184">
        <v>457.6</v>
      </c>
      <c r="K184">
        <v>53</v>
      </c>
      <c r="L184" s="3"/>
    </row>
    <row r="185" spans="1:12" ht="13.15" customHeight="1" x14ac:dyDescent="0.25">
      <c r="A185" s="224" t="s">
        <v>1098</v>
      </c>
      <c r="B185" s="1" t="s">
        <v>622</v>
      </c>
      <c r="C185" s="4" t="s">
        <v>1099</v>
      </c>
      <c r="D185" s="2">
        <v>3</v>
      </c>
      <c r="E185" s="2" t="s">
        <v>1085</v>
      </c>
      <c r="F185" s="229">
        <f>Таблица3[[#This Row],[Площадь (приват.)]]+Таблица3[[#This Row],[Площадь (муницип.)]]</f>
        <v>3529.3</v>
      </c>
      <c r="G185">
        <v>3898.5</v>
      </c>
      <c r="H185">
        <v>3404</v>
      </c>
      <c r="I185">
        <v>125.3</v>
      </c>
      <c r="J185">
        <v>369.2</v>
      </c>
      <c r="K185">
        <v>52</v>
      </c>
      <c r="L185" s="3"/>
    </row>
    <row r="186" spans="1:12" ht="13.15" customHeight="1" x14ac:dyDescent="0.25">
      <c r="A186" s="224" t="s">
        <v>1082</v>
      </c>
      <c r="B186" s="1" t="s">
        <v>677</v>
      </c>
      <c r="C186" s="4" t="s">
        <v>1099</v>
      </c>
      <c r="D186" s="2">
        <v>31</v>
      </c>
      <c r="E186" s="2"/>
      <c r="F186" s="229">
        <f>Таблица3[[#This Row],[Площадь (приват.)]]+Таблица3[[#This Row],[Площадь (муницип.)]]</f>
        <v>2106.1</v>
      </c>
      <c r="G186">
        <v>2623.6</v>
      </c>
      <c r="H186">
        <v>2106.1</v>
      </c>
      <c r="I186">
        <v>0</v>
      </c>
      <c r="J186">
        <v>517.5</v>
      </c>
      <c r="K186">
        <v>31</v>
      </c>
      <c r="L186" s="3"/>
    </row>
    <row r="187" spans="1:12" ht="13.15" customHeight="1" x14ac:dyDescent="0.25">
      <c r="A187" s="224" t="s">
        <v>1082</v>
      </c>
      <c r="B187" s="1" t="s">
        <v>678</v>
      </c>
      <c r="C187" s="4" t="s">
        <v>1099</v>
      </c>
      <c r="D187" s="2">
        <v>31</v>
      </c>
      <c r="E187" s="2" t="s">
        <v>1085</v>
      </c>
      <c r="F187" s="229">
        <f>Таблица3[[#This Row],[Площадь (приват.)]]+Таблица3[[#This Row],[Площадь (муницип.)]]</f>
        <v>2625.5</v>
      </c>
      <c r="G187">
        <v>2625.5</v>
      </c>
      <c r="H187">
        <v>2625.5</v>
      </c>
      <c r="I187">
        <v>0</v>
      </c>
      <c r="J187">
        <v>0</v>
      </c>
      <c r="K187">
        <v>40</v>
      </c>
      <c r="L187" s="3"/>
    </row>
    <row r="188" spans="1:12" ht="13.15" customHeight="1" x14ac:dyDescent="0.25">
      <c r="A188" s="224" t="s">
        <v>1084</v>
      </c>
      <c r="B188" s="1" t="s">
        <v>604</v>
      </c>
      <c r="C188" s="4" t="s">
        <v>1099</v>
      </c>
      <c r="D188" s="2">
        <v>32</v>
      </c>
      <c r="E188" s="2"/>
      <c r="F188" s="229">
        <f>Таблица3[[#This Row],[Площадь (приват.)]]+Таблица3[[#This Row],[Площадь (муницип.)]]</f>
        <v>1032.4000000000001</v>
      </c>
      <c r="G188">
        <v>1387.8</v>
      </c>
      <c r="H188">
        <v>1032.4000000000001</v>
      </c>
      <c r="I188">
        <v>0</v>
      </c>
      <c r="J188">
        <v>355.4</v>
      </c>
      <c r="K188">
        <v>26</v>
      </c>
      <c r="L188" s="3"/>
    </row>
    <row r="189" spans="1:12" ht="13.15" customHeight="1" x14ac:dyDescent="0.25">
      <c r="A189" s="224" t="s">
        <v>1082</v>
      </c>
      <c r="B189" s="1" t="s">
        <v>679</v>
      </c>
      <c r="C189" s="4" t="s">
        <v>1099</v>
      </c>
      <c r="D189" s="2">
        <v>33</v>
      </c>
      <c r="E189" s="2"/>
      <c r="F189" s="229">
        <f>Таблица3[[#This Row],[Площадь (приват.)]]+Таблица3[[#This Row],[Площадь (муницип.)]]</f>
        <v>2807.12</v>
      </c>
      <c r="G189">
        <v>3553.62</v>
      </c>
      <c r="H189">
        <v>2807.12</v>
      </c>
      <c r="I189">
        <v>0</v>
      </c>
      <c r="J189">
        <v>746.5</v>
      </c>
      <c r="K189">
        <v>49</v>
      </c>
      <c r="L189" s="3"/>
    </row>
    <row r="190" spans="1:12" ht="13.15" customHeight="1" x14ac:dyDescent="0.25">
      <c r="A190" s="224" t="s">
        <v>1082</v>
      </c>
      <c r="B190" s="1" t="s">
        <v>680</v>
      </c>
      <c r="C190" s="4" t="s">
        <v>1099</v>
      </c>
      <c r="D190" s="2">
        <v>33</v>
      </c>
      <c r="E190" s="2" t="s">
        <v>1085</v>
      </c>
      <c r="F190" s="229">
        <f>Таблица3[[#This Row],[Площадь (приват.)]]+Таблица3[[#This Row],[Площадь (муницип.)]]</f>
        <v>1421.1</v>
      </c>
      <c r="G190">
        <v>1681.3</v>
      </c>
      <c r="H190">
        <v>1421.1</v>
      </c>
      <c r="I190">
        <v>0</v>
      </c>
      <c r="J190">
        <v>260.2</v>
      </c>
      <c r="K190">
        <v>26</v>
      </c>
      <c r="L190" s="3"/>
    </row>
    <row r="191" spans="1:12" ht="13.15" customHeight="1" x14ac:dyDescent="0.25">
      <c r="A191" s="224" t="s">
        <v>1084</v>
      </c>
      <c r="B191" s="1" t="s">
        <v>605</v>
      </c>
      <c r="C191" s="4" t="s">
        <v>1099</v>
      </c>
      <c r="D191" s="2">
        <v>34</v>
      </c>
      <c r="E191" s="2"/>
      <c r="F191" s="229">
        <f>Таблица3[[#This Row],[Площадь (приват.)]]+Таблица3[[#This Row],[Площадь (муницип.)]]</f>
        <v>957.7</v>
      </c>
      <c r="G191">
        <v>1543.4</v>
      </c>
      <c r="H191">
        <v>957.7</v>
      </c>
      <c r="I191">
        <v>0</v>
      </c>
      <c r="J191">
        <v>585.70000000000005</v>
      </c>
      <c r="K191">
        <v>24</v>
      </c>
      <c r="L191" s="3"/>
    </row>
    <row r="192" spans="1:12" ht="13.15" customHeight="1" x14ac:dyDescent="0.25">
      <c r="A192" s="224" t="s">
        <v>1082</v>
      </c>
      <c r="B192" s="1" t="s">
        <v>681</v>
      </c>
      <c r="C192" s="4" t="s">
        <v>1099</v>
      </c>
      <c r="D192" s="2">
        <v>35</v>
      </c>
      <c r="E192" s="2"/>
      <c r="F192" s="229">
        <f>Таблица3[[#This Row],[Площадь (приват.)]]+Таблица3[[#This Row],[Площадь (муницип.)]]</f>
        <v>2797.4</v>
      </c>
      <c r="G192">
        <v>3401.6</v>
      </c>
      <c r="H192">
        <v>2720.5</v>
      </c>
      <c r="I192">
        <v>76.900000000000006</v>
      </c>
      <c r="J192">
        <v>604.20000000000005</v>
      </c>
      <c r="K192">
        <v>48</v>
      </c>
      <c r="L192" s="3"/>
    </row>
    <row r="193" spans="1:12" ht="13.15" customHeight="1" x14ac:dyDescent="0.25">
      <c r="A193" s="224" t="s">
        <v>1084</v>
      </c>
      <c r="B193" s="1" t="s">
        <v>606</v>
      </c>
      <c r="C193" s="4" t="s">
        <v>1099</v>
      </c>
      <c r="D193" s="2">
        <v>37</v>
      </c>
      <c r="E193" s="2"/>
      <c r="F193" s="229">
        <f>Таблица3[[#This Row],[Площадь (приват.)]]+Таблица3[[#This Row],[Площадь (муницип.)]]</f>
        <v>2739.6</v>
      </c>
      <c r="G193">
        <v>2739.6</v>
      </c>
      <c r="H193">
        <v>2739.6</v>
      </c>
      <c r="I193">
        <v>0</v>
      </c>
      <c r="J193">
        <v>0</v>
      </c>
      <c r="K193">
        <v>56</v>
      </c>
      <c r="L193" s="3"/>
    </row>
    <row r="194" spans="1:12" ht="13.15" customHeight="1" x14ac:dyDescent="0.25">
      <c r="A194" s="224" t="s">
        <v>1084</v>
      </c>
      <c r="B194" s="1" t="s">
        <v>607</v>
      </c>
      <c r="C194" s="4" t="s">
        <v>1099</v>
      </c>
      <c r="D194" s="2">
        <v>37</v>
      </c>
      <c r="E194" s="2" t="s">
        <v>1100</v>
      </c>
      <c r="F194" s="229">
        <f>Таблица3[[#This Row],[Площадь (приват.)]]+Таблица3[[#This Row],[Площадь (муницип.)]]</f>
        <v>1466.8</v>
      </c>
      <c r="G194">
        <v>1628.3</v>
      </c>
      <c r="H194">
        <v>1466.8</v>
      </c>
      <c r="I194">
        <v>0</v>
      </c>
      <c r="J194">
        <v>161.5</v>
      </c>
      <c r="K194">
        <v>37</v>
      </c>
      <c r="L194" s="3"/>
    </row>
    <row r="195" spans="1:12" ht="13.15" customHeight="1" x14ac:dyDescent="0.25">
      <c r="A195" s="224" t="s">
        <v>1084</v>
      </c>
      <c r="B195" s="1" t="s">
        <v>608</v>
      </c>
      <c r="C195" s="4" t="s">
        <v>1099</v>
      </c>
      <c r="D195" s="2">
        <v>39</v>
      </c>
      <c r="E195" s="2"/>
      <c r="F195" s="229">
        <f>Таблица3[[#This Row],[Площадь (приват.)]]+Таблица3[[#This Row],[Площадь (муницип.)]]</f>
        <v>5909.4</v>
      </c>
      <c r="G195">
        <v>5909.4</v>
      </c>
      <c r="H195">
        <v>5859.9</v>
      </c>
      <c r="I195">
        <v>49.5</v>
      </c>
      <c r="J195">
        <v>0</v>
      </c>
      <c r="K195">
        <v>109</v>
      </c>
      <c r="L195" s="3"/>
    </row>
    <row r="196" spans="1:12" ht="13.15" customHeight="1" x14ac:dyDescent="0.25">
      <c r="A196" s="224" t="s">
        <v>1090</v>
      </c>
      <c r="B196" s="1" t="s">
        <v>522</v>
      </c>
      <c r="C196" s="4" t="s">
        <v>1099</v>
      </c>
      <c r="D196" s="2">
        <v>4</v>
      </c>
      <c r="E196" s="2"/>
      <c r="F196" s="229">
        <f>Таблица3[[#This Row],[Площадь (приват.)]]+Таблица3[[#This Row],[Площадь (муницип.)]]</f>
        <v>1719</v>
      </c>
      <c r="G196">
        <v>2091.1</v>
      </c>
      <c r="H196">
        <v>1667</v>
      </c>
      <c r="I196">
        <v>52</v>
      </c>
      <c r="J196">
        <v>372.1</v>
      </c>
      <c r="K196">
        <v>28</v>
      </c>
      <c r="L196" s="3"/>
    </row>
    <row r="197" spans="1:12" ht="13.15" customHeight="1" x14ac:dyDescent="0.25">
      <c r="A197" s="224" t="s">
        <v>1090</v>
      </c>
      <c r="B197" s="1" t="s">
        <v>523</v>
      </c>
      <c r="C197" s="4" t="s">
        <v>1099</v>
      </c>
      <c r="D197" s="2">
        <v>4</v>
      </c>
      <c r="E197" s="2" t="s">
        <v>1085</v>
      </c>
      <c r="F197" s="229">
        <f>Таблица3[[#This Row],[Площадь (приват.)]]+Таблица3[[#This Row],[Площадь (муницип.)]]</f>
        <v>1434.6</v>
      </c>
      <c r="G197">
        <v>2168.1</v>
      </c>
      <c r="H197">
        <v>1374.8</v>
      </c>
      <c r="I197">
        <v>59.8</v>
      </c>
      <c r="J197">
        <v>733.5</v>
      </c>
      <c r="K197">
        <v>23</v>
      </c>
      <c r="L197" s="3"/>
    </row>
    <row r="198" spans="1:12" ht="13.15" customHeight="1" x14ac:dyDescent="0.25">
      <c r="A198" s="224" t="s">
        <v>1098</v>
      </c>
      <c r="B198" s="1" t="s">
        <v>623</v>
      </c>
      <c r="C198" s="4" t="s">
        <v>1099</v>
      </c>
      <c r="D198" s="2">
        <v>5</v>
      </c>
      <c r="E198" s="2"/>
      <c r="F198" s="229">
        <f>Таблица3[[#This Row],[Площадь (приват.)]]+Таблица3[[#This Row],[Площадь (муницип.)]]</f>
        <v>7360</v>
      </c>
      <c r="G198">
        <v>8183.8</v>
      </c>
      <c r="H198">
        <v>7360</v>
      </c>
      <c r="I198">
        <v>0</v>
      </c>
      <c r="J198">
        <v>823.8</v>
      </c>
      <c r="K198">
        <v>107</v>
      </c>
      <c r="L198" s="3"/>
    </row>
    <row r="199" spans="1:12" ht="13.15" customHeight="1" x14ac:dyDescent="0.25">
      <c r="A199" s="224" t="s">
        <v>1098</v>
      </c>
      <c r="B199" s="1" t="s">
        <v>624</v>
      </c>
      <c r="C199" s="4" t="s">
        <v>1099</v>
      </c>
      <c r="D199" s="2">
        <v>5</v>
      </c>
      <c r="E199" s="2" t="s">
        <v>1085</v>
      </c>
      <c r="F199" s="229">
        <f>Таблица3[[#This Row],[Площадь (приват.)]]+Таблица3[[#This Row],[Площадь (муницип.)]]</f>
        <v>3734.4</v>
      </c>
      <c r="G199">
        <v>3887.3</v>
      </c>
      <c r="H199">
        <v>3681.8</v>
      </c>
      <c r="I199">
        <v>52.6</v>
      </c>
      <c r="J199">
        <v>152.9</v>
      </c>
      <c r="K199">
        <v>55</v>
      </c>
      <c r="L199" s="3"/>
    </row>
    <row r="200" spans="1:12" ht="13.15" customHeight="1" x14ac:dyDescent="0.25">
      <c r="A200" s="224" t="s">
        <v>1098</v>
      </c>
      <c r="B200" s="1" t="s">
        <v>625</v>
      </c>
      <c r="C200" s="4" t="s">
        <v>1099</v>
      </c>
      <c r="D200" s="2">
        <v>5</v>
      </c>
      <c r="E200" s="2" t="s">
        <v>1092</v>
      </c>
      <c r="F200" s="229">
        <f>Таблица3[[#This Row],[Площадь (приват.)]]+Таблица3[[#This Row],[Площадь (муницип.)]]</f>
        <v>3574.8</v>
      </c>
      <c r="G200">
        <v>3873</v>
      </c>
      <c r="H200">
        <v>3574.8</v>
      </c>
      <c r="I200">
        <v>0</v>
      </c>
      <c r="J200">
        <v>298.2</v>
      </c>
      <c r="K200">
        <v>57</v>
      </c>
      <c r="L200" s="3"/>
    </row>
    <row r="201" spans="1:12" ht="13.15" customHeight="1" x14ac:dyDescent="0.25">
      <c r="A201" s="224" t="s">
        <v>1084</v>
      </c>
      <c r="B201" s="1" t="s">
        <v>609</v>
      </c>
      <c r="C201" s="4" t="s">
        <v>1101</v>
      </c>
      <c r="D201" s="2">
        <v>23</v>
      </c>
      <c r="E201" s="2"/>
      <c r="F201" s="229">
        <f>Таблица3[[#This Row],[Площадь (приват.)]]+Таблица3[[#This Row],[Площадь (муницип.)]]</f>
        <v>965.80000000000007</v>
      </c>
      <c r="G201">
        <v>965.8</v>
      </c>
      <c r="H201">
        <v>933.1</v>
      </c>
      <c r="I201">
        <v>32.700000000000003</v>
      </c>
      <c r="J201">
        <v>0</v>
      </c>
      <c r="K201">
        <v>24</v>
      </c>
      <c r="L201" s="3"/>
    </row>
    <row r="202" spans="1:12" ht="13.15" customHeight="1" x14ac:dyDescent="0.25">
      <c r="A202" s="224" t="s">
        <v>1088</v>
      </c>
      <c r="B202" s="1" t="s">
        <v>378</v>
      </c>
      <c r="C202" s="4" t="s">
        <v>1102</v>
      </c>
      <c r="D202" s="2">
        <v>10</v>
      </c>
      <c r="E202" s="2"/>
      <c r="F202" s="229">
        <f>Таблица3[[#This Row],[Площадь (приват.)]]+Таблица3[[#This Row],[Площадь (муницип.)]]</f>
        <v>733.6</v>
      </c>
      <c r="G202">
        <v>883.6</v>
      </c>
      <c r="H202">
        <v>733.6</v>
      </c>
      <c r="I202">
        <v>0</v>
      </c>
      <c r="J202">
        <v>150</v>
      </c>
      <c r="K202">
        <v>12</v>
      </c>
      <c r="L202" s="3"/>
    </row>
    <row r="203" spans="1:12" ht="13.15" customHeight="1" x14ac:dyDescent="0.25">
      <c r="A203" s="224" t="s">
        <v>1088</v>
      </c>
      <c r="B203" s="1" t="s">
        <v>379</v>
      </c>
      <c r="C203" s="4" t="s">
        <v>1102</v>
      </c>
      <c r="D203" s="2">
        <v>11</v>
      </c>
      <c r="E203" s="2"/>
      <c r="F203" s="229">
        <f>Таблица3[[#This Row],[Площадь (приват.)]]+Таблица3[[#This Row],[Площадь (муницип.)]]</f>
        <v>1659.04</v>
      </c>
      <c r="G203">
        <v>1740.34</v>
      </c>
      <c r="H203">
        <v>1659.04</v>
      </c>
      <c r="I203">
        <v>0</v>
      </c>
      <c r="J203">
        <v>81.3</v>
      </c>
      <c r="K203">
        <v>27</v>
      </c>
      <c r="L203" s="3"/>
    </row>
    <row r="204" spans="1:12" ht="13.15" customHeight="1" x14ac:dyDescent="0.25">
      <c r="A204" s="224" t="s">
        <v>1088</v>
      </c>
      <c r="B204" s="1" t="s">
        <v>380</v>
      </c>
      <c r="C204" s="4" t="s">
        <v>1102</v>
      </c>
      <c r="D204" s="2">
        <v>12</v>
      </c>
      <c r="E204" s="2"/>
      <c r="F204" s="229">
        <f>Таблица3[[#This Row],[Площадь (приват.)]]+Таблица3[[#This Row],[Площадь (муницип.)]]</f>
        <v>817.9</v>
      </c>
      <c r="G204">
        <v>884.7</v>
      </c>
      <c r="H204">
        <v>817.9</v>
      </c>
      <c r="I204">
        <v>0</v>
      </c>
      <c r="J204">
        <v>66.8</v>
      </c>
      <c r="K204">
        <v>14</v>
      </c>
      <c r="L204" s="3"/>
    </row>
    <row r="205" spans="1:12" ht="13.15" customHeight="1" x14ac:dyDescent="0.25">
      <c r="A205" s="224" t="s">
        <v>1088</v>
      </c>
      <c r="B205" s="1" t="s">
        <v>381</v>
      </c>
      <c r="C205" s="4" t="s">
        <v>1102</v>
      </c>
      <c r="D205" s="2">
        <v>13</v>
      </c>
      <c r="E205" s="2"/>
      <c r="F205" s="229">
        <f>Таблица3[[#This Row],[Площадь (приват.)]]+Таблица3[[#This Row],[Площадь (муницип.)]]</f>
        <v>1522.5</v>
      </c>
      <c r="G205">
        <v>1599.8</v>
      </c>
      <c r="H205">
        <v>1522.5</v>
      </c>
      <c r="I205">
        <v>0</v>
      </c>
      <c r="J205">
        <v>77.3</v>
      </c>
      <c r="K205">
        <v>27</v>
      </c>
      <c r="L205" s="3"/>
    </row>
    <row r="206" spans="1:12" ht="13.15" customHeight="1" x14ac:dyDescent="0.25">
      <c r="A206" s="224" t="s">
        <v>1088</v>
      </c>
      <c r="B206" s="1" t="s">
        <v>382</v>
      </c>
      <c r="C206" s="4" t="s">
        <v>1102</v>
      </c>
      <c r="D206" s="2">
        <v>13</v>
      </c>
      <c r="E206" s="2" t="s">
        <v>1085</v>
      </c>
      <c r="F206" s="229">
        <f>Таблица3[[#This Row],[Площадь (приват.)]]+Таблица3[[#This Row],[Площадь (муницип.)]]</f>
        <v>1090.8699999999999</v>
      </c>
      <c r="G206">
        <v>1301.57</v>
      </c>
      <c r="H206">
        <v>1090.8699999999999</v>
      </c>
      <c r="I206">
        <v>0</v>
      </c>
      <c r="J206">
        <v>210.7</v>
      </c>
      <c r="K206">
        <v>22</v>
      </c>
      <c r="L206" s="3"/>
    </row>
    <row r="207" spans="1:12" ht="13.15" customHeight="1" x14ac:dyDescent="0.25">
      <c r="A207" s="224" t="s">
        <v>1088</v>
      </c>
      <c r="B207" s="1" t="s">
        <v>383</v>
      </c>
      <c r="C207" s="4" t="s">
        <v>1102</v>
      </c>
      <c r="D207" s="2">
        <v>14</v>
      </c>
      <c r="E207" s="2"/>
      <c r="F207" s="229">
        <f>Таблица3[[#This Row],[Площадь (приват.)]]+Таблица3[[#This Row],[Площадь (муницип.)]]</f>
        <v>794</v>
      </c>
      <c r="G207">
        <v>862.3</v>
      </c>
      <c r="H207">
        <v>794</v>
      </c>
      <c r="I207">
        <v>0</v>
      </c>
      <c r="J207">
        <v>68.3</v>
      </c>
      <c r="K207">
        <v>12</v>
      </c>
      <c r="L207" s="3"/>
    </row>
    <row r="208" spans="1:12" ht="13.15" customHeight="1" x14ac:dyDescent="0.25">
      <c r="A208" s="224" t="s">
        <v>1088</v>
      </c>
      <c r="B208" s="1" t="s">
        <v>384</v>
      </c>
      <c r="C208" s="4" t="s">
        <v>1102</v>
      </c>
      <c r="D208" s="2">
        <v>15</v>
      </c>
      <c r="E208" s="2"/>
      <c r="F208" s="229">
        <f>Таблица3[[#This Row],[Площадь (приват.)]]+Таблица3[[#This Row],[Площадь (муницип.)]]</f>
        <v>1388.8</v>
      </c>
      <c r="G208">
        <v>1632.8</v>
      </c>
      <c r="H208">
        <v>1388.8</v>
      </c>
      <c r="I208">
        <v>0</v>
      </c>
      <c r="J208">
        <v>244</v>
      </c>
      <c r="K208">
        <v>22</v>
      </c>
      <c r="L208" s="3"/>
    </row>
    <row r="209" spans="1:12" ht="13.15" customHeight="1" x14ac:dyDescent="0.25">
      <c r="A209" s="224" t="s">
        <v>1088</v>
      </c>
      <c r="B209" s="1" t="s">
        <v>385</v>
      </c>
      <c r="C209" s="4" t="s">
        <v>1102</v>
      </c>
      <c r="D209" s="2">
        <v>16</v>
      </c>
      <c r="E209" s="2"/>
      <c r="F209" s="229">
        <f>Таблица3[[#This Row],[Площадь (приват.)]]+Таблица3[[#This Row],[Площадь (муницип.)]]</f>
        <v>728.30000000000007</v>
      </c>
      <c r="G209">
        <v>912</v>
      </c>
      <c r="H209">
        <v>673.1</v>
      </c>
      <c r="I209">
        <v>55.2</v>
      </c>
      <c r="J209">
        <v>183.7</v>
      </c>
      <c r="K209">
        <v>12</v>
      </c>
      <c r="L209" s="3"/>
    </row>
    <row r="210" spans="1:12" ht="13.15" customHeight="1" x14ac:dyDescent="0.25">
      <c r="A210" s="224" t="s">
        <v>1089</v>
      </c>
      <c r="B210" s="1" t="s">
        <v>467</v>
      </c>
      <c r="C210" s="4" t="s">
        <v>1102</v>
      </c>
      <c r="D210" s="2">
        <v>17</v>
      </c>
      <c r="E210" s="2"/>
      <c r="F210" s="229">
        <f>Таблица3[[#This Row],[Площадь (приват.)]]+Таблица3[[#This Row],[Площадь (муницип.)]]</f>
        <v>1699.1</v>
      </c>
      <c r="G210">
        <v>1976.6</v>
      </c>
      <c r="H210">
        <v>1699.1</v>
      </c>
      <c r="I210">
        <v>0</v>
      </c>
      <c r="J210">
        <v>277.5</v>
      </c>
      <c r="K210">
        <v>27</v>
      </c>
      <c r="L210" s="3"/>
    </row>
    <row r="211" spans="1:12" ht="13.15" customHeight="1" x14ac:dyDescent="0.25">
      <c r="A211" s="224" t="s">
        <v>1088</v>
      </c>
      <c r="B211" s="1" t="s">
        <v>386</v>
      </c>
      <c r="C211" s="4" t="s">
        <v>1102</v>
      </c>
      <c r="D211" s="2">
        <v>18</v>
      </c>
      <c r="E211" s="2"/>
      <c r="F211" s="229">
        <f>Таблица3[[#This Row],[Площадь (приват.)]]+Таблица3[[#This Row],[Площадь (муницип.)]]</f>
        <v>960.6</v>
      </c>
      <c r="G211">
        <v>1150.7</v>
      </c>
      <c r="H211">
        <v>960.6</v>
      </c>
      <c r="I211">
        <v>0</v>
      </c>
      <c r="J211">
        <v>190.1</v>
      </c>
      <c r="K211">
        <v>15</v>
      </c>
      <c r="L211" s="3"/>
    </row>
    <row r="212" spans="1:12" ht="13.15" customHeight="1" x14ac:dyDescent="0.25">
      <c r="A212" s="224" t="s">
        <v>1089</v>
      </c>
      <c r="B212" s="1" t="s">
        <v>468</v>
      </c>
      <c r="C212" s="4" t="s">
        <v>1102</v>
      </c>
      <c r="D212" s="2">
        <v>19</v>
      </c>
      <c r="E212" s="2"/>
      <c r="F212" s="229">
        <f>Таблица3[[#This Row],[Площадь (приват.)]]+Таблица3[[#This Row],[Площадь (муницип.)]]</f>
        <v>1329.6</v>
      </c>
      <c r="G212">
        <v>1329.6</v>
      </c>
      <c r="H212">
        <v>1329.6</v>
      </c>
      <c r="I212">
        <v>0</v>
      </c>
      <c r="J212">
        <v>0</v>
      </c>
      <c r="K212">
        <v>26</v>
      </c>
      <c r="L212" s="3"/>
    </row>
    <row r="213" spans="1:12" ht="13.15" customHeight="1" x14ac:dyDescent="0.25">
      <c r="A213" s="224" t="s">
        <v>1089</v>
      </c>
      <c r="B213" s="1" t="s">
        <v>469</v>
      </c>
      <c r="C213" s="4" t="s">
        <v>1102</v>
      </c>
      <c r="D213" s="2">
        <v>19</v>
      </c>
      <c r="E213" s="2" t="s">
        <v>1085</v>
      </c>
      <c r="F213" s="229">
        <f>Таблица3[[#This Row],[Площадь (приват.)]]+Таблица3[[#This Row],[Площадь (муницип.)]]</f>
        <v>1371</v>
      </c>
      <c r="G213">
        <v>1994.6</v>
      </c>
      <c r="H213">
        <v>1371</v>
      </c>
      <c r="I213">
        <v>0</v>
      </c>
      <c r="J213">
        <v>623.6</v>
      </c>
      <c r="K213">
        <v>23</v>
      </c>
      <c r="L213" s="3"/>
    </row>
    <row r="214" spans="1:12" ht="13.15" customHeight="1" x14ac:dyDescent="0.25">
      <c r="A214" s="224" t="s">
        <v>1088</v>
      </c>
      <c r="B214" s="1" t="s">
        <v>368</v>
      </c>
      <c r="C214" s="4" t="s">
        <v>1102</v>
      </c>
      <c r="D214" s="2">
        <v>2</v>
      </c>
      <c r="E214" s="2"/>
      <c r="F214" s="229">
        <f>Таблица3[[#This Row],[Площадь (приват.)]]+Таблица3[[#This Row],[Площадь (муницип.)]]</f>
        <v>1537.6000000000001</v>
      </c>
      <c r="G214">
        <v>1669.9</v>
      </c>
      <c r="H214">
        <v>1368.91</v>
      </c>
      <c r="I214">
        <v>168.69</v>
      </c>
      <c r="J214">
        <v>132.30000000000001</v>
      </c>
      <c r="K214">
        <v>23</v>
      </c>
      <c r="L214" s="3"/>
    </row>
    <row r="215" spans="1:12" ht="13.15" customHeight="1" x14ac:dyDescent="0.25">
      <c r="A215" s="224" t="s">
        <v>1089</v>
      </c>
      <c r="B215" s="1" t="s">
        <v>470</v>
      </c>
      <c r="C215" s="4" t="s">
        <v>1102</v>
      </c>
      <c r="D215" s="2">
        <v>22</v>
      </c>
      <c r="E215" s="2"/>
      <c r="F215" s="229">
        <f>Таблица3[[#This Row],[Площадь (приват.)]]+Таблица3[[#This Row],[Площадь (муницип.)]]</f>
        <v>804.8</v>
      </c>
      <c r="G215">
        <v>804.8</v>
      </c>
      <c r="H215">
        <v>804.8</v>
      </c>
      <c r="I215">
        <v>0</v>
      </c>
      <c r="J215">
        <v>0</v>
      </c>
      <c r="K215">
        <v>12</v>
      </c>
      <c r="L215" s="3"/>
    </row>
    <row r="216" spans="1:12" ht="13.15" customHeight="1" x14ac:dyDescent="0.25">
      <c r="A216" s="224" t="s">
        <v>1089</v>
      </c>
      <c r="B216" s="1" t="s">
        <v>471</v>
      </c>
      <c r="C216" s="4" t="s">
        <v>1102</v>
      </c>
      <c r="D216" s="2">
        <v>22</v>
      </c>
      <c r="E216" s="2" t="s">
        <v>1092</v>
      </c>
      <c r="F216" s="229">
        <f>Таблица3[[#This Row],[Площадь (приват.)]]+Таблица3[[#This Row],[Площадь (муницип.)]]</f>
        <v>762.3</v>
      </c>
      <c r="G216">
        <v>980.8</v>
      </c>
      <c r="H216">
        <v>762.3</v>
      </c>
      <c r="I216">
        <v>0</v>
      </c>
      <c r="J216">
        <v>218.5</v>
      </c>
      <c r="K216">
        <v>16</v>
      </c>
      <c r="L216" s="3"/>
    </row>
    <row r="217" spans="1:12" ht="13.15" customHeight="1" x14ac:dyDescent="0.25">
      <c r="A217" s="224" t="s">
        <v>1089</v>
      </c>
      <c r="B217" s="1" t="s">
        <v>472</v>
      </c>
      <c r="C217" s="4" t="s">
        <v>1102</v>
      </c>
      <c r="D217" s="2">
        <v>23</v>
      </c>
      <c r="E217" s="2"/>
      <c r="F217" s="229">
        <f>Таблица3[[#This Row],[Площадь (приват.)]]+Таблица3[[#This Row],[Площадь (муницип.)]]</f>
        <v>1281.5999999999999</v>
      </c>
      <c r="G217">
        <v>1328.4</v>
      </c>
      <c r="H217">
        <v>1281.5999999999999</v>
      </c>
      <c r="I217">
        <v>0</v>
      </c>
      <c r="J217">
        <v>46.8</v>
      </c>
      <c r="K217">
        <v>25</v>
      </c>
      <c r="L217" s="3"/>
    </row>
    <row r="218" spans="1:12" ht="13.15" customHeight="1" x14ac:dyDescent="0.25">
      <c r="A218" s="224" t="s">
        <v>1089</v>
      </c>
      <c r="B218" s="1" t="s">
        <v>473</v>
      </c>
      <c r="C218" s="4" t="s">
        <v>1102</v>
      </c>
      <c r="D218" s="2">
        <v>23</v>
      </c>
      <c r="E218" s="2" t="s">
        <v>1085</v>
      </c>
      <c r="F218" s="229">
        <f>Таблица3[[#This Row],[Площадь (приват.)]]+Таблица3[[#This Row],[Площадь (муницип.)]]</f>
        <v>1370.4</v>
      </c>
      <c r="G218">
        <v>1982.1</v>
      </c>
      <c r="H218">
        <v>1370.4</v>
      </c>
      <c r="I218">
        <v>0</v>
      </c>
      <c r="J218">
        <v>611.70000000000005</v>
      </c>
      <c r="K218">
        <v>23</v>
      </c>
      <c r="L218" s="3"/>
    </row>
    <row r="219" spans="1:12" ht="13.15" customHeight="1" x14ac:dyDescent="0.25">
      <c r="A219" s="224" t="s">
        <v>1089</v>
      </c>
      <c r="B219" s="1" t="s">
        <v>474</v>
      </c>
      <c r="C219" s="4" t="s">
        <v>1102</v>
      </c>
      <c r="D219" s="2">
        <v>26</v>
      </c>
      <c r="E219" s="2"/>
      <c r="F219" s="229">
        <f>Таблица3[[#This Row],[Площадь (приват.)]]+Таблица3[[#This Row],[Площадь (муницип.)]]</f>
        <v>778</v>
      </c>
      <c r="G219">
        <v>778</v>
      </c>
      <c r="H219">
        <v>778</v>
      </c>
      <c r="I219">
        <v>0</v>
      </c>
      <c r="J219">
        <v>0</v>
      </c>
      <c r="K219">
        <v>12</v>
      </c>
      <c r="L219" s="3"/>
    </row>
    <row r="220" spans="1:12" ht="13.15" customHeight="1" x14ac:dyDescent="0.25">
      <c r="A220" s="224" t="s">
        <v>1089</v>
      </c>
      <c r="B220" s="1" t="s">
        <v>475</v>
      </c>
      <c r="C220" s="4" t="s">
        <v>1102</v>
      </c>
      <c r="D220" s="2">
        <v>26</v>
      </c>
      <c r="E220" s="2" t="s">
        <v>1085</v>
      </c>
      <c r="F220" s="229">
        <f>Таблица3[[#This Row],[Площадь (приват.)]]+Таблица3[[#This Row],[Площадь (муницип.)]]</f>
        <v>761.6</v>
      </c>
      <c r="G220">
        <v>866.7</v>
      </c>
      <c r="H220">
        <v>711.1</v>
      </c>
      <c r="I220">
        <v>50.5</v>
      </c>
      <c r="J220">
        <v>105.1</v>
      </c>
      <c r="K220">
        <v>16</v>
      </c>
      <c r="L220" s="3"/>
    </row>
    <row r="221" spans="1:12" ht="13.15" customHeight="1" x14ac:dyDescent="0.25">
      <c r="A221" s="224" t="s">
        <v>1089</v>
      </c>
      <c r="B221" s="1" t="s">
        <v>476</v>
      </c>
      <c r="C221" s="4" t="s">
        <v>1102</v>
      </c>
      <c r="D221" s="2">
        <v>26</v>
      </c>
      <c r="E221" s="2" t="s">
        <v>1092</v>
      </c>
      <c r="F221" s="229">
        <f>Таблица3[[#This Row],[Площадь (приват.)]]+Таблица3[[#This Row],[Площадь (муницип.)]]</f>
        <v>794.8</v>
      </c>
      <c r="G221">
        <v>874.9</v>
      </c>
      <c r="H221">
        <v>794.8</v>
      </c>
      <c r="I221">
        <v>0</v>
      </c>
      <c r="J221">
        <v>80.099999999999994</v>
      </c>
      <c r="K221">
        <v>15</v>
      </c>
      <c r="L221" s="3"/>
    </row>
    <row r="222" spans="1:12" ht="13.15" customHeight="1" x14ac:dyDescent="0.25">
      <c r="A222" s="224" t="s">
        <v>1089</v>
      </c>
      <c r="B222" s="1" t="s">
        <v>477</v>
      </c>
      <c r="C222" s="4" t="s">
        <v>1102</v>
      </c>
      <c r="D222" s="2">
        <v>28</v>
      </c>
      <c r="E222" s="2"/>
      <c r="F222" s="229">
        <f>Таблица3[[#This Row],[Площадь (приват.)]]+Таблица3[[#This Row],[Площадь (муницип.)]]</f>
        <v>1042.4000000000001</v>
      </c>
      <c r="G222">
        <v>1274.5999999999999</v>
      </c>
      <c r="H222">
        <v>1042.4000000000001</v>
      </c>
      <c r="I222">
        <v>0</v>
      </c>
      <c r="J222">
        <v>232.2</v>
      </c>
      <c r="K222">
        <v>17</v>
      </c>
      <c r="L222" s="3"/>
    </row>
    <row r="223" spans="1:12" ht="13.15" customHeight="1" x14ac:dyDescent="0.25">
      <c r="A223" s="224" t="s">
        <v>1088</v>
      </c>
      <c r="B223" s="1" t="s">
        <v>369</v>
      </c>
      <c r="C223" s="4" t="s">
        <v>1102</v>
      </c>
      <c r="D223" s="2">
        <v>3</v>
      </c>
      <c r="E223" s="2"/>
      <c r="F223" s="229">
        <f>Таблица3[[#This Row],[Площадь (приват.)]]+Таблица3[[#This Row],[Площадь (муницип.)]]</f>
        <v>1445.8</v>
      </c>
      <c r="G223">
        <v>1678.5</v>
      </c>
      <c r="H223">
        <v>1445.8</v>
      </c>
      <c r="I223">
        <v>0</v>
      </c>
      <c r="J223">
        <v>232.7</v>
      </c>
      <c r="K223">
        <v>25</v>
      </c>
      <c r="L223" s="3"/>
    </row>
    <row r="224" spans="1:12" ht="13.15" customHeight="1" x14ac:dyDescent="0.25">
      <c r="A224" s="224" t="s">
        <v>1088</v>
      </c>
      <c r="B224" s="1" t="s">
        <v>370</v>
      </c>
      <c r="C224" s="4" t="s">
        <v>1102</v>
      </c>
      <c r="D224" s="2">
        <v>3</v>
      </c>
      <c r="E224" s="2" t="s">
        <v>1085</v>
      </c>
      <c r="F224" s="229">
        <f>Таблица3[[#This Row],[Площадь (приват.)]]+Таблица3[[#This Row],[Площадь (муницип.)]]</f>
        <v>1693.3</v>
      </c>
      <c r="G224">
        <v>1693.3</v>
      </c>
      <c r="H224">
        <v>1661.8</v>
      </c>
      <c r="I224">
        <v>31.5</v>
      </c>
      <c r="J224">
        <v>0</v>
      </c>
      <c r="K224">
        <v>30</v>
      </c>
      <c r="L224" s="3"/>
    </row>
    <row r="225" spans="1:12" ht="13.15" customHeight="1" x14ac:dyDescent="0.25">
      <c r="A225" s="224" t="s">
        <v>1088</v>
      </c>
      <c r="B225" s="1" t="s">
        <v>371</v>
      </c>
      <c r="C225" s="4" t="s">
        <v>1102</v>
      </c>
      <c r="D225" s="2">
        <v>3</v>
      </c>
      <c r="E225" s="2" t="s">
        <v>1092</v>
      </c>
      <c r="F225" s="229">
        <f>Таблица3[[#This Row],[Площадь (приват.)]]+Таблица3[[#This Row],[Площадь (муницип.)]]</f>
        <v>1079.78</v>
      </c>
      <c r="G225">
        <v>1341.68</v>
      </c>
      <c r="H225">
        <v>1079.78</v>
      </c>
      <c r="I225">
        <v>0</v>
      </c>
      <c r="J225">
        <v>261.89999999999998</v>
      </c>
      <c r="K225">
        <v>24</v>
      </c>
      <c r="L225" s="3"/>
    </row>
    <row r="226" spans="1:12" ht="13.15" customHeight="1" x14ac:dyDescent="0.25">
      <c r="A226" s="224" t="s">
        <v>1089</v>
      </c>
      <c r="B226" s="1" t="s">
        <v>478</v>
      </c>
      <c r="C226" s="4" t="s">
        <v>1102</v>
      </c>
      <c r="D226" s="2">
        <v>34</v>
      </c>
      <c r="E226" s="2"/>
      <c r="F226" s="229">
        <f>Таблица3[[#This Row],[Площадь (приват.)]]+Таблица3[[#This Row],[Площадь (муницип.)]]</f>
        <v>3627.6</v>
      </c>
      <c r="G226">
        <v>3815.8</v>
      </c>
      <c r="H226">
        <v>3627.6</v>
      </c>
      <c r="I226">
        <v>0</v>
      </c>
      <c r="J226">
        <v>188.2</v>
      </c>
      <c r="K226">
        <v>61</v>
      </c>
      <c r="L226" s="3"/>
    </row>
    <row r="227" spans="1:12" ht="13.15" customHeight="1" x14ac:dyDescent="0.25">
      <c r="A227" s="224" t="s">
        <v>1088</v>
      </c>
      <c r="B227" s="1" t="s">
        <v>372</v>
      </c>
      <c r="C227" s="4" t="s">
        <v>1102</v>
      </c>
      <c r="D227" s="2">
        <v>4</v>
      </c>
      <c r="E227" s="2"/>
      <c r="F227" s="229">
        <f>Таблица3[[#This Row],[Площадь (приват.)]]+Таблица3[[#This Row],[Площадь (муницип.)]]</f>
        <v>1226</v>
      </c>
      <c r="G227">
        <v>1563.4</v>
      </c>
      <c r="H227">
        <v>1226</v>
      </c>
      <c r="I227">
        <v>0</v>
      </c>
      <c r="J227">
        <v>337.4</v>
      </c>
      <c r="K227">
        <v>20</v>
      </c>
      <c r="L227" s="3"/>
    </row>
    <row r="228" spans="1:12" ht="13.15" customHeight="1" x14ac:dyDescent="0.25">
      <c r="A228" s="224" t="s">
        <v>1088</v>
      </c>
      <c r="B228" s="1" t="s">
        <v>373</v>
      </c>
      <c r="C228" s="4" t="s">
        <v>1102</v>
      </c>
      <c r="D228" s="2">
        <v>5</v>
      </c>
      <c r="E228" s="2"/>
      <c r="F228" s="229">
        <f>Таблица3[[#This Row],[Площадь (приват.)]]+Таблица3[[#This Row],[Площадь (муницип.)]]</f>
        <v>1493.5</v>
      </c>
      <c r="G228">
        <v>1783.2</v>
      </c>
      <c r="H228">
        <v>1426.7</v>
      </c>
      <c r="I228">
        <v>66.8</v>
      </c>
      <c r="J228">
        <v>289.7</v>
      </c>
      <c r="K228">
        <v>27</v>
      </c>
      <c r="L228" s="3"/>
    </row>
    <row r="229" spans="1:12" ht="13.15" customHeight="1" x14ac:dyDescent="0.25">
      <c r="A229" s="224" t="s">
        <v>1088</v>
      </c>
      <c r="B229" s="1" t="s">
        <v>374</v>
      </c>
      <c r="C229" s="4" t="s">
        <v>1102</v>
      </c>
      <c r="D229" s="2">
        <v>6</v>
      </c>
      <c r="E229" s="2"/>
      <c r="F229" s="229">
        <f>Таблица3[[#This Row],[Площадь (приват.)]]+Таблица3[[#This Row],[Площадь (муницип.)]]</f>
        <v>1429.5</v>
      </c>
      <c r="G229">
        <v>1650.6</v>
      </c>
      <c r="H229">
        <v>1429.5</v>
      </c>
      <c r="I229">
        <v>0</v>
      </c>
      <c r="J229">
        <v>221.1</v>
      </c>
      <c r="K229">
        <v>22</v>
      </c>
      <c r="L229" s="3"/>
    </row>
    <row r="230" spans="1:12" ht="13.15" customHeight="1" x14ac:dyDescent="0.25">
      <c r="A230" s="224" t="s">
        <v>1088</v>
      </c>
      <c r="B230" s="1" t="s">
        <v>1325</v>
      </c>
      <c r="C230" s="4" t="s">
        <v>1102</v>
      </c>
      <c r="D230" s="2">
        <v>7</v>
      </c>
      <c r="E230" s="2"/>
      <c r="F230" s="229">
        <f>Таблица3[[#This Row],[Площадь (приват.)]]+Таблица3[[#This Row],[Площадь (муницип.)]]</f>
        <v>1512</v>
      </c>
      <c r="G230">
        <v>1580.2</v>
      </c>
      <c r="H230">
        <v>1512</v>
      </c>
      <c r="I230">
        <v>0</v>
      </c>
      <c r="J230">
        <v>68.2</v>
      </c>
      <c r="K230">
        <v>24</v>
      </c>
      <c r="L230" s="3"/>
    </row>
    <row r="231" spans="1:12" ht="13.15" customHeight="1" x14ac:dyDescent="0.25">
      <c r="A231" s="224" t="s">
        <v>1088</v>
      </c>
      <c r="B231" s="1" t="s">
        <v>375</v>
      </c>
      <c r="C231" s="4" t="s">
        <v>1102</v>
      </c>
      <c r="D231" s="2">
        <v>8</v>
      </c>
      <c r="E231" s="2"/>
      <c r="F231" s="229">
        <f>Таблица3[[#This Row],[Площадь (приват.)]]+Таблица3[[#This Row],[Площадь (муницип.)]]</f>
        <v>796.5</v>
      </c>
      <c r="G231">
        <v>796.5</v>
      </c>
      <c r="H231">
        <v>796.5</v>
      </c>
      <c r="I231">
        <v>0</v>
      </c>
      <c r="J231">
        <v>0</v>
      </c>
      <c r="K231">
        <v>11</v>
      </c>
      <c r="L231" s="3"/>
    </row>
    <row r="232" spans="1:12" ht="13.15" customHeight="1" x14ac:dyDescent="0.25">
      <c r="A232" s="224" t="s">
        <v>1088</v>
      </c>
      <c r="B232" s="1" t="s">
        <v>376</v>
      </c>
      <c r="C232" s="4" t="s">
        <v>1102</v>
      </c>
      <c r="D232" s="2">
        <v>9</v>
      </c>
      <c r="E232" s="2"/>
      <c r="F232" s="229">
        <f>Таблица3[[#This Row],[Площадь (приват.)]]+Таблица3[[#This Row],[Площадь (муницип.)]]</f>
        <v>1512.8</v>
      </c>
      <c r="G232">
        <v>1594.9</v>
      </c>
      <c r="H232">
        <v>1481.1</v>
      </c>
      <c r="I232">
        <v>31.7</v>
      </c>
      <c r="J232">
        <v>82.1</v>
      </c>
      <c r="K232">
        <v>27</v>
      </c>
      <c r="L232" s="3"/>
    </row>
    <row r="233" spans="1:12" ht="13.15" customHeight="1" x14ac:dyDescent="0.25">
      <c r="A233" s="224" t="s">
        <v>1088</v>
      </c>
      <c r="B233" s="1" t="s">
        <v>377</v>
      </c>
      <c r="C233" s="4" t="s">
        <v>1102</v>
      </c>
      <c r="D233" s="2">
        <v>9</v>
      </c>
      <c r="E233" s="2" t="s">
        <v>1085</v>
      </c>
      <c r="F233" s="229">
        <f>Таблица3[[#This Row],[Площадь (приват.)]]+Таблица3[[#This Row],[Площадь (муницип.)]]</f>
        <v>1106.8</v>
      </c>
      <c r="G233">
        <v>1324.8</v>
      </c>
      <c r="H233">
        <v>1106.8</v>
      </c>
      <c r="I233">
        <v>0</v>
      </c>
      <c r="J233">
        <v>218</v>
      </c>
      <c r="K233">
        <v>24</v>
      </c>
      <c r="L233" s="3"/>
    </row>
    <row r="234" spans="1:12" ht="13.15" customHeight="1" x14ac:dyDescent="0.25">
      <c r="A234" s="224" t="s">
        <v>1086</v>
      </c>
      <c r="B234" s="1" t="s">
        <v>714</v>
      </c>
      <c r="C234" s="4" t="s">
        <v>1103</v>
      </c>
      <c r="D234" s="2">
        <v>16</v>
      </c>
      <c r="E234" s="2"/>
      <c r="F234" s="229">
        <f>Таблица3[[#This Row],[Площадь (приват.)]]+Таблица3[[#This Row],[Площадь (муницип.)]]</f>
        <v>524.70000000000005</v>
      </c>
      <c r="G234">
        <v>524.70000000000005</v>
      </c>
      <c r="H234">
        <v>524.70000000000005</v>
      </c>
      <c r="I234">
        <v>0</v>
      </c>
      <c r="J234">
        <v>0</v>
      </c>
      <c r="K234">
        <v>16</v>
      </c>
      <c r="L234" s="3"/>
    </row>
    <row r="235" spans="1:12" ht="13.15" customHeight="1" x14ac:dyDescent="0.25">
      <c r="A235" s="224" t="s">
        <v>1086</v>
      </c>
      <c r="B235" s="1" t="s">
        <v>715</v>
      </c>
      <c r="C235" s="4" t="s">
        <v>1103</v>
      </c>
      <c r="D235" s="2">
        <v>18</v>
      </c>
      <c r="E235" s="2"/>
      <c r="F235" s="229">
        <f>Таблица3[[#This Row],[Площадь (приват.)]]+Таблица3[[#This Row],[Площадь (муницип.)]]</f>
        <v>516.6</v>
      </c>
      <c r="G235">
        <v>516.6</v>
      </c>
      <c r="H235">
        <v>516.6</v>
      </c>
      <c r="I235">
        <v>0</v>
      </c>
      <c r="J235">
        <v>0</v>
      </c>
      <c r="K235">
        <v>16</v>
      </c>
      <c r="L235" s="3"/>
    </row>
    <row r="236" spans="1:12" ht="13.15" customHeight="1" x14ac:dyDescent="0.25">
      <c r="A236" s="224" t="s">
        <v>1086</v>
      </c>
      <c r="B236" s="1" t="s">
        <v>716</v>
      </c>
      <c r="C236" s="4" t="s">
        <v>1103</v>
      </c>
      <c r="D236" s="2">
        <v>18</v>
      </c>
      <c r="E236" s="2" t="s">
        <v>1085</v>
      </c>
      <c r="F236" s="229">
        <f>Таблица3[[#This Row],[Площадь (приват.)]]+Таблица3[[#This Row],[Площадь (муницип.)]]</f>
        <v>516.20000000000005</v>
      </c>
      <c r="G236">
        <v>516.20000000000005</v>
      </c>
      <c r="H236">
        <v>516.20000000000005</v>
      </c>
      <c r="I236">
        <v>0</v>
      </c>
      <c r="J236">
        <v>0</v>
      </c>
      <c r="K236">
        <v>16</v>
      </c>
      <c r="L236" s="3"/>
    </row>
    <row r="237" spans="1:12" ht="13.15" customHeight="1" x14ac:dyDescent="0.25">
      <c r="A237" s="224" t="s">
        <v>1086</v>
      </c>
      <c r="B237" s="1" t="s">
        <v>717</v>
      </c>
      <c r="C237" s="4" t="s">
        <v>1103</v>
      </c>
      <c r="D237" s="2">
        <v>20</v>
      </c>
      <c r="E237" s="2" t="s">
        <v>1085</v>
      </c>
      <c r="F237" s="229">
        <f>Таблица3[[#This Row],[Площадь (приват.)]]+Таблица3[[#This Row],[Площадь (муницип.)]]</f>
        <v>519.20000000000005</v>
      </c>
      <c r="G237">
        <v>519.20000000000005</v>
      </c>
      <c r="H237">
        <v>519.20000000000005</v>
      </c>
      <c r="I237">
        <v>0</v>
      </c>
      <c r="J237">
        <v>0</v>
      </c>
      <c r="K237">
        <v>16</v>
      </c>
      <c r="L237" s="3"/>
    </row>
    <row r="238" spans="1:12" ht="13.15" customHeight="1" x14ac:dyDescent="0.25">
      <c r="A238" s="224" t="s">
        <v>1086</v>
      </c>
      <c r="B238" s="1" t="s">
        <v>718</v>
      </c>
      <c r="C238" s="4" t="s">
        <v>1103</v>
      </c>
      <c r="D238" s="2">
        <v>22</v>
      </c>
      <c r="E238" s="2"/>
      <c r="F238" s="229">
        <f>Таблица3[[#This Row],[Площадь (приват.)]]+Таблица3[[#This Row],[Площадь (муницип.)]]</f>
        <v>281.8</v>
      </c>
      <c r="G238">
        <v>281.8</v>
      </c>
      <c r="H238">
        <v>281.8</v>
      </c>
      <c r="I238">
        <v>0</v>
      </c>
      <c r="J238">
        <v>0</v>
      </c>
      <c r="K238">
        <v>8</v>
      </c>
      <c r="L238" s="3"/>
    </row>
    <row r="239" spans="1:12" ht="13.15" customHeight="1" x14ac:dyDescent="0.25">
      <c r="A239" s="224" t="s">
        <v>1086</v>
      </c>
      <c r="B239" s="1" t="s">
        <v>719</v>
      </c>
      <c r="C239" s="4" t="s">
        <v>1103</v>
      </c>
      <c r="D239" s="2">
        <v>24</v>
      </c>
      <c r="E239" s="2"/>
      <c r="F239" s="229">
        <f>Таблица3[[#This Row],[Площадь (приват.)]]+Таблица3[[#This Row],[Площадь (муницип.)]]</f>
        <v>514.4</v>
      </c>
      <c r="G239">
        <v>514.4</v>
      </c>
      <c r="H239">
        <v>514.4</v>
      </c>
      <c r="I239">
        <v>0</v>
      </c>
      <c r="J239">
        <v>0</v>
      </c>
      <c r="K239">
        <v>16</v>
      </c>
      <c r="L239" s="3"/>
    </row>
    <row r="240" spans="1:12" ht="13.15" customHeight="1" x14ac:dyDescent="0.25">
      <c r="A240" s="224" t="s">
        <v>1090</v>
      </c>
      <c r="B240" s="1" t="s">
        <v>526</v>
      </c>
      <c r="C240" s="4" t="s">
        <v>1104</v>
      </c>
      <c r="D240" s="2">
        <v>1</v>
      </c>
      <c r="E240" s="2"/>
      <c r="F240" s="229">
        <f>Таблица3[[#This Row],[Площадь (приват.)]]+Таблица3[[#This Row],[Площадь (муницип.)]]</f>
        <v>3446</v>
      </c>
      <c r="G240">
        <v>4284.8999999999996</v>
      </c>
      <c r="H240">
        <v>3339.4</v>
      </c>
      <c r="I240">
        <v>106.6</v>
      </c>
      <c r="J240">
        <v>838.9</v>
      </c>
      <c r="K240">
        <v>60</v>
      </c>
      <c r="L240" s="3"/>
    </row>
    <row r="241" spans="1:12" ht="13.15" customHeight="1" x14ac:dyDescent="0.25">
      <c r="A241" s="224" t="s">
        <v>1090</v>
      </c>
      <c r="B241" s="1" t="s">
        <v>527</v>
      </c>
      <c r="C241" s="4" t="s">
        <v>1104</v>
      </c>
      <c r="D241" s="2">
        <v>1</v>
      </c>
      <c r="E241" s="2" t="s">
        <v>1100</v>
      </c>
      <c r="F241" s="229">
        <f>Таблица3[[#This Row],[Площадь (приват.)]]+Таблица3[[#This Row],[Площадь (муницип.)]]</f>
        <v>2481.4</v>
      </c>
      <c r="G241">
        <v>2980.9</v>
      </c>
      <c r="H241">
        <v>2481.4</v>
      </c>
      <c r="I241">
        <v>0</v>
      </c>
      <c r="J241">
        <v>499.5</v>
      </c>
      <c r="K241">
        <v>33</v>
      </c>
      <c r="L241" s="3"/>
    </row>
    <row r="242" spans="1:12" ht="13.15" customHeight="1" x14ac:dyDescent="0.25">
      <c r="A242" s="224" t="s">
        <v>1088</v>
      </c>
      <c r="B242" s="1" t="s">
        <v>395</v>
      </c>
      <c r="C242" s="4" t="s">
        <v>1104</v>
      </c>
      <c r="D242" s="2">
        <v>10</v>
      </c>
      <c r="E242" s="2"/>
      <c r="F242" s="229">
        <f>Таблица3[[#This Row],[Площадь (приват.)]]+Таблица3[[#This Row],[Площадь (муницип.)]]</f>
        <v>2431.9</v>
      </c>
      <c r="G242">
        <v>2867.9</v>
      </c>
      <c r="H242">
        <v>2353.6</v>
      </c>
      <c r="I242">
        <v>78.3</v>
      </c>
      <c r="J242">
        <v>436</v>
      </c>
      <c r="K242">
        <v>44</v>
      </c>
      <c r="L242" s="3"/>
    </row>
    <row r="243" spans="1:12" ht="13.15" customHeight="1" x14ac:dyDescent="0.25">
      <c r="A243" s="224" t="s">
        <v>1088</v>
      </c>
      <c r="B243" s="1" t="s">
        <v>396</v>
      </c>
      <c r="C243" s="4" t="s">
        <v>1104</v>
      </c>
      <c r="D243" s="2">
        <v>10</v>
      </c>
      <c r="E243" s="2" t="s">
        <v>1085</v>
      </c>
      <c r="F243" s="229">
        <f>Таблица3[[#This Row],[Площадь (приват.)]]+Таблица3[[#This Row],[Площадь (муницип.)]]</f>
        <v>1313.42</v>
      </c>
      <c r="G243">
        <v>1313.42</v>
      </c>
      <c r="H243">
        <v>1313.42</v>
      </c>
      <c r="I243">
        <v>0</v>
      </c>
      <c r="J243">
        <v>0</v>
      </c>
      <c r="K243">
        <v>26</v>
      </c>
      <c r="L243" s="3"/>
    </row>
    <row r="244" spans="1:12" ht="13.15" customHeight="1" x14ac:dyDescent="0.25">
      <c r="A244" s="224" t="s">
        <v>1090</v>
      </c>
      <c r="B244" s="1" t="s">
        <v>536</v>
      </c>
      <c r="C244" s="4" t="s">
        <v>1104</v>
      </c>
      <c r="D244" s="2">
        <v>11</v>
      </c>
      <c r="E244" s="2"/>
      <c r="F244" s="229">
        <f>Таблица3[[#This Row],[Площадь (приват.)]]+Таблица3[[#This Row],[Площадь (муницип.)]]</f>
        <v>4801.1899999999996</v>
      </c>
      <c r="G244">
        <v>6490.79</v>
      </c>
      <c r="H244">
        <v>4801.1899999999996</v>
      </c>
      <c r="I244">
        <v>0</v>
      </c>
      <c r="J244">
        <v>1689.6</v>
      </c>
      <c r="K244">
        <v>64</v>
      </c>
      <c r="L244" s="3"/>
    </row>
    <row r="245" spans="1:12" ht="13.15" customHeight="1" x14ac:dyDescent="0.25">
      <c r="A245" s="224" t="s">
        <v>1088</v>
      </c>
      <c r="B245" s="1" t="s">
        <v>397</v>
      </c>
      <c r="C245" s="4" t="s">
        <v>1104</v>
      </c>
      <c r="D245" s="2">
        <v>12</v>
      </c>
      <c r="E245" s="2"/>
      <c r="F245" s="229">
        <f>Таблица3[[#This Row],[Площадь (приват.)]]+Таблица3[[#This Row],[Площадь (муницип.)]]</f>
        <v>12587.939999999999</v>
      </c>
      <c r="G245">
        <v>14536.94</v>
      </c>
      <c r="H245">
        <v>12389.64</v>
      </c>
      <c r="I245">
        <v>198.3</v>
      </c>
      <c r="J245">
        <v>1949</v>
      </c>
      <c r="K245">
        <v>220</v>
      </c>
      <c r="L245" s="3"/>
    </row>
    <row r="246" spans="1:12" ht="13.15" customHeight="1" x14ac:dyDescent="0.25">
      <c r="A246" s="224" t="s">
        <v>1088</v>
      </c>
      <c r="B246" s="1" t="s">
        <v>398</v>
      </c>
      <c r="C246" s="4" t="s">
        <v>1104</v>
      </c>
      <c r="D246" s="2">
        <v>12</v>
      </c>
      <c r="E246" s="2" t="s">
        <v>1085</v>
      </c>
      <c r="F246" s="229">
        <f>Таблица3[[#This Row],[Площадь (приват.)]]+Таблица3[[#This Row],[Площадь (муницип.)]]</f>
        <v>1115.5</v>
      </c>
      <c r="G246">
        <v>1398</v>
      </c>
      <c r="H246">
        <v>1115.5</v>
      </c>
      <c r="I246">
        <v>0</v>
      </c>
      <c r="J246">
        <v>282.5</v>
      </c>
      <c r="K246">
        <v>18</v>
      </c>
      <c r="L246" s="3"/>
    </row>
    <row r="247" spans="1:12" ht="13.15" customHeight="1" x14ac:dyDescent="0.25">
      <c r="A247" s="224" t="s">
        <v>1088</v>
      </c>
      <c r="B247" s="1" t="s">
        <v>399</v>
      </c>
      <c r="C247" s="4" t="s">
        <v>1104</v>
      </c>
      <c r="D247" s="2">
        <v>12</v>
      </c>
      <c r="E247" s="2" t="s">
        <v>1092</v>
      </c>
      <c r="F247" s="229">
        <f>Таблица3[[#This Row],[Площадь (приват.)]]+Таблица3[[#This Row],[Площадь (муницип.)]]</f>
        <v>1782.32</v>
      </c>
      <c r="G247">
        <v>1871.32</v>
      </c>
      <c r="H247">
        <v>1782.32</v>
      </c>
      <c r="I247">
        <v>0</v>
      </c>
      <c r="J247">
        <v>89</v>
      </c>
      <c r="K247">
        <v>30</v>
      </c>
      <c r="L247" s="3"/>
    </row>
    <row r="248" spans="1:12" ht="13.15" customHeight="1" x14ac:dyDescent="0.25">
      <c r="A248" s="224" t="s">
        <v>1088</v>
      </c>
      <c r="B248" s="1" t="s">
        <v>400</v>
      </c>
      <c r="C248" s="4" t="s">
        <v>1104</v>
      </c>
      <c r="D248" s="2">
        <v>12</v>
      </c>
      <c r="E248" s="2" t="s">
        <v>1094</v>
      </c>
      <c r="F248" s="229">
        <f>Таблица3[[#This Row],[Площадь (приват.)]]+Таблица3[[#This Row],[Площадь (муницип.)]]</f>
        <v>1793.2</v>
      </c>
      <c r="G248">
        <v>1955.9</v>
      </c>
      <c r="H248">
        <v>1738.2</v>
      </c>
      <c r="I248">
        <v>55</v>
      </c>
      <c r="J248">
        <v>162.69999999999999</v>
      </c>
      <c r="K248">
        <v>30</v>
      </c>
      <c r="L248" s="3"/>
    </row>
    <row r="249" spans="1:12" ht="13.15" customHeight="1" x14ac:dyDescent="0.25">
      <c r="A249" s="224" t="s">
        <v>1088</v>
      </c>
      <c r="B249" s="1" t="s">
        <v>401</v>
      </c>
      <c r="C249" s="4" t="s">
        <v>1104</v>
      </c>
      <c r="D249" s="2">
        <v>12</v>
      </c>
      <c r="E249" s="2" t="s">
        <v>1055</v>
      </c>
      <c r="F249" s="229">
        <f>Таблица3[[#This Row],[Площадь (приват.)]]+Таблица3[[#This Row],[Площадь (муницип.)]]</f>
        <v>1112.4000000000001</v>
      </c>
      <c r="G249">
        <v>1299</v>
      </c>
      <c r="H249">
        <v>1112.4000000000001</v>
      </c>
      <c r="I249">
        <v>0</v>
      </c>
      <c r="J249">
        <v>186.6</v>
      </c>
      <c r="K249">
        <v>18</v>
      </c>
      <c r="L249" s="3"/>
    </row>
    <row r="250" spans="1:12" ht="13.15" customHeight="1" x14ac:dyDescent="0.25">
      <c r="A250" s="224" t="s">
        <v>1090</v>
      </c>
      <c r="B250" s="1" t="s">
        <v>537</v>
      </c>
      <c r="C250" s="4" t="s">
        <v>1104</v>
      </c>
      <c r="D250" s="2">
        <v>13</v>
      </c>
      <c r="E250" s="2"/>
      <c r="F250" s="229">
        <f>Таблица3[[#This Row],[Площадь (приват.)]]+Таблица3[[#This Row],[Площадь (муницип.)]]</f>
        <v>4907.4100000000008</v>
      </c>
      <c r="G250">
        <v>6369.81</v>
      </c>
      <c r="H250">
        <v>4852.8100000000004</v>
      </c>
      <c r="I250">
        <v>54.6</v>
      </c>
      <c r="J250">
        <v>1462.4</v>
      </c>
      <c r="K250">
        <v>80</v>
      </c>
      <c r="L250" s="3"/>
    </row>
    <row r="251" spans="1:12" ht="13.15" customHeight="1" x14ac:dyDescent="0.25">
      <c r="A251" s="224" t="s">
        <v>1090</v>
      </c>
      <c r="B251" s="1" t="s">
        <v>538</v>
      </c>
      <c r="C251" s="4" t="s">
        <v>1104</v>
      </c>
      <c r="D251" s="2">
        <v>13</v>
      </c>
      <c r="E251" s="2" t="s">
        <v>1085</v>
      </c>
      <c r="F251" s="229">
        <f>Таблица3[[#This Row],[Площадь (приват.)]]+Таблица3[[#This Row],[Площадь (муницип.)]]</f>
        <v>2224.1999999999998</v>
      </c>
      <c r="G251">
        <v>2371</v>
      </c>
      <c r="H251">
        <v>2224.1999999999998</v>
      </c>
      <c r="I251">
        <v>0</v>
      </c>
      <c r="J251">
        <v>146.80000000000001</v>
      </c>
      <c r="K251">
        <v>37</v>
      </c>
      <c r="L251" s="3"/>
    </row>
    <row r="252" spans="1:12" ht="13.15" customHeight="1" x14ac:dyDescent="0.25">
      <c r="A252" s="224" t="s">
        <v>1089</v>
      </c>
      <c r="B252" s="1" t="s">
        <v>479</v>
      </c>
      <c r="C252" s="4" t="s">
        <v>1104</v>
      </c>
      <c r="D252" s="2">
        <v>14</v>
      </c>
      <c r="E252" s="2"/>
      <c r="F252" s="229">
        <f>Таблица3[[#This Row],[Площадь (приват.)]]+Таблица3[[#This Row],[Площадь (муницип.)]]</f>
        <v>1775.6</v>
      </c>
      <c r="G252">
        <v>2169.1</v>
      </c>
      <c r="H252">
        <v>1775.6</v>
      </c>
      <c r="I252">
        <v>0</v>
      </c>
      <c r="J252">
        <v>393.5</v>
      </c>
      <c r="K252">
        <v>31</v>
      </c>
      <c r="L252" s="3"/>
    </row>
    <row r="253" spans="1:12" ht="13.15" customHeight="1" x14ac:dyDescent="0.25">
      <c r="A253" s="224" t="s">
        <v>1089</v>
      </c>
      <c r="B253" s="1" t="s">
        <v>480</v>
      </c>
      <c r="C253" s="4" t="s">
        <v>1104</v>
      </c>
      <c r="D253" s="2">
        <v>15</v>
      </c>
      <c r="E253" s="2"/>
      <c r="F253" s="229">
        <f>Таблица3[[#This Row],[Площадь (приват.)]]+Таблица3[[#This Row],[Площадь (муницип.)]]</f>
        <v>2868.1</v>
      </c>
      <c r="G253">
        <v>3616.4</v>
      </c>
      <c r="H253">
        <v>2868.1</v>
      </c>
      <c r="I253">
        <v>0</v>
      </c>
      <c r="J253">
        <v>748.3</v>
      </c>
      <c r="K253">
        <v>49</v>
      </c>
      <c r="L253" s="3"/>
    </row>
    <row r="254" spans="1:12" ht="13.15" customHeight="1" x14ac:dyDescent="0.25">
      <c r="A254" s="224" t="s">
        <v>1089</v>
      </c>
      <c r="B254" s="1" t="s">
        <v>481</v>
      </c>
      <c r="C254" s="4" t="s">
        <v>1104</v>
      </c>
      <c r="D254" s="2">
        <v>15</v>
      </c>
      <c r="E254" s="2" t="s">
        <v>1085</v>
      </c>
      <c r="F254" s="229">
        <f>Таблица3[[#This Row],[Площадь (приват.)]]+Таблица3[[#This Row],[Площадь (муницип.)]]</f>
        <v>773.9</v>
      </c>
      <c r="G254">
        <v>1340.6</v>
      </c>
      <c r="H254">
        <v>773.9</v>
      </c>
      <c r="I254">
        <v>0</v>
      </c>
      <c r="J254">
        <v>566.70000000000005</v>
      </c>
      <c r="K254">
        <v>14</v>
      </c>
      <c r="L254" s="3"/>
    </row>
    <row r="255" spans="1:12" ht="13.15" customHeight="1" x14ac:dyDescent="0.25">
      <c r="A255" s="224" t="s">
        <v>1089</v>
      </c>
      <c r="B255" s="1" t="s">
        <v>482</v>
      </c>
      <c r="C255" s="4" t="s">
        <v>1104</v>
      </c>
      <c r="D255" s="2">
        <v>16</v>
      </c>
      <c r="E255" s="2"/>
      <c r="F255" s="229">
        <f>Таблица3[[#This Row],[Площадь (приват.)]]+Таблица3[[#This Row],[Площадь (муницип.)]]</f>
        <v>3707.68</v>
      </c>
      <c r="G255">
        <v>4850.18</v>
      </c>
      <c r="H255">
        <v>3635.98</v>
      </c>
      <c r="I255">
        <v>71.7</v>
      </c>
      <c r="J255">
        <v>1142.5</v>
      </c>
      <c r="K255">
        <v>68</v>
      </c>
      <c r="L255" s="3"/>
    </row>
    <row r="256" spans="1:12" ht="13.15" customHeight="1" x14ac:dyDescent="0.25">
      <c r="A256" s="224" t="s">
        <v>1089</v>
      </c>
      <c r="B256" s="1" t="s">
        <v>483</v>
      </c>
      <c r="C256" s="4" t="s">
        <v>1104</v>
      </c>
      <c r="D256" s="2">
        <v>16</v>
      </c>
      <c r="E256" s="2" t="s">
        <v>1085</v>
      </c>
      <c r="F256" s="229">
        <f>Таблица3[[#This Row],[Площадь (приват.)]]+Таблица3[[#This Row],[Площадь (муницип.)]]</f>
        <v>1329.6</v>
      </c>
      <c r="G256">
        <v>1329.6</v>
      </c>
      <c r="H256">
        <v>1329.6</v>
      </c>
      <c r="I256">
        <v>0</v>
      </c>
      <c r="J256">
        <v>0</v>
      </c>
      <c r="K256">
        <v>24</v>
      </c>
      <c r="L256" s="3"/>
    </row>
    <row r="257" spans="1:12" ht="13.15" customHeight="1" x14ac:dyDescent="0.25">
      <c r="A257" s="224" t="s">
        <v>1089</v>
      </c>
      <c r="B257" s="1" t="s">
        <v>484</v>
      </c>
      <c r="C257" s="4" t="s">
        <v>1104</v>
      </c>
      <c r="D257" s="2">
        <v>17</v>
      </c>
      <c r="E257" s="2"/>
      <c r="F257" s="229">
        <f>Таблица3[[#This Row],[Площадь (приват.)]]+Таблица3[[#This Row],[Площадь (муницип.)]]</f>
        <v>2462.6999999999998</v>
      </c>
      <c r="G257">
        <v>3263.4</v>
      </c>
      <c r="H257">
        <v>2429.6</v>
      </c>
      <c r="I257">
        <v>33.1</v>
      </c>
      <c r="J257">
        <v>800.7</v>
      </c>
      <c r="K257">
        <v>43</v>
      </c>
      <c r="L257" s="3"/>
    </row>
    <row r="258" spans="1:12" ht="13.15" customHeight="1" x14ac:dyDescent="0.25">
      <c r="A258" s="224" t="s">
        <v>1089</v>
      </c>
      <c r="B258" s="1" t="s">
        <v>485</v>
      </c>
      <c r="C258" s="4" t="s">
        <v>1104</v>
      </c>
      <c r="D258" s="2">
        <v>17</v>
      </c>
      <c r="E258" s="2" t="s">
        <v>1085</v>
      </c>
      <c r="F258" s="229">
        <f>Таблица3[[#This Row],[Площадь (приват.)]]+Таблица3[[#This Row],[Площадь (муницип.)]]</f>
        <v>1765.8</v>
      </c>
      <c r="G258">
        <v>1905.4</v>
      </c>
      <c r="H258">
        <v>1765.8</v>
      </c>
      <c r="I258">
        <v>0</v>
      </c>
      <c r="J258">
        <v>139.6</v>
      </c>
      <c r="K258">
        <v>29</v>
      </c>
      <c r="L258" s="3"/>
    </row>
    <row r="259" spans="1:12" ht="13.15" customHeight="1" x14ac:dyDescent="0.25">
      <c r="A259" s="224" t="s">
        <v>1089</v>
      </c>
      <c r="B259" s="1" t="s">
        <v>486</v>
      </c>
      <c r="C259" s="4" t="s">
        <v>1104</v>
      </c>
      <c r="D259" s="2">
        <v>18</v>
      </c>
      <c r="E259" s="2"/>
      <c r="F259" s="229">
        <f>Таблица3[[#This Row],[Площадь (приват.)]]+Таблица3[[#This Row],[Площадь (муницип.)]]</f>
        <v>3675.08</v>
      </c>
      <c r="G259">
        <v>4780.08</v>
      </c>
      <c r="H259">
        <v>3519.38</v>
      </c>
      <c r="I259">
        <v>155.69999999999999</v>
      </c>
      <c r="J259">
        <v>1105</v>
      </c>
      <c r="K259">
        <v>65</v>
      </c>
      <c r="L259" s="3"/>
    </row>
    <row r="260" spans="1:12" ht="13.15" customHeight="1" x14ac:dyDescent="0.25">
      <c r="A260" s="224" t="s">
        <v>1089</v>
      </c>
      <c r="B260" s="1" t="s">
        <v>487</v>
      </c>
      <c r="C260" s="4" t="s">
        <v>1104</v>
      </c>
      <c r="D260" s="2">
        <v>18</v>
      </c>
      <c r="E260" s="2" t="s">
        <v>1085</v>
      </c>
      <c r="F260" s="229">
        <f>Таблица3[[#This Row],[Площадь (приват.)]]+Таблица3[[#This Row],[Площадь (муницип.)]]</f>
        <v>2462.3000000000002</v>
      </c>
      <c r="G260">
        <v>2776.3</v>
      </c>
      <c r="H260">
        <v>2462.3000000000002</v>
      </c>
      <c r="I260">
        <v>0</v>
      </c>
      <c r="J260">
        <v>314</v>
      </c>
      <c r="K260">
        <v>46</v>
      </c>
      <c r="L260" s="3"/>
    </row>
    <row r="261" spans="1:12" ht="13.15" customHeight="1" x14ac:dyDescent="0.25">
      <c r="A261" s="224" t="s">
        <v>1089</v>
      </c>
      <c r="B261" s="1" t="s">
        <v>488</v>
      </c>
      <c r="C261" s="4" t="s">
        <v>1104</v>
      </c>
      <c r="D261" s="2">
        <v>18</v>
      </c>
      <c r="E261" s="2" t="s">
        <v>1092</v>
      </c>
      <c r="F261" s="229">
        <f>Таблица3[[#This Row],[Площадь (приват.)]]+Таблица3[[#This Row],[Площадь (муницип.)]]</f>
        <v>1329.1</v>
      </c>
      <c r="G261">
        <v>1329.1</v>
      </c>
      <c r="H261">
        <v>1178.8</v>
      </c>
      <c r="I261">
        <v>150.30000000000001</v>
      </c>
      <c r="J261">
        <v>0</v>
      </c>
      <c r="K261">
        <v>25</v>
      </c>
      <c r="L261" s="3"/>
    </row>
    <row r="262" spans="1:12" ht="13.15" customHeight="1" x14ac:dyDescent="0.25">
      <c r="A262" s="224" t="s">
        <v>1089</v>
      </c>
      <c r="B262" s="1" t="s">
        <v>489</v>
      </c>
      <c r="C262" s="4" t="s">
        <v>1104</v>
      </c>
      <c r="D262" s="2">
        <v>19</v>
      </c>
      <c r="E262" s="2"/>
      <c r="F262" s="229">
        <f>Таблица3[[#This Row],[Площадь (приват.)]]+Таблица3[[#This Row],[Площадь (муницип.)]]</f>
        <v>2746.88</v>
      </c>
      <c r="G262">
        <v>3574.58</v>
      </c>
      <c r="H262">
        <v>2746.88</v>
      </c>
      <c r="I262">
        <v>0</v>
      </c>
      <c r="J262">
        <v>827.7</v>
      </c>
      <c r="K262">
        <v>48</v>
      </c>
      <c r="L262" s="3"/>
    </row>
    <row r="263" spans="1:12" ht="13.15" customHeight="1" x14ac:dyDescent="0.25">
      <c r="A263" s="224" t="s">
        <v>1088</v>
      </c>
      <c r="B263" s="1" t="s">
        <v>387</v>
      </c>
      <c r="C263" s="4" t="s">
        <v>1104</v>
      </c>
      <c r="D263" s="2">
        <v>2</v>
      </c>
      <c r="E263" s="2"/>
      <c r="F263" s="229">
        <f>Таблица3[[#This Row],[Площадь (приват.)]]+Таблица3[[#This Row],[Площадь (муницип.)]]</f>
        <v>3258.2000000000003</v>
      </c>
      <c r="G263">
        <v>4232.6000000000004</v>
      </c>
      <c r="H263">
        <v>3206.9</v>
      </c>
      <c r="I263">
        <v>51.3</v>
      </c>
      <c r="J263">
        <v>974.4</v>
      </c>
      <c r="K263">
        <v>58</v>
      </c>
      <c r="L263" s="3"/>
    </row>
    <row r="264" spans="1:12" ht="13.15" customHeight="1" x14ac:dyDescent="0.25">
      <c r="A264" s="224" t="s">
        <v>1088</v>
      </c>
      <c r="B264" s="1" t="s">
        <v>388</v>
      </c>
      <c r="C264" s="4" t="s">
        <v>1104</v>
      </c>
      <c r="D264" s="2">
        <v>2</v>
      </c>
      <c r="E264" s="2" t="s">
        <v>1100</v>
      </c>
      <c r="F264" s="229">
        <f>Таблица3[[#This Row],[Площадь (приват.)]]+Таблица3[[#This Row],[Площадь (муницип.)]]</f>
        <v>2542.5700000000002</v>
      </c>
      <c r="G264">
        <v>2889.67</v>
      </c>
      <c r="H264">
        <v>2542.5700000000002</v>
      </c>
      <c r="I264">
        <v>0</v>
      </c>
      <c r="J264">
        <v>347.1</v>
      </c>
      <c r="K264">
        <v>32</v>
      </c>
      <c r="L264" s="3"/>
    </row>
    <row r="265" spans="1:12" ht="13.15" customHeight="1" x14ac:dyDescent="0.25">
      <c r="A265" s="224" t="s">
        <v>1088</v>
      </c>
      <c r="B265" s="1" t="s">
        <v>389</v>
      </c>
      <c r="C265" s="4" t="s">
        <v>1104</v>
      </c>
      <c r="D265" s="2">
        <v>2</v>
      </c>
      <c r="E265" s="2" t="s">
        <v>1105</v>
      </c>
      <c r="F265" s="229">
        <f>Таблица3[[#This Row],[Площадь (приват.)]]+Таблица3[[#This Row],[Площадь (муницип.)]]</f>
        <v>442.8</v>
      </c>
      <c r="G265">
        <v>456.4</v>
      </c>
      <c r="H265">
        <v>374.99</v>
      </c>
      <c r="I265">
        <v>67.81</v>
      </c>
      <c r="J265">
        <v>13.6</v>
      </c>
      <c r="K265">
        <v>6</v>
      </c>
      <c r="L265" s="3"/>
    </row>
    <row r="266" spans="1:12" ht="13.15" customHeight="1" x14ac:dyDescent="0.25">
      <c r="A266" s="224" t="s">
        <v>1089</v>
      </c>
      <c r="B266" s="1" t="s">
        <v>490</v>
      </c>
      <c r="C266" s="4" t="s">
        <v>1104</v>
      </c>
      <c r="D266" s="2">
        <v>20</v>
      </c>
      <c r="E266" s="2"/>
      <c r="F266" s="229">
        <f>Таблица3[[#This Row],[Площадь (приват.)]]+Таблица3[[#This Row],[Площадь (муницип.)]]</f>
        <v>3258.4</v>
      </c>
      <c r="G266">
        <v>5365.1</v>
      </c>
      <c r="H266">
        <v>3258.4</v>
      </c>
      <c r="I266">
        <v>0</v>
      </c>
      <c r="J266">
        <v>2106.6999999999998</v>
      </c>
      <c r="K266">
        <v>46</v>
      </c>
      <c r="L266" s="3"/>
    </row>
    <row r="267" spans="1:12" ht="13.15" customHeight="1" x14ac:dyDescent="0.25">
      <c r="A267" s="224" t="s">
        <v>1090</v>
      </c>
      <c r="B267" s="1" t="s">
        <v>528</v>
      </c>
      <c r="C267" s="4" t="s">
        <v>1104</v>
      </c>
      <c r="D267" s="2">
        <v>3</v>
      </c>
      <c r="E267" s="2"/>
      <c r="F267" s="229">
        <f>Таблица3[[#This Row],[Площадь (приват.)]]+Таблица3[[#This Row],[Площадь (муницип.)]]</f>
        <v>5070.7</v>
      </c>
      <c r="G267">
        <v>6408.5</v>
      </c>
      <c r="H267">
        <v>5017</v>
      </c>
      <c r="I267">
        <v>53.7</v>
      </c>
      <c r="J267">
        <v>1337.8</v>
      </c>
      <c r="K267">
        <v>89</v>
      </c>
      <c r="L267" s="3"/>
    </row>
    <row r="268" spans="1:12" ht="13.15" customHeight="1" x14ac:dyDescent="0.25">
      <c r="A268" s="224" t="s">
        <v>1090</v>
      </c>
      <c r="B268" s="1" t="s">
        <v>529</v>
      </c>
      <c r="C268" s="4" t="s">
        <v>1104</v>
      </c>
      <c r="D268" s="2">
        <v>3</v>
      </c>
      <c r="E268" s="2" t="s">
        <v>1085</v>
      </c>
      <c r="F268" s="229">
        <f>Таблица3[[#This Row],[Площадь (приват.)]]+Таблица3[[#This Row],[Площадь (муницип.)]]</f>
        <v>1323.3</v>
      </c>
      <c r="G268">
        <v>2014.7</v>
      </c>
      <c r="H268">
        <v>1323.3</v>
      </c>
      <c r="I268">
        <v>0</v>
      </c>
      <c r="J268">
        <v>691.4</v>
      </c>
      <c r="K268">
        <v>27</v>
      </c>
      <c r="L268" s="3"/>
    </row>
    <row r="269" spans="1:12" ht="13.15" customHeight="1" x14ac:dyDescent="0.25">
      <c r="A269" s="224" t="s">
        <v>1090</v>
      </c>
      <c r="B269" s="1" t="s">
        <v>530</v>
      </c>
      <c r="C269" s="4" t="s">
        <v>1104</v>
      </c>
      <c r="D269" s="2">
        <v>3</v>
      </c>
      <c r="E269" s="2" t="s">
        <v>1092</v>
      </c>
      <c r="F269" s="229">
        <f>Таблица3[[#This Row],[Площадь (приват.)]]+Таблица3[[#This Row],[Площадь (муницип.)]]</f>
        <v>1319.5</v>
      </c>
      <c r="G269">
        <v>2002</v>
      </c>
      <c r="H269">
        <v>1319.5</v>
      </c>
      <c r="I269">
        <v>0</v>
      </c>
      <c r="J269">
        <v>682.5</v>
      </c>
      <c r="K269">
        <v>25</v>
      </c>
      <c r="L269" s="3"/>
    </row>
    <row r="270" spans="1:12" ht="13.15" customHeight="1" x14ac:dyDescent="0.25">
      <c r="A270" s="224" t="s">
        <v>1088</v>
      </c>
      <c r="B270" s="1" t="s">
        <v>390</v>
      </c>
      <c r="C270" s="4" t="s">
        <v>1104</v>
      </c>
      <c r="D270" s="2">
        <v>4</v>
      </c>
      <c r="E270" s="2"/>
      <c r="F270" s="229">
        <f>Таблица3[[#This Row],[Площадь (приват.)]]+Таблица3[[#This Row],[Площадь (муницип.)]]</f>
        <v>2009.46</v>
      </c>
      <c r="G270">
        <v>2657.56</v>
      </c>
      <c r="H270">
        <v>2009.46</v>
      </c>
      <c r="I270">
        <v>0</v>
      </c>
      <c r="J270">
        <v>648.1</v>
      </c>
      <c r="K270">
        <v>39</v>
      </c>
      <c r="L270" s="3"/>
    </row>
    <row r="271" spans="1:12" ht="13.15" customHeight="1" x14ac:dyDescent="0.25">
      <c r="A271" s="224" t="s">
        <v>1088</v>
      </c>
      <c r="B271" s="1" t="s">
        <v>391</v>
      </c>
      <c r="C271" s="4" t="s">
        <v>1104</v>
      </c>
      <c r="D271" s="2">
        <v>4</v>
      </c>
      <c r="E271" s="2" t="s">
        <v>1100</v>
      </c>
      <c r="F271" s="229">
        <f>Таблица3[[#This Row],[Площадь (приват.)]]+Таблица3[[#This Row],[Площадь (муницип.)]]</f>
        <v>444.2</v>
      </c>
      <c r="G271">
        <v>473</v>
      </c>
      <c r="H271">
        <v>444.2</v>
      </c>
      <c r="I271">
        <v>0</v>
      </c>
      <c r="J271">
        <v>28.8</v>
      </c>
      <c r="K271">
        <v>10</v>
      </c>
      <c r="L271" s="3"/>
    </row>
    <row r="272" spans="1:12" ht="13.15" customHeight="1" x14ac:dyDescent="0.25">
      <c r="A272" s="224" t="s">
        <v>1090</v>
      </c>
      <c r="B272" s="1" t="s">
        <v>531</v>
      </c>
      <c r="C272" s="4" t="s">
        <v>1104</v>
      </c>
      <c r="D272" s="2">
        <v>5</v>
      </c>
      <c r="E272" s="2"/>
      <c r="F272" s="229">
        <f>Таблица3[[#This Row],[Площадь (приват.)]]+Таблица3[[#This Row],[Площадь (муницип.)]]</f>
        <v>4185.74</v>
      </c>
      <c r="G272">
        <v>5372.74</v>
      </c>
      <c r="H272">
        <v>4185.74</v>
      </c>
      <c r="I272">
        <v>0</v>
      </c>
      <c r="J272">
        <v>1187</v>
      </c>
      <c r="K272">
        <v>67</v>
      </c>
      <c r="L272" s="3"/>
    </row>
    <row r="273" spans="1:12" ht="13.15" customHeight="1" x14ac:dyDescent="0.25">
      <c r="A273" s="224" t="s">
        <v>1090</v>
      </c>
      <c r="B273" s="1" t="s">
        <v>532</v>
      </c>
      <c r="C273" s="4" t="s">
        <v>1104</v>
      </c>
      <c r="D273" s="2">
        <v>5</v>
      </c>
      <c r="E273" s="2" t="s">
        <v>1085</v>
      </c>
      <c r="F273" s="229">
        <f>Таблица3[[#This Row],[Площадь (приват.)]]+Таблица3[[#This Row],[Площадь (муницип.)]]</f>
        <v>1380.2099999999998</v>
      </c>
      <c r="G273">
        <v>2008.41</v>
      </c>
      <c r="H273">
        <v>1324.11</v>
      </c>
      <c r="I273">
        <v>56.1</v>
      </c>
      <c r="J273">
        <v>628.20000000000005</v>
      </c>
      <c r="K273">
        <v>26</v>
      </c>
      <c r="L273" s="3"/>
    </row>
    <row r="274" spans="1:12" ht="13.15" customHeight="1" x14ac:dyDescent="0.25">
      <c r="A274" s="224" t="s">
        <v>1088</v>
      </c>
      <c r="B274" s="1" t="s">
        <v>392</v>
      </c>
      <c r="C274" s="4" t="s">
        <v>1104</v>
      </c>
      <c r="D274" s="2">
        <v>6</v>
      </c>
      <c r="E274" s="2"/>
      <c r="F274" s="229">
        <f>Таблица3[[#This Row],[Площадь (приват.)]]+Таблица3[[#This Row],[Площадь (муницип.)]]</f>
        <v>5137.8500000000004</v>
      </c>
      <c r="G274">
        <v>6561.75</v>
      </c>
      <c r="H274">
        <v>5137.8500000000004</v>
      </c>
      <c r="I274">
        <v>0</v>
      </c>
      <c r="J274">
        <v>1423.9</v>
      </c>
      <c r="K274">
        <v>88</v>
      </c>
      <c r="L274" s="3"/>
    </row>
    <row r="275" spans="1:12" ht="13.15" customHeight="1" x14ac:dyDescent="0.25">
      <c r="A275" s="224" t="s">
        <v>1088</v>
      </c>
      <c r="B275" s="1" t="s">
        <v>393</v>
      </c>
      <c r="C275" s="4" t="s">
        <v>1104</v>
      </c>
      <c r="D275" s="2">
        <v>6</v>
      </c>
      <c r="E275" s="2" t="s">
        <v>1085</v>
      </c>
      <c r="F275" s="229">
        <f>Таблица3[[#This Row],[Площадь (приват.)]]+Таблица3[[#This Row],[Площадь (муницип.)]]</f>
        <v>879</v>
      </c>
      <c r="G275">
        <v>1564.2</v>
      </c>
      <c r="H275">
        <v>879</v>
      </c>
      <c r="I275">
        <v>0</v>
      </c>
      <c r="J275">
        <v>685.2</v>
      </c>
      <c r="K275">
        <v>18</v>
      </c>
      <c r="L275" s="3"/>
    </row>
    <row r="276" spans="1:12" ht="13.15" customHeight="1" x14ac:dyDescent="0.25">
      <c r="A276" s="224" t="s">
        <v>1090</v>
      </c>
      <c r="B276" s="1" t="s">
        <v>533</v>
      </c>
      <c r="C276" s="4" t="s">
        <v>1104</v>
      </c>
      <c r="D276" s="2">
        <v>7</v>
      </c>
      <c r="E276" s="2"/>
      <c r="F276" s="229">
        <f>Таблица3[[#This Row],[Площадь (приват.)]]+Таблица3[[#This Row],[Площадь (муницип.)]]</f>
        <v>2905.3</v>
      </c>
      <c r="G276">
        <v>3808.9</v>
      </c>
      <c r="H276">
        <v>2905.3</v>
      </c>
      <c r="I276">
        <v>0</v>
      </c>
      <c r="J276">
        <v>903.6</v>
      </c>
      <c r="K276">
        <v>48</v>
      </c>
      <c r="L276" s="3"/>
    </row>
    <row r="277" spans="1:12" ht="13.15" customHeight="1" x14ac:dyDescent="0.25">
      <c r="A277" s="224" t="s">
        <v>1088</v>
      </c>
      <c r="B277" s="1" t="s">
        <v>394</v>
      </c>
      <c r="C277" s="4" t="s">
        <v>1104</v>
      </c>
      <c r="D277" s="2">
        <v>8</v>
      </c>
      <c r="E277" s="2"/>
      <c r="F277" s="229">
        <f>Таблица3[[#This Row],[Площадь (приват.)]]+Таблица3[[#This Row],[Площадь (муницип.)]]</f>
        <v>3391.9</v>
      </c>
      <c r="G277">
        <v>4317</v>
      </c>
      <c r="H277">
        <v>3322.6</v>
      </c>
      <c r="I277">
        <v>69.3</v>
      </c>
      <c r="J277">
        <v>925.1</v>
      </c>
      <c r="K277">
        <v>62</v>
      </c>
      <c r="L277" s="3"/>
    </row>
    <row r="278" spans="1:12" ht="13.15" customHeight="1" x14ac:dyDescent="0.25">
      <c r="A278" s="224" t="s">
        <v>1090</v>
      </c>
      <c r="B278" s="1" t="s">
        <v>534</v>
      </c>
      <c r="C278" s="4" t="s">
        <v>1104</v>
      </c>
      <c r="D278" s="2">
        <v>9</v>
      </c>
      <c r="E278" s="2"/>
      <c r="F278" s="229">
        <f>Таблица3[[#This Row],[Площадь (приват.)]]+Таблица3[[#This Row],[Площадь (муницип.)]]</f>
        <v>5067.5499999999993</v>
      </c>
      <c r="G278">
        <v>6783.95</v>
      </c>
      <c r="H278">
        <v>5040.1499999999996</v>
      </c>
      <c r="I278">
        <v>27.4</v>
      </c>
      <c r="J278">
        <v>1716.4</v>
      </c>
      <c r="K278">
        <v>81</v>
      </c>
      <c r="L278" s="3"/>
    </row>
    <row r="279" spans="1:12" ht="13.15" customHeight="1" x14ac:dyDescent="0.25">
      <c r="A279" s="224" t="s">
        <v>1090</v>
      </c>
      <c r="B279" s="1" t="s">
        <v>535</v>
      </c>
      <c r="C279" s="4" t="s">
        <v>1104</v>
      </c>
      <c r="D279" s="2">
        <v>9</v>
      </c>
      <c r="E279" s="2" t="s">
        <v>1085</v>
      </c>
      <c r="F279" s="229">
        <f>Таблица3[[#This Row],[Площадь (приват.)]]+Таблица3[[#This Row],[Площадь (муницип.)]]</f>
        <v>2219.6999999999998</v>
      </c>
      <c r="G279">
        <v>2425.1</v>
      </c>
      <c r="H279">
        <v>2168</v>
      </c>
      <c r="I279">
        <v>51.7</v>
      </c>
      <c r="J279">
        <v>205.4</v>
      </c>
      <c r="K279">
        <v>39</v>
      </c>
      <c r="L279" s="3"/>
    </row>
    <row r="280" spans="1:12" ht="13.15" customHeight="1" x14ac:dyDescent="0.25">
      <c r="A280" s="224" t="s">
        <v>1084</v>
      </c>
      <c r="B280" s="1" t="s">
        <v>610</v>
      </c>
      <c r="C280" s="4" t="s">
        <v>1106</v>
      </c>
      <c r="D280" s="2">
        <v>124</v>
      </c>
      <c r="E280" s="2"/>
      <c r="F280" s="229">
        <f>Таблица3[[#This Row],[Площадь (приват.)]]+Таблица3[[#This Row],[Площадь (муницип.)]]</f>
        <v>896.4</v>
      </c>
      <c r="G280">
        <v>969.7</v>
      </c>
      <c r="H280">
        <v>850.9</v>
      </c>
      <c r="I280">
        <v>45.5</v>
      </c>
      <c r="J280">
        <v>73.3</v>
      </c>
      <c r="K280">
        <v>22</v>
      </c>
      <c r="L280" s="3"/>
    </row>
    <row r="281" spans="1:12" ht="13.15" customHeight="1" x14ac:dyDescent="0.25">
      <c r="A281" s="224" t="s">
        <v>1098</v>
      </c>
      <c r="B281" s="1" t="s">
        <v>630</v>
      </c>
      <c r="C281" s="4" t="s">
        <v>1107</v>
      </c>
      <c r="D281" s="2">
        <v>10</v>
      </c>
      <c r="E281" s="2"/>
      <c r="F281" s="229">
        <f>Таблица3[[#This Row],[Площадь (приват.)]]+Таблица3[[#This Row],[Площадь (муницип.)]]</f>
        <v>4865.8</v>
      </c>
      <c r="G281">
        <v>5237.1000000000004</v>
      </c>
      <c r="H281">
        <v>4865.8</v>
      </c>
      <c r="I281">
        <v>0</v>
      </c>
      <c r="J281">
        <v>371.3</v>
      </c>
      <c r="K281">
        <v>85</v>
      </c>
      <c r="L281" s="3"/>
    </row>
    <row r="282" spans="1:12" ht="13.15" customHeight="1" x14ac:dyDescent="0.25">
      <c r="A282" s="224" t="s">
        <v>1098</v>
      </c>
      <c r="B282" s="1" t="s">
        <v>631</v>
      </c>
      <c r="C282" s="4" t="s">
        <v>1107</v>
      </c>
      <c r="D282" s="2">
        <v>12</v>
      </c>
      <c r="E282" s="2"/>
      <c r="F282" s="229">
        <f>Таблица3[[#This Row],[Площадь (приват.)]]+Таблица3[[#This Row],[Площадь (муницип.)]]</f>
        <v>846.6</v>
      </c>
      <c r="G282">
        <v>893.6</v>
      </c>
      <c r="H282">
        <v>846.6</v>
      </c>
      <c r="I282">
        <v>0</v>
      </c>
      <c r="J282">
        <v>47</v>
      </c>
      <c r="K282">
        <v>11</v>
      </c>
      <c r="L282" s="3"/>
    </row>
    <row r="283" spans="1:12" ht="13.15" customHeight="1" x14ac:dyDescent="0.25">
      <c r="A283" s="224" t="s">
        <v>1098</v>
      </c>
      <c r="B283" s="1" t="s">
        <v>1324</v>
      </c>
      <c r="C283" s="4" t="s">
        <v>1107</v>
      </c>
      <c r="D283" s="2">
        <v>14</v>
      </c>
      <c r="E283" s="2"/>
      <c r="F283" s="229">
        <f>Таблица3[[#This Row],[Площадь (приват.)]]+Таблица3[[#This Row],[Площадь (муницип.)]]</f>
        <v>1786.1</v>
      </c>
      <c r="G283">
        <v>2122.1</v>
      </c>
      <c r="H283">
        <v>1786.1</v>
      </c>
      <c r="I283">
        <v>0</v>
      </c>
      <c r="J283">
        <v>336</v>
      </c>
      <c r="K283">
        <v>28</v>
      </c>
      <c r="L283" s="3"/>
    </row>
    <row r="284" spans="1:12" ht="13.15" customHeight="1" x14ac:dyDescent="0.25">
      <c r="A284" s="224" t="s">
        <v>1098</v>
      </c>
      <c r="B284" s="1" t="s">
        <v>632</v>
      </c>
      <c r="C284" s="4" t="s">
        <v>1107</v>
      </c>
      <c r="D284" s="2">
        <v>16</v>
      </c>
      <c r="E284" s="2"/>
      <c r="F284" s="229">
        <f>Таблица3[[#This Row],[Площадь (приват.)]]+Таблица3[[#This Row],[Площадь (муницип.)]]</f>
        <v>17825.599999999999</v>
      </c>
      <c r="G284">
        <v>18916.3</v>
      </c>
      <c r="H284">
        <v>17635.5</v>
      </c>
      <c r="I284">
        <v>190.1</v>
      </c>
      <c r="J284">
        <v>1090.7</v>
      </c>
      <c r="K284">
        <v>271</v>
      </c>
      <c r="L284" s="3"/>
    </row>
    <row r="285" spans="1:12" ht="13.15" customHeight="1" x14ac:dyDescent="0.25">
      <c r="A285" s="224" t="s">
        <v>1098</v>
      </c>
      <c r="B285" s="1" t="s">
        <v>626</v>
      </c>
      <c r="C285" s="4" t="s">
        <v>1107</v>
      </c>
      <c r="D285" s="2">
        <v>2</v>
      </c>
      <c r="E285" s="2"/>
      <c r="F285" s="229">
        <f>Таблица3[[#This Row],[Площадь (приват.)]]+Таблица3[[#This Row],[Площадь (муницип.)]]</f>
        <v>8568.43</v>
      </c>
      <c r="G285">
        <v>11404.53</v>
      </c>
      <c r="H285">
        <v>8404.23</v>
      </c>
      <c r="I285">
        <v>164.2</v>
      </c>
      <c r="J285">
        <v>2836.1</v>
      </c>
      <c r="K285">
        <v>140</v>
      </c>
      <c r="L285" s="3"/>
    </row>
    <row r="286" spans="1:12" ht="13.15" customHeight="1" x14ac:dyDescent="0.25">
      <c r="A286" s="224" t="s">
        <v>1098</v>
      </c>
      <c r="B286" s="1" t="s">
        <v>633</v>
      </c>
      <c r="C286" s="4" t="s">
        <v>1107</v>
      </c>
      <c r="D286" s="2">
        <v>20</v>
      </c>
      <c r="E286" s="2"/>
      <c r="F286" s="229">
        <f>Таблица3[[#This Row],[Площадь (приват.)]]+Таблица3[[#This Row],[Площадь (муницип.)]]</f>
        <v>9675.5</v>
      </c>
      <c r="G286">
        <v>10243.6</v>
      </c>
      <c r="H286">
        <v>9578.1</v>
      </c>
      <c r="I286">
        <v>97.4</v>
      </c>
      <c r="J286">
        <v>568.1</v>
      </c>
      <c r="K286">
        <v>211</v>
      </c>
      <c r="L286" s="3"/>
    </row>
    <row r="287" spans="1:12" ht="13.15" customHeight="1" x14ac:dyDescent="0.25">
      <c r="A287" s="224" t="s">
        <v>1098</v>
      </c>
      <c r="B287" s="1" t="s">
        <v>634</v>
      </c>
      <c r="C287" s="4" t="s">
        <v>1107</v>
      </c>
      <c r="D287" s="2">
        <v>22</v>
      </c>
      <c r="E287" s="2"/>
      <c r="F287" s="229">
        <f>Таблица3[[#This Row],[Площадь (приват.)]]+Таблица3[[#This Row],[Площадь (муницип.)]]</f>
        <v>3294.1</v>
      </c>
      <c r="G287">
        <v>3294.1</v>
      </c>
      <c r="H287">
        <v>3294.1</v>
      </c>
      <c r="I287">
        <v>0</v>
      </c>
      <c r="J287">
        <v>0</v>
      </c>
      <c r="K287">
        <v>60</v>
      </c>
      <c r="L287" s="3"/>
    </row>
    <row r="288" spans="1:12" ht="13.15" customHeight="1" x14ac:dyDescent="0.25">
      <c r="A288" s="224" t="s">
        <v>1098</v>
      </c>
      <c r="B288" s="1" t="s">
        <v>635</v>
      </c>
      <c r="C288" s="4" t="s">
        <v>1107</v>
      </c>
      <c r="D288" s="2">
        <v>22</v>
      </c>
      <c r="E288" s="2" t="s">
        <v>1085</v>
      </c>
      <c r="F288" s="229">
        <f>Таблица3[[#This Row],[Площадь (приват.)]]+Таблица3[[#This Row],[Площадь (муницип.)]]</f>
        <v>2792.95</v>
      </c>
      <c r="G288">
        <v>2817.35</v>
      </c>
      <c r="H288">
        <v>2792.95</v>
      </c>
      <c r="I288">
        <v>0</v>
      </c>
      <c r="J288">
        <v>24.4</v>
      </c>
      <c r="K288">
        <v>80</v>
      </c>
      <c r="L288" s="3"/>
    </row>
    <row r="289" spans="1:12" ht="13.15" customHeight="1" x14ac:dyDescent="0.25">
      <c r="A289" s="224" t="s">
        <v>1098</v>
      </c>
      <c r="B289" s="1" t="s">
        <v>636</v>
      </c>
      <c r="C289" s="4" t="s">
        <v>1107</v>
      </c>
      <c r="D289" s="2">
        <v>24</v>
      </c>
      <c r="E289" s="2"/>
      <c r="F289" s="229">
        <f>Таблица3[[#This Row],[Площадь (приват.)]]+Таблица3[[#This Row],[Площадь (муницип.)]]</f>
        <v>7118.1</v>
      </c>
      <c r="G289">
        <v>8395.2000000000007</v>
      </c>
      <c r="H289">
        <v>6978.5</v>
      </c>
      <c r="I289">
        <v>139.6</v>
      </c>
      <c r="J289">
        <v>1277.0999999999999</v>
      </c>
      <c r="K289">
        <v>131</v>
      </c>
      <c r="L289" s="3"/>
    </row>
    <row r="290" spans="1:12" ht="13.15" customHeight="1" x14ac:dyDescent="0.25">
      <c r="A290" s="224" t="s">
        <v>1098</v>
      </c>
      <c r="B290" s="1" t="s">
        <v>627</v>
      </c>
      <c r="C290" s="4" t="s">
        <v>1107</v>
      </c>
      <c r="D290" s="2">
        <v>4</v>
      </c>
      <c r="E290" s="2"/>
      <c r="F290" s="229">
        <f>Таблица3[[#This Row],[Площадь (приват.)]]+Таблица3[[#This Row],[Площадь (муницип.)]]</f>
        <v>853.8</v>
      </c>
      <c r="G290">
        <v>853.8</v>
      </c>
      <c r="H290">
        <v>853.8</v>
      </c>
      <c r="I290">
        <v>0</v>
      </c>
      <c r="J290">
        <v>0</v>
      </c>
      <c r="K290">
        <v>10</v>
      </c>
      <c r="L290" s="3"/>
    </row>
    <row r="291" spans="1:12" ht="13.15" customHeight="1" x14ac:dyDescent="0.25">
      <c r="A291" s="224" t="s">
        <v>1098</v>
      </c>
      <c r="B291" s="1" t="s">
        <v>628</v>
      </c>
      <c r="C291" s="4" t="s">
        <v>1107</v>
      </c>
      <c r="D291" s="2">
        <v>6</v>
      </c>
      <c r="E291" s="2"/>
      <c r="F291" s="229">
        <f>Таблица3[[#This Row],[Площадь (приват.)]]+Таблица3[[#This Row],[Площадь (муницип.)]]</f>
        <v>3441.1</v>
      </c>
      <c r="G291">
        <v>3642.8</v>
      </c>
      <c r="H291">
        <v>3398.4</v>
      </c>
      <c r="I291">
        <v>42.7</v>
      </c>
      <c r="J291">
        <v>201.7</v>
      </c>
      <c r="K291">
        <v>59</v>
      </c>
      <c r="L291" s="3"/>
    </row>
    <row r="292" spans="1:12" ht="13.15" customHeight="1" x14ac:dyDescent="0.25">
      <c r="A292" s="224" t="s">
        <v>1098</v>
      </c>
      <c r="B292" s="1" t="s">
        <v>629</v>
      </c>
      <c r="C292" s="4" t="s">
        <v>1107</v>
      </c>
      <c r="D292" s="2">
        <v>8</v>
      </c>
      <c r="E292" s="2"/>
      <c r="F292" s="229">
        <f>Таблица3[[#This Row],[Площадь (приват.)]]+Таблица3[[#This Row],[Площадь (муницип.)]]</f>
        <v>3158.6</v>
      </c>
      <c r="G292">
        <v>3367.5</v>
      </c>
      <c r="H292">
        <v>3158.6</v>
      </c>
      <c r="I292">
        <v>0</v>
      </c>
      <c r="J292">
        <v>208.9</v>
      </c>
      <c r="K292">
        <v>60</v>
      </c>
      <c r="L292" s="3"/>
    </row>
    <row r="293" spans="1:12" ht="13.15" customHeight="1" x14ac:dyDescent="0.25">
      <c r="A293" s="224" t="s">
        <v>1090</v>
      </c>
      <c r="B293" s="1" t="s">
        <v>545</v>
      </c>
      <c r="C293" s="4" t="s">
        <v>1108</v>
      </c>
      <c r="D293" s="2">
        <v>10</v>
      </c>
      <c r="E293" s="2"/>
      <c r="F293" s="229">
        <f>Таблица3[[#This Row],[Площадь (приват.)]]+Таблица3[[#This Row],[Площадь (муницип.)]]</f>
        <v>2913.6</v>
      </c>
      <c r="G293">
        <v>3925.1</v>
      </c>
      <c r="H293">
        <v>2913.6</v>
      </c>
      <c r="I293">
        <v>0</v>
      </c>
      <c r="J293">
        <v>1011.5</v>
      </c>
      <c r="K293">
        <v>43</v>
      </c>
      <c r="L293" s="3"/>
    </row>
    <row r="294" spans="1:12" ht="13.15" customHeight="1" x14ac:dyDescent="0.25">
      <c r="A294" s="224" t="s">
        <v>1098</v>
      </c>
      <c r="B294" s="1" t="s">
        <v>640</v>
      </c>
      <c r="C294" s="4" t="s">
        <v>1108</v>
      </c>
      <c r="D294" s="2">
        <v>11</v>
      </c>
      <c r="E294" s="2"/>
      <c r="F294" s="229">
        <f>Таблица3[[#This Row],[Площадь (приват.)]]+Таблица3[[#This Row],[Площадь (муницип.)]]</f>
        <v>6078.8</v>
      </c>
      <c r="G294">
        <v>6757.5</v>
      </c>
      <c r="H294">
        <v>6020.6</v>
      </c>
      <c r="I294">
        <v>58.2</v>
      </c>
      <c r="J294">
        <v>678.7</v>
      </c>
      <c r="K294">
        <v>93</v>
      </c>
      <c r="L294" s="3"/>
    </row>
    <row r="295" spans="1:12" ht="13.15" customHeight="1" x14ac:dyDescent="0.25">
      <c r="A295" s="224" t="s">
        <v>1090</v>
      </c>
      <c r="B295" s="1" t="s">
        <v>546</v>
      </c>
      <c r="C295" s="4" t="s">
        <v>1108</v>
      </c>
      <c r="D295" s="2">
        <v>12</v>
      </c>
      <c r="E295" s="2"/>
      <c r="F295" s="229">
        <f>Таблица3[[#This Row],[Площадь (приват.)]]+Таблица3[[#This Row],[Площадь (муницип.)]]</f>
        <v>9000.5</v>
      </c>
      <c r="G295">
        <v>11976.5</v>
      </c>
      <c r="H295">
        <v>9000.5</v>
      </c>
      <c r="I295">
        <v>0</v>
      </c>
      <c r="J295">
        <v>2976</v>
      </c>
      <c r="K295">
        <v>139</v>
      </c>
      <c r="L295" s="3"/>
    </row>
    <row r="296" spans="1:12" ht="13.15" customHeight="1" x14ac:dyDescent="0.25">
      <c r="A296" s="224" t="s">
        <v>1098</v>
      </c>
      <c r="B296" s="1" t="s">
        <v>641</v>
      </c>
      <c r="C296" s="4" t="s">
        <v>1108</v>
      </c>
      <c r="D296" s="2">
        <v>13</v>
      </c>
      <c r="E296" s="2"/>
      <c r="F296" s="229">
        <f>Таблица3[[#This Row],[Площадь (приват.)]]+Таблица3[[#This Row],[Площадь (муницип.)]]</f>
        <v>5408.7</v>
      </c>
      <c r="G296">
        <v>6815.7</v>
      </c>
      <c r="H296">
        <v>5408.7</v>
      </c>
      <c r="I296">
        <v>0</v>
      </c>
      <c r="J296">
        <v>1407</v>
      </c>
      <c r="K296">
        <v>80</v>
      </c>
      <c r="L296" s="3"/>
    </row>
    <row r="297" spans="1:12" ht="13.15" customHeight="1" x14ac:dyDescent="0.25">
      <c r="A297" s="224" t="s">
        <v>1098</v>
      </c>
      <c r="B297" s="1" t="s">
        <v>655</v>
      </c>
      <c r="C297" s="4" t="s">
        <v>1108</v>
      </c>
      <c r="D297" s="2">
        <v>14</v>
      </c>
      <c r="E297" s="2"/>
      <c r="F297" s="229">
        <f>Таблица3[[#This Row],[Площадь (приват.)]]+Таблица3[[#This Row],[Площадь (муницип.)]]</f>
        <v>11236.52</v>
      </c>
      <c r="G297">
        <v>12650.62</v>
      </c>
      <c r="H297">
        <v>11154.62</v>
      </c>
      <c r="I297">
        <v>81.900000000000006</v>
      </c>
      <c r="J297">
        <v>1414.1</v>
      </c>
      <c r="K297">
        <v>228</v>
      </c>
      <c r="L297" s="3"/>
    </row>
    <row r="298" spans="1:12" ht="13.15" customHeight="1" x14ac:dyDescent="0.25">
      <c r="A298" s="224" t="s">
        <v>1098</v>
      </c>
      <c r="B298" s="1" t="s">
        <v>642</v>
      </c>
      <c r="C298" s="4" t="s">
        <v>1108</v>
      </c>
      <c r="D298" s="2">
        <v>15</v>
      </c>
      <c r="E298" s="2"/>
      <c r="F298" s="229">
        <f>Таблица3[[#This Row],[Площадь (приват.)]]+Таблица3[[#This Row],[Площадь (муницип.)]]</f>
        <v>8161.6</v>
      </c>
      <c r="G298">
        <v>10300.9</v>
      </c>
      <c r="H298">
        <v>8131.17</v>
      </c>
      <c r="I298">
        <v>30.43</v>
      </c>
      <c r="J298">
        <v>2139.3000000000002</v>
      </c>
      <c r="K298">
        <v>124</v>
      </c>
      <c r="L298" s="3"/>
    </row>
    <row r="299" spans="1:12" ht="13.15" customHeight="1" x14ac:dyDescent="0.25">
      <c r="A299" s="224" t="s">
        <v>1098</v>
      </c>
      <c r="B299" s="1" t="s">
        <v>656</v>
      </c>
      <c r="C299" s="4" t="s">
        <v>1108</v>
      </c>
      <c r="D299" s="2">
        <v>16</v>
      </c>
      <c r="E299" s="2"/>
      <c r="F299" s="229">
        <f>Таблица3[[#This Row],[Площадь (приват.)]]+Таблица3[[#This Row],[Площадь (муницип.)]]</f>
        <v>2798.8</v>
      </c>
      <c r="G299">
        <v>2798.8</v>
      </c>
      <c r="H299">
        <v>2798.8</v>
      </c>
      <c r="I299">
        <v>0</v>
      </c>
      <c r="J299">
        <v>0</v>
      </c>
      <c r="K299">
        <v>80</v>
      </c>
      <c r="L299" s="3"/>
    </row>
    <row r="300" spans="1:12" ht="13.15" customHeight="1" x14ac:dyDescent="0.25">
      <c r="A300" s="224" t="s">
        <v>1098</v>
      </c>
      <c r="B300" s="1" t="s">
        <v>643</v>
      </c>
      <c r="C300" s="4" t="s">
        <v>1108</v>
      </c>
      <c r="D300" s="2">
        <v>17</v>
      </c>
      <c r="E300" s="2"/>
      <c r="F300" s="229">
        <f>Таблица3[[#This Row],[Площадь (приват.)]]+Таблица3[[#This Row],[Площадь (муницип.)]]</f>
        <v>7858</v>
      </c>
      <c r="G300">
        <v>9401.6</v>
      </c>
      <c r="H300">
        <v>7858</v>
      </c>
      <c r="I300">
        <v>0</v>
      </c>
      <c r="J300">
        <v>1543.6</v>
      </c>
      <c r="K300">
        <v>126</v>
      </c>
      <c r="L300" s="3"/>
    </row>
    <row r="301" spans="1:12" ht="13.15" customHeight="1" x14ac:dyDescent="0.25">
      <c r="A301" s="224" t="s">
        <v>1098</v>
      </c>
      <c r="B301" s="1" t="s">
        <v>644</v>
      </c>
      <c r="C301" s="4" t="s">
        <v>1108</v>
      </c>
      <c r="D301" s="2">
        <v>19</v>
      </c>
      <c r="E301" s="2"/>
      <c r="F301" s="229">
        <f>Таблица3[[#This Row],[Площадь (приват.)]]+Таблица3[[#This Row],[Площадь (муницип.)]]</f>
        <v>3356.85</v>
      </c>
      <c r="G301">
        <v>4237.05</v>
      </c>
      <c r="H301">
        <v>3356.85</v>
      </c>
      <c r="I301">
        <v>0</v>
      </c>
      <c r="J301">
        <v>880.2</v>
      </c>
      <c r="K301">
        <v>52</v>
      </c>
      <c r="L301" s="3"/>
    </row>
    <row r="302" spans="1:12" ht="13.15" customHeight="1" x14ac:dyDescent="0.25">
      <c r="A302" s="224" t="s">
        <v>1098</v>
      </c>
      <c r="B302" s="1" t="s">
        <v>645</v>
      </c>
      <c r="C302" s="4" t="s">
        <v>1108</v>
      </c>
      <c r="D302" s="2">
        <v>19</v>
      </c>
      <c r="E302" s="2" t="s">
        <v>1085</v>
      </c>
      <c r="F302" s="229">
        <f>Таблица3[[#This Row],[Площадь (приват.)]]+Таблица3[[#This Row],[Площадь (муницип.)]]</f>
        <v>2715</v>
      </c>
      <c r="G302">
        <v>2965.1</v>
      </c>
      <c r="H302">
        <v>2715</v>
      </c>
      <c r="I302">
        <v>0</v>
      </c>
      <c r="J302">
        <v>250.1</v>
      </c>
      <c r="K302">
        <v>60</v>
      </c>
      <c r="L302" s="3"/>
    </row>
    <row r="303" spans="1:12" ht="13.15" customHeight="1" x14ac:dyDescent="0.25">
      <c r="A303" s="224" t="s">
        <v>1090</v>
      </c>
      <c r="B303" s="1" t="s">
        <v>539</v>
      </c>
      <c r="C303" s="4" t="s">
        <v>1108</v>
      </c>
      <c r="D303" s="2">
        <v>2</v>
      </c>
      <c r="E303" s="2"/>
      <c r="F303" s="229">
        <f>Таблица3[[#This Row],[Площадь (приват.)]]+Таблица3[[#This Row],[Площадь (муницип.)]]</f>
        <v>5319.0999999999995</v>
      </c>
      <c r="G303">
        <v>6694.3</v>
      </c>
      <c r="H303">
        <v>5266.7</v>
      </c>
      <c r="I303">
        <v>52.4</v>
      </c>
      <c r="J303">
        <v>1375.2</v>
      </c>
      <c r="K303">
        <v>80</v>
      </c>
      <c r="L303" s="3"/>
    </row>
    <row r="304" spans="1:12" ht="13.15" customHeight="1" x14ac:dyDescent="0.25">
      <c r="A304" s="224" t="s">
        <v>1090</v>
      </c>
      <c r="B304" s="1" t="s">
        <v>540</v>
      </c>
      <c r="C304" s="4" t="s">
        <v>1108</v>
      </c>
      <c r="D304" s="2">
        <v>2</v>
      </c>
      <c r="E304" s="2" t="s">
        <v>1085</v>
      </c>
      <c r="F304" s="229">
        <f>Таблица3[[#This Row],[Площадь (приват.)]]+Таблица3[[#This Row],[Площадь (муницип.)]]</f>
        <v>2679.3</v>
      </c>
      <c r="G304">
        <v>2832.9</v>
      </c>
      <c r="H304">
        <v>2614.4</v>
      </c>
      <c r="I304">
        <v>64.900000000000006</v>
      </c>
      <c r="J304">
        <v>153.6</v>
      </c>
      <c r="K304">
        <v>43</v>
      </c>
      <c r="L304" s="3"/>
    </row>
    <row r="305" spans="1:12" ht="13.15" customHeight="1" x14ac:dyDescent="0.25">
      <c r="A305" s="224" t="s">
        <v>1098</v>
      </c>
      <c r="B305" s="1" t="s">
        <v>657</v>
      </c>
      <c r="C305" s="4" t="s">
        <v>1108</v>
      </c>
      <c r="D305" s="2">
        <v>20</v>
      </c>
      <c r="E305" s="2"/>
      <c r="F305" s="229">
        <f>Таблица3[[#This Row],[Площадь (приват.)]]+Таблица3[[#This Row],[Площадь (муницип.)]]</f>
        <v>2797.6</v>
      </c>
      <c r="G305">
        <v>2820</v>
      </c>
      <c r="H305">
        <v>2731.6</v>
      </c>
      <c r="I305">
        <v>66</v>
      </c>
      <c r="J305">
        <v>22.4</v>
      </c>
      <c r="K305">
        <v>80</v>
      </c>
      <c r="L305" s="3"/>
    </row>
    <row r="306" spans="1:12" ht="13.15" customHeight="1" x14ac:dyDescent="0.25">
      <c r="A306" s="224" t="s">
        <v>1098</v>
      </c>
      <c r="B306" s="1" t="s">
        <v>646</v>
      </c>
      <c r="C306" s="4" t="s">
        <v>1108</v>
      </c>
      <c r="D306" s="2">
        <v>21</v>
      </c>
      <c r="E306" s="2"/>
      <c r="F306" s="229">
        <f>Таблица3[[#This Row],[Площадь (приват.)]]+Таблица3[[#This Row],[Площадь (муницип.)]]</f>
        <v>6651.25</v>
      </c>
      <c r="G306">
        <v>7533.15</v>
      </c>
      <c r="H306">
        <v>6651.25</v>
      </c>
      <c r="I306">
        <v>0</v>
      </c>
      <c r="J306">
        <v>881.9</v>
      </c>
      <c r="K306">
        <v>115</v>
      </c>
      <c r="L306" s="3"/>
    </row>
    <row r="307" spans="1:12" ht="13.15" customHeight="1" x14ac:dyDescent="0.25">
      <c r="A307" s="224" t="s">
        <v>1098</v>
      </c>
      <c r="B307" s="1" t="s">
        <v>647</v>
      </c>
      <c r="C307" s="4" t="s">
        <v>1108</v>
      </c>
      <c r="D307" s="2">
        <v>21</v>
      </c>
      <c r="E307" s="2" t="s">
        <v>1085</v>
      </c>
      <c r="F307" s="229">
        <f>Таблица3[[#This Row],[Площадь (приват.)]]+Таблица3[[#This Row],[Площадь (муницип.)]]</f>
        <v>2790.01</v>
      </c>
      <c r="G307">
        <v>2891.51</v>
      </c>
      <c r="H307">
        <v>2746.11</v>
      </c>
      <c r="I307">
        <v>43.9</v>
      </c>
      <c r="J307">
        <v>101.5</v>
      </c>
      <c r="K307">
        <v>80</v>
      </c>
      <c r="L307" s="3"/>
    </row>
    <row r="308" spans="1:12" ht="13.15" customHeight="1" x14ac:dyDescent="0.25">
      <c r="A308" s="224" t="s">
        <v>1098</v>
      </c>
      <c r="B308" s="1" t="s">
        <v>658</v>
      </c>
      <c r="C308" s="4" t="s">
        <v>1108</v>
      </c>
      <c r="D308" s="2">
        <v>22</v>
      </c>
      <c r="E308" s="2"/>
      <c r="F308" s="229">
        <f>Таблица3[[#This Row],[Площадь (приват.)]]+Таблица3[[#This Row],[Площадь (муницип.)]]</f>
        <v>5817.62</v>
      </c>
      <c r="G308">
        <v>6484.92</v>
      </c>
      <c r="H308">
        <v>5817.62</v>
      </c>
      <c r="I308">
        <v>0</v>
      </c>
      <c r="J308">
        <v>667.3</v>
      </c>
      <c r="K308">
        <v>144</v>
      </c>
      <c r="L308" s="3"/>
    </row>
    <row r="309" spans="1:12" ht="13.15" customHeight="1" x14ac:dyDescent="0.25">
      <c r="A309" s="224" t="s">
        <v>1098</v>
      </c>
      <c r="B309" s="1" t="s">
        <v>659</v>
      </c>
      <c r="C309" s="4" t="s">
        <v>1108</v>
      </c>
      <c r="D309" s="2">
        <v>22</v>
      </c>
      <c r="E309" s="2" t="s">
        <v>1085</v>
      </c>
      <c r="F309" s="229">
        <f>Таблица3[[#This Row],[Площадь (приват.)]]+Таблица3[[#This Row],[Площадь (муницип.)]]</f>
        <v>3496.2</v>
      </c>
      <c r="G309">
        <v>3641.8</v>
      </c>
      <c r="H309">
        <v>3496.2</v>
      </c>
      <c r="I309">
        <v>0</v>
      </c>
      <c r="J309">
        <v>145.6</v>
      </c>
      <c r="K309">
        <v>100</v>
      </c>
      <c r="L309" s="3"/>
    </row>
    <row r="310" spans="1:12" ht="13.15" customHeight="1" x14ac:dyDescent="0.25">
      <c r="A310" s="224" t="s">
        <v>1098</v>
      </c>
      <c r="B310" s="1" t="s">
        <v>648</v>
      </c>
      <c r="C310" s="4" t="s">
        <v>1108</v>
      </c>
      <c r="D310" s="2">
        <v>23</v>
      </c>
      <c r="E310" s="2"/>
      <c r="F310" s="229">
        <f>Таблица3[[#This Row],[Площадь (приват.)]]+Таблица3[[#This Row],[Площадь (муницип.)]]</f>
        <v>2885.6</v>
      </c>
      <c r="G310">
        <v>3281.2</v>
      </c>
      <c r="H310">
        <v>2885.6</v>
      </c>
      <c r="I310">
        <v>0</v>
      </c>
      <c r="J310">
        <v>395.6</v>
      </c>
      <c r="K310">
        <v>51</v>
      </c>
      <c r="L310" s="3"/>
    </row>
    <row r="311" spans="1:12" ht="13.15" customHeight="1" x14ac:dyDescent="0.25">
      <c r="A311" s="224" t="s">
        <v>1098</v>
      </c>
      <c r="B311" s="1" t="s">
        <v>649</v>
      </c>
      <c r="C311" s="4" t="s">
        <v>1108</v>
      </c>
      <c r="D311" s="2">
        <v>23</v>
      </c>
      <c r="E311" s="2" t="s">
        <v>1085</v>
      </c>
      <c r="F311" s="229">
        <f>Таблица3[[#This Row],[Площадь (приват.)]]+Таблица3[[#This Row],[Площадь (муницип.)]]</f>
        <v>2708.69</v>
      </c>
      <c r="G311">
        <v>2997.19</v>
      </c>
      <c r="H311">
        <v>2708.69</v>
      </c>
      <c r="I311">
        <v>0</v>
      </c>
      <c r="J311">
        <v>288.5</v>
      </c>
      <c r="K311">
        <v>78</v>
      </c>
      <c r="L311" s="3"/>
    </row>
    <row r="312" spans="1:12" ht="13.15" customHeight="1" x14ac:dyDescent="0.25">
      <c r="A312" s="224" t="s">
        <v>1098</v>
      </c>
      <c r="B312" s="1" t="s">
        <v>660</v>
      </c>
      <c r="C312" s="4" t="s">
        <v>1108</v>
      </c>
      <c r="D312" s="2">
        <v>24</v>
      </c>
      <c r="E312" s="2"/>
      <c r="F312" s="229">
        <f>Таблица3[[#This Row],[Площадь (приват.)]]+Таблица3[[#This Row],[Площадь (муницип.)]]</f>
        <v>3484.7999999999997</v>
      </c>
      <c r="G312">
        <v>3619.2</v>
      </c>
      <c r="H312">
        <v>3378.2</v>
      </c>
      <c r="I312">
        <v>106.6</v>
      </c>
      <c r="J312">
        <v>134.4</v>
      </c>
      <c r="K312">
        <v>100</v>
      </c>
      <c r="L312" s="3"/>
    </row>
    <row r="313" spans="1:12" ht="13.15" customHeight="1" x14ac:dyDescent="0.25">
      <c r="A313" s="224" t="s">
        <v>1082</v>
      </c>
      <c r="B313" s="1" t="s">
        <v>706</v>
      </c>
      <c r="C313" s="4" t="s">
        <v>1108</v>
      </c>
      <c r="D313" s="2">
        <v>26</v>
      </c>
      <c r="E313" s="2"/>
      <c r="F313" s="229">
        <f>Таблица3[[#This Row],[Площадь (приват.)]]+Таблица3[[#This Row],[Площадь (муницип.)]]</f>
        <v>3407.6</v>
      </c>
      <c r="G313">
        <v>3700.5</v>
      </c>
      <c r="H313">
        <v>3407.6</v>
      </c>
      <c r="I313">
        <v>0</v>
      </c>
      <c r="J313">
        <v>292.89999999999998</v>
      </c>
      <c r="K313">
        <v>98</v>
      </c>
      <c r="L313" s="3"/>
    </row>
    <row r="314" spans="1:12" ht="13.15" customHeight="1" x14ac:dyDescent="0.25">
      <c r="A314" s="224" t="s">
        <v>1082</v>
      </c>
      <c r="B314" s="1" t="s">
        <v>707</v>
      </c>
      <c r="C314" s="4" t="s">
        <v>1108</v>
      </c>
      <c r="D314" s="2">
        <v>28</v>
      </c>
      <c r="E314" s="2"/>
      <c r="F314" s="229">
        <f>Таблица3[[#This Row],[Площадь (приват.)]]+Таблица3[[#This Row],[Площадь (муницип.)]]</f>
        <v>5791</v>
      </c>
      <c r="G314">
        <v>6425.6</v>
      </c>
      <c r="H314">
        <v>5662</v>
      </c>
      <c r="I314">
        <v>129</v>
      </c>
      <c r="J314">
        <v>634.6</v>
      </c>
      <c r="K314">
        <v>144</v>
      </c>
      <c r="L314" s="3"/>
    </row>
    <row r="315" spans="1:12" ht="13.15" customHeight="1" x14ac:dyDescent="0.25">
      <c r="A315" s="224" t="s">
        <v>1082</v>
      </c>
      <c r="B315" s="1" t="s">
        <v>708</v>
      </c>
      <c r="C315" s="4" t="s">
        <v>1108</v>
      </c>
      <c r="D315" s="2">
        <v>28</v>
      </c>
      <c r="E315" s="2" t="s">
        <v>1085</v>
      </c>
      <c r="F315" s="229">
        <f>Таблица3[[#This Row],[Площадь (приват.)]]+Таблица3[[#This Row],[Площадь (муницип.)]]</f>
        <v>3477.44</v>
      </c>
      <c r="G315">
        <v>3512.44</v>
      </c>
      <c r="H315">
        <v>3477.44</v>
      </c>
      <c r="I315">
        <v>0</v>
      </c>
      <c r="J315">
        <v>35</v>
      </c>
      <c r="K315">
        <v>100</v>
      </c>
      <c r="L315" s="3"/>
    </row>
    <row r="316" spans="1:12" ht="13.15" customHeight="1" x14ac:dyDescent="0.25">
      <c r="A316" s="224" t="s">
        <v>1098</v>
      </c>
      <c r="B316" s="1" t="s">
        <v>637</v>
      </c>
      <c r="C316" s="4" t="s">
        <v>1108</v>
      </c>
      <c r="D316" s="2">
        <v>3</v>
      </c>
      <c r="E316" s="2"/>
      <c r="F316" s="229">
        <f>Таблица3[[#This Row],[Площадь (приват.)]]+Таблица3[[#This Row],[Площадь (муницип.)]]</f>
        <v>607.5</v>
      </c>
      <c r="G316">
        <v>607.5</v>
      </c>
      <c r="H316">
        <v>607.5</v>
      </c>
      <c r="I316">
        <v>0</v>
      </c>
      <c r="J316">
        <v>0</v>
      </c>
      <c r="K316">
        <v>8</v>
      </c>
      <c r="L316" s="3"/>
    </row>
    <row r="317" spans="1:12" ht="13.15" customHeight="1" x14ac:dyDescent="0.25">
      <c r="A317" s="224" t="s">
        <v>1082</v>
      </c>
      <c r="B317" s="1" t="s">
        <v>709</v>
      </c>
      <c r="C317" s="4" t="s">
        <v>1108</v>
      </c>
      <c r="D317" s="2">
        <v>30</v>
      </c>
      <c r="E317" s="2"/>
      <c r="F317" s="229">
        <f>Таблица3[[#This Row],[Площадь (приват.)]]+Таблица3[[#This Row],[Площадь (муницип.)]]</f>
        <v>3494.89</v>
      </c>
      <c r="G317">
        <v>3494.89</v>
      </c>
      <c r="H317">
        <v>3463.69</v>
      </c>
      <c r="I317">
        <v>31.2</v>
      </c>
      <c r="J317">
        <v>0</v>
      </c>
      <c r="K317">
        <v>100</v>
      </c>
      <c r="L317" s="3"/>
    </row>
    <row r="318" spans="1:12" ht="13.15" customHeight="1" x14ac:dyDescent="0.25">
      <c r="A318" s="224" t="s">
        <v>1082</v>
      </c>
      <c r="B318" s="1" t="s">
        <v>710</v>
      </c>
      <c r="C318" s="4" t="s">
        <v>1108</v>
      </c>
      <c r="D318" s="2">
        <v>32</v>
      </c>
      <c r="E318" s="2" t="s">
        <v>1085</v>
      </c>
      <c r="F318" s="229">
        <f>Таблица3[[#This Row],[Площадь (приват.)]]+Таблица3[[#This Row],[Площадь (муницип.)]]</f>
        <v>3209.1</v>
      </c>
      <c r="G318">
        <v>3209.1</v>
      </c>
      <c r="H318">
        <v>3181.5</v>
      </c>
      <c r="I318">
        <v>27.6</v>
      </c>
      <c r="J318">
        <v>0</v>
      </c>
      <c r="K318">
        <v>70</v>
      </c>
      <c r="L318" s="3"/>
    </row>
    <row r="319" spans="1:12" ht="13.15" customHeight="1" x14ac:dyDescent="0.25">
      <c r="A319" s="224" t="s">
        <v>1082</v>
      </c>
      <c r="B319" s="1" t="s">
        <v>711</v>
      </c>
      <c r="C319" s="4" t="s">
        <v>1108</v>
      </c>
      <c r="D319" s="2">
        <v>34</v>
      </c>
      <c r="E319" s="2"/>
      <c r="F319" s="229">
        <f>Таблица3[[#This Row],[Площадь (приват.)]]+Таблица3[[#This Row],[Площадь (муницип.)]]</f>
        <v>3465.6</v>
      </c>
      <c r="G319">
        <v>3494.4</v>
      </c>
      <c r="H319">
        <v>3432.7</v>
      </c>
      <c r="I319">
        <v>32.9</v>
      </c>
      <c r="J319">
        <v>28.8</v>
      </c>
      <c r="K319">
        <v>99</v>
      </c>
      <c r="L319" s="3"/>
    </row>
    <row r="320" spans="1:12" ht="13.15" customHeight="1" x14ac:dyDescent="0.25">
      <c r="A320" s="224" t="s">
        <v>1082</v>
      </c>
      <c r="B320" s="1" t="s">
        <v>712</v>
      </c>
      <c r="C320" s="4" t="s">
        <v>1108</v>
      </c>
      <c r="D320" s="2">
        <v>36</v>
      </c>
      <c r="E320" s="2"/>
      <c r="F320" s="229">
        <f>Таблица3[[#This Row],[Площадь (приват.)]]+Таблица3[[#This Row],[Площадь (муницип.)]]</f>
        <v>4824.26</v>
      </c>
      <c r="G320">
        <v>4882.76</v>
      </c>
      <c r="H320">
        <v>4824.26</v>
      </c>
      <c r="I320">
        <v>0</v>
      </c>
      <c r="J320">
        <v>58.5</v>
      </c>
      <c r="K320">
        <v>119</v>
      </c>
      <c r="L320" s="3"/>
    </row>
    <row r="321" spans="1:12" ht="13.15" customHeight="1" x14ac:dyDescent="0.25">
      <c r="A321" s="224" t="s">
        <v>1082</v>
      </c>
      <c r="B321" s="1" t="s">
        <v>713</v>
      </c>
      <c r="C321" s="4" t="s">
        <v>1108</v>
      </c>
      <c r="D321" s="2">
        <v>38</v>
      </c>
      <c r="E321" s="2"/>
      <c r="F321" s="229">
        <f>Таблица3[[#This Row],[Площадь (приват.)]]+Таблица3[[#This Row],[Площадь (муницип.)]]</f>
        <v>4505.1500000000005</v>
      </c>
      <c r="G321">
        <v>5307.65</v>
      </c>
      <c r="H321">
        <v>4324.05</v>
      </c>
      <c r="I321">
        <v>181.1</v>
      </c>
      <c r="J321">
        <v>802.5</v>
      </c>
      <c r="K321">
        <v>81</v>
      </c>
      <c r="L321" s="3"/>
    </row>
    <row r="322" spans="1:12" ht="13.15" customHeight="1" x14ac:dyDescent="0.25">
      <c r="A322" s="224" t="s">
        <v>1090</v>
      </c>
      <c r="B322" s="1" t="s">
        <v>541</v>
      </c>
      <c r="C322" s="4" t="s">
        <v>1108</v>
      </c>
      <c r="D322" s="2">
        <v>4</v>
      </c>
      <c r="E322" s="2"/>
      <c r="F322" s="229">
        <f>Таблица3[[#This Row],[Площадь (приват.)]]+Таблица3[[#This Row],[Площадь (муницип.)]]</f>
        <v>2890.3</v>
      </c>
      <c r="G322">
        <v>3397.8</v>
      </c>
      <c r="H322">
        <v>2890.3</v>
      </c>
      <c r="I322">
        <v>0</v>
      </c>
      <c r="J322">
        <v>507.5</v>
      </c>
      <c r="K322">
        <v>49</v>
      </c>
      <c r="L322" s="3"/>
    </row>
    <row r="323" spans="1:12" ht="13.15" customHeight="1" x14ac:dyDescent="0.25">
      <c r="A323" s="224" t="s">
        <v>1098</v>
      </c>
      <c r="B323" s="1" t="s">
        <v>638</v>
      </c>
      <c r="C323" s="4" t="s">
        <v>1108</v>
      </c>
      <c r="D323" s="2">
        <v>5</v>
      </c>
      <c r="E323" s="2"/>
      <c r="F323" s="229">
        <f>Таблица3[[#This Row],[Площадь (приват.)]]+Таблица3[[#This Row],[Площадь (муницип.)]]</f>
        <v>2996</v>
      </c>
      <c r="G323">
        <v>3567.9</v>
      </c>
      <c r="H323">
        <v>2996</v>
      </c>
      <c r="I323">
        <v>0</v>
      </c>
      <c r="J323">
        <v>571.9</v>
      </c>
      <c r="K323">
        <v>48</v>
      </c>
      <c r="L323" s="3"/>
    </row>
    <row r="324" spans="1:12" ht="13.15" customHeight="1" x14ac:dyDescent="0.25">
      <c r="A324" s="224" t="s">
        <v>1098</v>
      </c>
      <c r="B324" s="1" t="s">
        <v>639</v>
      </c>
      <c r="C324" s="4" t="s">
        <v>1108</v>
      </c>
      <c r="D324" s="2">
        <v>5</v>
      </c>
      <c r="E324" s="2" t="s">
        <v>1085</v>
      </c>
      <c r="F324" s="229">
        <f>Таблица3[[#This Row],[Площадь (приват.)]]+Таблица3[[#This Row],[Площадь (муницип.)]]</f>
        <v>1230.0999999999999</v>
      </c>
      <c r="G324">
        <v>1979.6</v>
      </c>
      <c r="H324">
        <v>1230.0999999999999</v>
      </c>
      <c r="I324">
        <v>0</v>
      </c>
      <c r="J324">
        <v>749.5</v>
      </c>
      <c r="K324">
        <v>25</v>
      </c>
      <c r="L324" s="3"/>
    </row>
    <row r="325" spans="1:12" ht="13.15" customHeight="1" x14ac:dyDescent="0.25">
      <c r="A325" s="224" t="s">
        <v>1090</v>
      </c>
      <c r="B325" s="1" t="s">
        <v>542</v>
      </c>
      <c r="C325" s="4" t="s">
        <v>1108</v>
      </c>
      <c r="D325" s="2">
        <v>6</v>
      </c>
      <c r="E325" s="2"/>
      <c r="F325" s="229">
        <f>Таблица3[[#This Row],[Площадь (приват.)]]+Таблица3[[#This Row],[Площадь (муницип.)]]</f>
        <v>5745.4</v>
      </c>
      <c r="G325">
        <v>6537.7</v>
      </c>
      <c r="H325">
        <v>5745.4</v>
      </c>
      <c r="I325">
        <v>0</v>
      </c>
      <c r="J325">
        <v>792.3</v>
      </c>
      <c r="K325">
        <v>92</v>
      </c>
      <c r="L325" s="3"/>
    </row>
    <row r="326" spans="1:12" ht="13.15" customHeight="1" x14ac:dyDescent="0.25">
      <c r="A326" s="224" t="s">
        <v>1090</v>
      </c>
      <c r="B326" s="1" t="s">
        <v>543</v>
      </c>
      <c r="C326" s="4" t="s">
        <v>1108</v>
      </c>
      <c r="D326" s="2">
        <v>6</v>
      </c>
      <c r="E326" s="2" t="s">
        <v>1085</v>
      </c>
      <c r="F326" s="229">
        <f>Таблица3[[#This Row],[Площадь (приват.)]]+Таблица3[[#This Row],[Площадь (муницип.)]]</f>
        <v>3654.7</v>
      </c>
      <c r="G326">
        <v>3965.2</v>
      </c>
      <c r="H326">
        <v>3607.1</v>
      </c>
      <c r="I326">
        <v>47.6</v>
      </c>
      <c r="J326">
        <v>310.5</v>
      </c>
      <c r="K326">
        <v>59</v>
      </c>
      <c r="L326" s="3"/>
    </row>
    <row r="327" spans="1:12" ht="13.15" customHeight="1" x14ac:dyDescent="0.25">
      <c r="A327" s="224" t="s">
        <v>1090</v>
      </c>
      <c r="B327" s="1" t="s">
        <v>544</v>
      </c>
      <c r="C327" s="4" t="s">
        <v>1108</v>
      </c>
      <c r="D327" s="2">
        <v>8</v>
      </c>
      <c r="E327" s="2"/>
      <c r="F327" s="229">
        <f>Таблица3[[#This Row],[Площадь (приват.)]]+Таблица3[[#This Row],[Площадь (муницип.)]]</f>
        <v>5972.04</v>
      </c>
      <c r="G327">
        <v>7469.64</v>
      </c>
      <c r="H327">
        <v>5888.04</v>
      </c>
      <c r="I327">
        <v>84</v>
      </c>
      <c r="J327">
        <v>1497.6</v>
      </c>
      <c r="K327">
        <v>88</v>
      </c>
      <c r="L327" s="3"/>
    </row>
    <row r="328" spans="1:12" ht="13.15" customHeight="1" x14ac:dyDescent="0.25">
      <c r="A328" s="224" t="s">
        <v>1098</v>
      </c>
      <c r="B328" s="1" t="s">
        <v>1013</v>
      </c>
      <c r="C328" s="4" t="s">
        <v>1108</v>
      </c>
      <c r="D328" s="2">
        <v>9</v>
      </c>
      <c r="E328" s="2"/>
      <c r="F328" s="229">
        <f>Таблица3[[#This Row],[Площадь (приват.)]]+Таблица3[[#This Row],[Площадь (муницип.)]]</f>
        <v>3750.1</v>
      </c>
      <c r="G328">
        <v>4590.3999999999996</v>
      </c>
      <c r="H328">
        <v>3750.1</v>
      </c>
      <c r="I328">
        <v>0</v>
      </c>
      <c r="J328">
        <v>840.3</v>
      </c>
      <c r="K328">
        <v>60</v>
      </c>
      <c r="L328" s="3"/>
    </row>
    <row r="329" spans="1:12" ht="13.15" customHeight="1" x14ac:dyDescent="0.25">
      <c r="A329" s="224" t="s">
        <v>1084</v>
      </c>
      <c r="B329" s="1" t="s">
        <v>613</v>
      </c>
      <c r="C329" s="4" t="s">
        <v>1109</v>
      </c>
      <c r="D329" s="2">
        <v>13</v>
      </c>
      <c r="E329" s="2"/>
      <c r="F329" s="229">
        <f>Таблица3[[#This Row],[Площадь (приват.)]]+Таблица3[[#This Row],[Площадь (муницип.)]]</f>
        <v>3089.67</v>
      </c>
      <c r="G329">
        <v>3229.27</v>
      </c>
      <c r="H329">
        <v>2994.67</v>
      </c>
      <c r="I329">
        <v>95</v>
      </c>
      <c r="J329">
        <v>139.6</v>
      </c>
      <c r="K329">
        <v>77</v>
      </c>
      <c r="L329" s="3"/>
    </row>
    <row r="330" spans="1:12" ht="13.15" customHeight="1" x14ac:dyDescent="0.25">
      <c r="A330" s="224" t="s">
        <v>1084</v>
      </c>
      <c r="B330" s="1" t="s">
        <v>614</v>
      </c>
      <c r="C330" s="4" t="s">
        <v>1109</v>
      </c>
      <c r="D330" s="2">
        <v>15</v>
      </c>
      <c r="E330" s="2"/>
      <c r="F330" s="229">
        <f>Таблица3[[#This Row],[Площадь (приват.)]]+Таблица3[[#This Row],[Площадь (муницип.)]]</f>
        <v>2607.6</v>
      </c>
      <c r="G330">
        <v>2607.6</v>
      </c>
      <c r="H330">
        <v>2566.1999999999998</v>
      </c>
      <c r="I330">
        <v>41.4</v>
      </c>
      <c r="J330">
        <v>0</v>
      </c>
      <c r="K330">
        <v>60</v>
      </c>
      <c r="L330" s="3"/>
    </row>
    <row r="331" spans="1:12" ht="13.15" customHeight="1" x14ac:dyDescent="0.25">
      <c r="A331" s="224" t="s">
        <v>1084</v>
      </c>
      <c r="B331" s="1" t="s">
        <v>615</v>
      </c>
      <c r="C331" s="4" t="s">
        <v>1109</v>
      </c>
      <c r="D331" s="2">
        <v>15</v>
      </c>
      <c r="E331" s="2" t="s">
        <v>1085</v>
      </c>
      <c r="F331" s="229">
        <f>Таблица3[[#This Row],[Площадь (приват.)]]+Таблица3[[#This Row],[Площадь (муницип.)]]</f>
        <v>2515.4</v>
      </c>
      <c r="G331">
        <v>2515.4</v>
      </c>
      <c r="H331">
        <v>2515.4</v>
      </c>
      <c r="I331">
        <v>0</v>
      </c>
      <c r="J331">
        <v>0</v>
      </c>
      <c r="K331">
        <v>60</v>
      </c>
      <c r="L331" s="3"/>
    </row>
    <row r="332" spans="1:12" ht="13.15" customHeight="1" x14ac:dyDescent="0.25">
      <c r="A332" s="224" t="s">
        <v>1084</v>
      </c>
      <c r="B332" s="1" t="s">
        <v>616</v>
      </c>
      <c r="C332" s="4" t="s">
        <v>1109</v>
      </c>
      <c r="D332" s="2">
        <v>17</v>
      </c>
      <c r="E332" s="2"/>
      <c r="F332" s="229">
        <f>Таблица3[[#This Row],[Площадь (приват.)]]+Таблица3[[#This Row],[Площадь (муницип.)]]</f>
        <v>2514.1999999999998</v>
      </c>
      <c r="G332">
        <v>2585.9</v>
      </c>
      <c r="H332">
        <v>2290.6</v>
      </c>
      <c r="I332">
        <v>223.6</v>
      </c>
      <c r="J332">
        <v>71.7</v>
      </c>
      <c r="K332">
        <v>58</v>
      </c>
      <c r="L332" s="3"/>
    </row>
    <row r="333" spans="1:12" ht="13.15" customHeight="1" x14ac:dyDescent="0.25">
      <c r="A333" s="224" t="s">
        <v>1084</v>
      </c>
      <c r="B333" s="1" t="s">
        <v>617</v>
      </c>
      <c r="C333" s="4" t="s">
        <v>1109</v>
      </c>
      <c r="D333" s="2">
        <v>17</v>
      </c>
      <c r="E333" s="2" t="s">
        <v>1085</v>
      </c>
      <c r="F333" s="229">
        <f>Таблица3[[#This Row],[Площадь (приват.)]]+Таблица3[[#This Row],[Площадь (муницип.)]]</f>
        <v>2519.35</v>
      </c>
      <c r="G333">
        <v>2519.35</v>
      </c>
      <c r="H333">
        <v>2478.75</v>
      </c>
      <c r="I333">
        <v>40.6</v>
      </c>
      <c r="J333">
        <v>0</v>
      </c>
      <c r="K333">
        <v>60</v>
      </c>
      <c r="L333" s="3"/>
    </row>
    <row r="334" spans="1:12" ht="13.15" customHeight="1" x14ac:dyDescent="0.25">
      <c r="A334" s="224" t="s">
        <v>1084</v>
      </c>
      <c r="B334" s="1" t="s">
        <v>611</v>
      </c>
      <c r="C334" s="4" t="s">
        <v>1109</v>
      </c>
      <c r="D334" s="2">
        <v>7</v>
      </c>
      <c r="E334" s="2"/>
      <c r="F334" s="229">
        <f>Таблица3[[#This Row],[Площадь (приват.)]]+Таблица3[[#This Row],[Площадь (муницип.)]]</f>
        <v>3167</v>
      </c>
      <c r="G334">
        <v>3167</v>
      </c>
      <c r="H334">
        <v>3083</v>
      </c>
      <c r="I334">
        <v>84</v>
      </c>
      <c r="J334">
        <v>0</v>
      </c>
      <c r="K334">
        <v>80</v>
      </c>
      <c r="L334" s="3"/>
    </row>
    <row r="335" spans="1:12" ht="13.15" customHeight="1" x14ac:dyDescent="0.25">
      <c r="A335" s="224" t="s">
        <v>1084</v>
      </c>
      <c r="B335" s="1" t="s">
        <v>612</v>
      </c>
      <c r="C335" s="4" t="s">
        <v>1109</v>
      </c>
      <c r="D335" s="2">
        <v>9</v>
      </c>
      <c r="E335" s="2"/>
      <c r="F335" s="229">
        <f>Таблица3[[#This Row],[Площадь (приват.)]]+Таблица3[[#This Row],[Площадь (муницип.)]]</f>
        <v>3167</v>
      </c>
      <c r="G335">
        <v>3167</v>
      </c>
      <c r="H335">
        <v>3127.4</v>
      </c>
      <c r="I335">
        <v>39.6</v>
      </c>
      <c r="J335">
        <v>0</v>
      </c>
      <c r="K335">
        <v>80</v>
      </c>
      <c r="L335" s="3"/>
    </row>
    <row r="336" spans="1:12" ht="13.15" customHeight="1" x14ac:dyDescent="0.25">
      <c r="A336" s="224" t="s">
        <v>1086</v>
      </c>
      <c r="B336" s="1" t="s">
        <v>720</v>
      </c>
      <c r="C336" s="4" t="s">
        <v>1110</v>
      </c>
      <c r="D336" s="2">
        <v>26</v>
      </c>
      <c r="E336" s="2"/>
      <c r="F336" s="229">
        <f>Таблица3[[#This Row],[Площадь (приват.)]]+Таблица3[[#This Row],[Площадь (муницип.)]]</f>
        <v>426.4</v>
      </c>
      <c r="G336">
        <v>638.29999999999995</v>
      </c>
      <c r="H336">
        <v>398.89</v>
      </c>
      <c r="I336">
        <v>27.51</v>
      </c>
      <c r="J336">
        <v>211.9</v>
      </c>
      <c r="K336">
        <v>3</v>
      </c>
      <c r="L336" s="3"/>
    </row>
    <row r="337" spans="1:12" ht="13.15" customHeight="1" x14ac:dyDescent="0.25">
      <c r="A337" s="224" t="s">
        <v>1088</v>
      </c>
      <c r="B337" s="1" t="s">
        <v>402</v>
      </c>
      <c r="C337" s="4" t="s">
        <v>1110</v>
      </c>
      <c r="D337" s="2">
        <v>43</v>
      </c>
      <c r="E337" s="2"/>
      <c r="F337" s="229">
        <f>Таблица3[[#This Row],[Площадь (приват.)]]+Таблица3[[#This Row],[Площадь (муницип.)]]</f>
        <v>4656.1000000000004</v>
      </c>
      <c r="G337">
        <v>5273</v>
      </c>
      <c r="H337">
        <v>4656.1000000000004</v>
      </c>
      <c r="I337">
        <v>0</v>
      </c>
      <c r="J337">
        <v>616.9</v>
      </c>
      <c r="K337">
        <v>73</v>
      </c>
      <c r="L337" s="3"/>
    </row>
    <row r="338" spans="1:12" ht="13.15" customHeight="1" x14ac:dyDescent="0.25">
      <c r="A338" s="224" t="s">
        <v>1088</v>
      </c>
      <c r="B338" s="1" t="s">
        <v>403</v>
      </c>
      <c r="C338" s="4" t="s">
        <v>1110</v>
      </c>
      <c r="D338" s="2">
        <v>43</v>
      </c>
      <c r="E338" s="2" t="s">
        <v>1085</v>
      </c>
      <c r="F338" s="229">
        <f>Таблица3[[#This Row],[Площадь (приват.)]]+Таблица3[[#This Row],[Площадь (муницип.)]]</f>
        <v>1324.24</v>
      </c>
      <c r="G338">
        <v>1968.64</v>
      </c>
      <c r="H338">
        <v>1324.24</v>
      </c>
      <c r="I338">
        <v>0</v>
      </c>
      <c r="J338">
        <v>644.4</v>
      </c>
      <c r="K338">
        <v>27</v>
      </c>
      <c r="L338" s="3"/>
    </row>
    <row r="339" spans="1:12" ht="13.15" customHeight="1" x14ac:dyDescent="0.25">
      <c r="A339" s="224" t="s">
        <v>1088</v>
      </c>
      <c r="B339" s="1" t="s">
        <v>404</v>
      </c>
      <c r="C339" s="4" t="s">
        <v>1110</v>
      </c>
      <c r="D339" s="2">
        <v>45</v>
      </c>
      <c r="E339" s="2"/>
      <c r="F339" s="229">
        <f>Таблица3[[#This Row],[Площадь (приват.)]]+Таблица3[[#This Row],[Площадь (муницип.)]]</f>
        <v>616.79999999999995</v>
      </c>
      <c r="G339">
        <v>616.79999999999995</v>
      </c>
      <c r="H339">
        <v>616.79999999999995</v>
      </c>
      <c r="I339">
        <v>0</v>
      </c>
      <c r="J339">
        <v>0</v>
      </c>
      <c r="K339">
        <v>8</v>
      </c>
      <c r="L339" s="3"/>
    </row>
    <row r="340" spans="1:12" ht="13.15" customHeight="1" x14ac:dyDescent="0.25">
      <c r="A340" s="224" t="s">
        <v>1088</v>
      </c>
      <c r="B340" s="1" t="s">
        <v>405</v>
      </c>
      <c r="C340" s="4" t="s">
        <v>1110</v>
      </c>
      <c r="D340" s="2">
        <v>47</v>
      </c>
      <c r="E340" s="2"/>
      <c r="F340" s="229">
        <f>Таблица3[[#This Row],[Площадь (приват.)]]+Таблица3[[#This Row],[Площадь (муницип.)]]</f>
        <v>1650</v>
      </c>
      <c r="G340">
        <v>2112.5</v>
      </c>
      <c r="H340">
        <v>1650</v>
      </c>
      <c r="I340">
        <v>0</v>
      </c>
      <c r="J340">
        <v>462.5</v>
      </c>
      <c r="K340">
        <v>26</v>
      </c>
      <c r="L340" s="3"/>
    </row>
    <row r="341" spans="1:12" ht="13.15" customHeight="1" x14ac:dyDescent="0.25">
      <c r="A341" s="224" t="s">
        <v>1088</v>
      </c>
      <c r="B341" s="1" t="s">
        <v>406</v>
      </c>
      <c r="C341" s="4" t="s">
        <v>1110</v>
      </c>
      <c r="D341" s="2">
        <v>48</v>
      </c>
      <c r="E341" s="2"/>
      <c r="F341" s="229">
        <f>Таблица3[[#This Row],[Площадь (приват.)]]+Таблица3[[#This Row],[Площадь (муницип.)]]</f>
        <v>2329.25</v>
      </c>
      <c r="G341">
        <v>2990.95</v>
      </c>
      <c r="H341">
        <v>2329.25</v>
      </c>
      <c r="I341">
        <v>0</v>
      </c>
      <c r="J341">
        <v>661.7</v>
      </c>
      <c r="K341">
        <v>43</v>
      </c>
      <c r="L341" s="3"/>
    </row>
    <row r="342" spans="1:12" ht="13.15" customHeight="1" x14ac:dyDescent="0.25">
      <c r="A342" s="224" t="s">
        <v>1088</v>
      </c>
      <c r="B342" s="1" t="s">
        <v>407</v>
      </c>
      <c r="C342" s="4" t="s">
        <v>1110</v>
      </c>
      <c r="D342" s="2">
        <v>49</v>
      </c>
      <c r="E342" s="2"/>
      <c r="F342" s="229">
        <f>Таблица3[[#This Row],[Площадь (приват.)]]+Таблица3[[#This Row],[Площадь (муницип.)]]</f>
        <v>6697.6</v>
      </c>
      <c r="G342">
        <v>8284.2000000000007</v>
      </c>
      <c r="H342">
        <v>6590</v>
      </c>
      <c r="I342">
        <v>107.6</v>
      </c>
      <c r="J342">
        <v>1586.6</v>
      </c>
      <c r="K342">
        <v>104</v>
      </c>
      <c r="L342" s="3"/>
    </row>
    <row r="343" spans="1:12" ht="13.15" customHeight="1" x14ac:dyDescent="0.25">
      <c r="A343" s="224" t="s">
        <v>1088</v>
      </c>
      <c r="B343" s="1" t="s">
        <v>408</v>
      </c>
      <c r="C343" s="4" t="s">
        <v>1110</v>
      </c>
      <c r="D343" s="2">
        <v>50</v>
      </c>
      <c r="E343" s="2"/>
      <c r="F343" s="229">
        <f>Таблица3[[#This Row],[Площадь (приват.)]]+Таблица3[[#This Row],[Площадь (муницип.)]]</f>
        <v>2332.9</v>
      </c>
      <c r="G343">
        <v>2662.9</v>
      </c>
      <c r="H343">
        <v>2295.6</v>
      </c>
      <c r="I343">
        <v>37.299999999999997</v>
      </c>
      <c r="J343">
        <v>330</v>
      </c>
      <c r="K343">
        <v>43</v>
      </c>
      <c r="L343" s="3"/>
    </row>
    <row r="344" spans="1:12" ht="13.15" customHeight="1" x14ac:dyDescent="0.25">
      <c r="A344" s="224" t="s">
        <v>1088</v>
      </c>
      <c r="B344" s="1" t="s">
        <v>409</v>
      </c>
      <c r="C344" s="4" t="s">
        <v>1110</v>
      </c>
      <c r="D344" s="2">
        <v>52</v>
      </c>
      <c r="E344" s="2"/>
      <c r="F344" s="229">
        <f>Таблица3[[#This Row],[Площадь (приват.)]]+Таблица3[[#This Row],[Площадь (муницип.)]]</f>
        <v>2320.52</v>
      </c>
      <c r="G344">
        <v>2578.12</v>
      </c>
      <c r="H344">
        <v>2320.52</v>
      </c>
      <c r="I344">
        <v>0</v>
      </c>
      <c r="J344">
        <v>257.60000000000002</v>
      </c>
      <c r="K344">
        <v>52</v>
      </c>
      <c r="L344" s="3"/>
    </row>
    <row r="345" spans="1:12" ht="13.15" customHeight="1" x14ac:dyDescent="0.25">
      <c r="A345" s="224" t="s">
        <v>1088</v>
      </c>
      <c r="B345" s="1" t="s">
        <v>410</v>
      </c>
      <c r="C345" s="4" t="s">
        <v>1110</v>
      </c>
      <c r="D345" s="2">
        <v>54</v>
      </c>
      <c r="E345" s="2"/>
      <c r="F345" s="229">
        <f>Таблица3[[#This Row],[Площадь (приват.)]]+Таблица3[[#This Row],[Площадь (муницип.)]]</f>
        <v>1329.4</v>
      </c>
      <c r="G345">
        <v>1935.1</v>
      </c>
      <c r="H345">
        <v>1261.5</v>
      </c>
      <c r="I345">
        <v>67.900000000000006</v>
      </c>
      <c r="J345">
        <v>605.70000000000005</v>
      </c>
      <c r="K345">
        <v>23</v>
      </c>
      <c r="L345" s="3"/>
    </row>
    <row r="346" spans="1:12" ht="13.15" customHeight="1" x14ac:dyDescent="0.25">
      <c r="A346" s="224" t="s">
        <v>1088</v>
      </c>
      <c r="B346" s="1" t="s">
        <v>411</v>
      </c>
      <c r="C346" s="4" t="s">
        <v>1110</v>
      </c>
      <c r="D346" s="2">
        <v>54</v>
      </c>
      <c r="E346" s="2" t="s">
        <v>1085</v>
      </c>
      <c r="F346" s="229">
        <f>Таблица3[[#This Row],[Площадь (приват.)]]+Таблица3[[#This Row],[Площадь (муницип.)]]</f>
        <v>1125.1199999999999</v>
      </c>
      <c r="G346">
        <v>1315.52</v>
      </c>
      <c r="H346">
        <v>1125.1199999999999</v>
      </c>
      <c r="I346">
        <v>0</v>
      </c>
      <c r="J346">
        <v>190.4</v>
      </c>
      <c r="K346">
        <v>18</v>
      </c>
      <c r="L346" s="3"/>
    </row>
    <row r="347" spans="1:12" ht="13.15" customHeight="1" x14ac:dyDescent="0.25">
      <c r="A347" s="224" t="s">
        <v>1088</v>
      </c>
      <c r="B347" s="1" t="s">
        <v>412</v>
      </c>
      <c r="C347" s="4" t="s">
        <v>1110</v>
      </c>
      <c r="D347" s="2">
        <v>54</v>
      </c>
      <c r="E347" s="2" t="s">
        <v>1092</v>
      </c>
      <c r="F347" s="229">
        <f>Таблица3[[#This Row],[Площадь (приват.)]]+Таблица3[[#This Row],[Площадь (муницип.)]]</f>
        <v>1712.9</v>
      </c>
      <c r="G347">
        <v>1712.9</v>
      </c>
      <c r="H347">
        <v>1712.9</v>
      </c>
      <c r="I347">
        <v>0</v>
      </c>
      <c r="J347">
        <v>0</v>
      </c>
      <c r="K347">
        <v>27</v>
      </c>
      <c r="L347" s="3"/>
    </row>
    <row r="348" spans="1:12" ht="13.15" customHeight="1" x14ac:dyDescent="0.25">
      <c r="A348" s="224" t="s">
        <v>1088</v>
      </c>
      <c r="B348" s="1" t="s">
        <v>413</v>
      </c>
      <c r="C348" s="4" t="s">
        <v>1110</v>
      </c>
      <c r="D348" s="2">
        <v>55</v>
      </c>
      <c r="E348" s="2"/>
      <c r="F348" s="229">
        <f>Таблица3[[#This Row],[Площадь (приват.)]]+Таблица3[[#This Row],[Площадь (муницип.)]]</f>
        <v>4152.4000000000005</v>
      </c>
      <c r="G348">
        <v>4288.8999999999996</v>
      </c>
      <c r="H348">
        <v>4110.8</v>
      </c>
      <c r="I348">
        <v>41.6</v>
      </c>
      <c r="J348">
        <v>136.5</v>
      </c>
      <c r="K348">
        <v>70</v>
      </c>
      <c r="L348" s="3"/>
    </row>
    <row r="349" spans="1:12" ht="13.15" customHeight="1" x14ac:dyDescent="0.25">
      <c r="A349" s="224" t="s">
        <v>1088</v>
      </c>
      <c r="B349" s="1" t="s">
        <v>414</v>
      </c>
      <c r="C349" s="4" t="s">
        <v>1110</v>
      </c>
      <c r="D349" s="2">
        <v>57</v>
      </c>
      <c r="E349" s="2"/>
      <c r="F349" s="229">
        <f>Таблица3[[#This Row],[Площадь (приват.)]]+Таблица3[[#This Row],[Площадь (муницип.)]]</f>
        <v>912.3</v>
      </c>
      <c r="G349">
        <v>912.3</v>
      </c>
      <c r="H349">
        <v>912.3</v>
      </c>
      <c r="I349">
        <v>0</v>
      </c>
      <c r="J349">
        <v>0</v>
      </c>
      <c r="K349">
        <v>12</v>
      </c>
      <c r="L349" s="3"/>
    </row>
    <row r="350" spans="1:12" ht="13.15" customHeight="1" x14ac:dyDescent="0.25">
      <c r="A350" s="224" t="s">
        <v>1088</v>
      </c>
      <c r="B350" s="1" t="s">
        <v>415</v>
      </c>
      <c r="C350" s="4" t="s">
        <v>1110</v>
      </c>
      <c r="D350" s="2">
        <v>58</v>
      </c>
      <c r="E350" s="2"/>
      <c r="F350" s="229">
        <f>Таблица3[[#This Row],[Площадь (приват.)]]+Таблица3[[#This Row],[Площадь (муницип.)]]</f>
        <v>5608.27</v>
      </c>
      <c r="G350">
        <v>6586.17</v>
      </c>
      <c r="H350">
        <v>5548.97</v>
      </c>
      <c r="I350">
        <v>59.3</v>
      </c>
      <c r="J350">
        <v>977.9</v>
      </c>
      <c r="K350">
        <v>79</v>
      </c>
      <c r="L350" s="3"/>
    </row>
    <row r="351" spans="1:12" ht="13.15" customHeight="1" x14ac:dyDescent="0.25">
      <c r="A351" s="224" t="s">
        <v>1088</v>
      </c>
      <c r="B351" s="1" t="s">
        <v>416</v>
      </c>
      <c r="C351" s="4" t="s">
        <v>1110</v>
      </c>
      <c r="D351" s="2">
        <v>58</v>
      </c>
      <c r="E351" s="2" t="s">
        <v>1085</v>
      </c>
      <c r="F351" s="229">
        <f>Таблица3[[#This Row],[Площадь (приват.)]]+Таблица3[[#This Row],[Площадь (муницип.)]]</f>
        <v>1549.4</v>
      </c>
      <c r="G351">
        <v>1999.6</v>
      </c>
      <c r="H351">
        <v>1549.4</v>
      </c>
      <c r="I351">
        <v>0</v>
      </c>
      <c r="J351">
        <v>450.2</v>
      </c>
      <c r="K351">
        <v>24</v>
      </c>
      <c r="L351" s="3"/>
    </row>
    <row r="352" spans="1:12" ht="13.15" customHeight="1" x14ac:dyDescent="0.25">
      <c r="A352" s="224" t="s">
        <v>1088</v>
      </c>
      <c r="B352" s="1" t="s">
        <v>417</v>
      </c>
      <c r="C352" s="4" t="s">
        <v>1110</v>
      </c>
      <c r="D352" s="2">
        <v>58</v>
      </c>
      <c r="E352" s="2" t="s">
        <v>1092</v>
      </c>
      <c r="F352" s="229">
        <f>Таблица3[[#This Row],[Площадь (приват.)]]+Таблица3[[#This Row],[Площадь (муницип.)]]</f>
        <v>881.1</v>
      </c>
      <c r="G352">
        <v>1565.5</v>
      </c>
      <c r="H352">
        <v>784.1</v>
      </c>
      <c r="I352">
        <v>97</v>
      </c>
      <c r="J352">
        <v>684.4</v>
      </c>
      <c r="K352">
        <v>18</v>
      </c>
      <c r="L352" s="3"/>
    </row>
    <row r="353" spans="1:12" ht="13.15" customHeight="1" x14ac:dyDescent="0.25">
      <c r="A353" s="224" t="s">
        <v>1088</v>
      </c>
      <c r="B353" s="1" t="s">
        <v>418</v>
      </c>
      <c r="C353" s="4" t="s">
        <v>1110</v>
      </c>
      <c r="D353" s="2">
        <v>59</v>
      </c>
      <c r="E353" s="2"/>
      <c r="F353" s="229">
        <f>Таблица3[[#This Row],[Площадь (приват.)]]+Таблица3[[#This Row],[Площадь (муницип.)]]</f>
        <v>5792.5999999999995</v>
      </c>
      <c r="G353">
        <v>5986.7</v>
      </c>
      <c r="H353">
        <v>5743.7</v>
      </c>
      <c r="I353">
        <v>48.9</v>
      </c>
      <c r="J353">
        <v>194.1</v>
      </c>
      <c r="K353">
        <v>92</v>
      </c>
      <c r="L353" s="3"/>
    </row>
    <row r="354" spans="1:12" ht="13.15" customHeight="1" x14ac:dyDescent="0.25">
      <c r="A354" s="224" t="s">
        <v>1084</v>
      </c>
      <c r="B354" s="1" t="s">
        <v>618</v>
      </c>
      <c r="C354" s="4" t="s">
        <v>1111</v>
      </c>
      <c r="D354" s="2">
        <v>85</v>
      </c>
      <c r="E354" s="2"/>
      <c r="F354" s="229">
        <f>Таблица3[[#This Row],[Площадь (приват.)]]+Таблица3[[#This Row],[Площадь (муницип.)]]</f>
        <v>2013.4</v>
      </c>
      <c r="G354">
        <v>2013.4</v>
      </c>
      <c r="H354">
        <v>2013.4</v>
      </c>
      <c r="I354">
        <v>0</v>
      </c>
      <c r="J354">
        <v>0</v>
      </c>
      <c r="K354">
        <v>60</v>
      </c>
      <c r="L354" s="3"/>
    </row>
    <row r="355" spans="1:12" ht="13.15" customHeight="1" x14ac:dyDescent="0.25">
      <c r="A355" s="224" t="s">
        <v>1086</v>
      </c>
      <c r="B355" s="1" t="s">
        <v>1056</v>
      </c>
      <c r="C355" s="4" t="s">
        <v>1112</v>
      </c>
      <c r="D355" s="2">
        <v>39</v>
      </c>
      <c r="E355" s="2"/>
      <c r="F355" s="229">
        <f>Таблица3[[#This Row],[Площадь (приват.)]]+Таблица3[[#This Row],[Площадь (муницип.)]]</f>
        <v>519.70000000000005</v>
      </c>
      <c r="G355">
        <v>519.70000000000005</v>
      </c>
      <c r="H355">
        <v>519.70000000000005</v>
      </c>
      <c r="I355">
        <v>0</v>
      </c>
      <c r="J355">
        <v>0</v>
      </c>
      <c r="K355">
        <v>16</v>
      </c>
      <c r="L355" s="3"/>
    </row>
    <row r="356" spans="1:12" ht="13.15" customHeight="1" x14ac:dyDescent="0.25">
      <c r="A356" s="224" t="s">
        <v>1089</v>
      </c>
      <c r="B356" s="1" t="s">
        <v>493</v>
      </c>
      <c r="C356" s="4" t="s">
        <v>1113</v>
      </c>
      <c r="D356" s="2">
        <v>16</v>
      </c>
      <c r="E356" s="2"/>
      <c r="F356" s="229">
        <f>Таблица3[[#This Row],[Площадь (приват.)]]+Таблица3[[#This Row],[Площадь (муницип.)]]</f>
        <v>1722.2</v>
      </c>
      <c r="G356">
        <v>1923.9</v>
      </c>
      <c r="H356">
        <v>1722.2</v>
      </c>
      <c r="I356">
        <v>0</v>
      </c>
      <c r="J356">
        <v>201.7</v>
      </c>
      <c r="K356">
        <v>30</v>
      </c>
      <c r="L356" s="3"/>
    </row>
    <row r="357" spans="1:12" ht="13.15" customHeight="1" x14ac:dyDescent="0.25">
      <c r="A357" s="224" t="s">
        <v>1089</v>
      </c>
      <c r="B357" s="1" t="s">
        <v>494</v>
      </c>
      <c r="C357" s="4" t="s">
        <v>1113</v>
      </c>
      <c r="D357" s="2">
        <v>18</v>
      </c>
      <c r="E357" s="2"/>
      <c r="F357" s="229">
        <f>Таблица3[[#This Row],[Площадь (приват.)]]+Таблица3[[#This Row],[Площадь (муницип.)]]</f>
        <v>1325.97</v>
      </c>
      <c r="G357">
        <v>1325.97</v>
      </c>
      <c r="H357">
        <v>1325.97</v>
      </c>
      <c r="I357">
        <v>0</v>
      </c>
      <c r="J357">
        <v>0</v>
      </c>
      <c r="K357">
        <v>26</v>
      </c>
      <c r="L357" s="3"/>
    </row>
    <row r="358" spans="1:12" ht="13.15" customHeight="1" x14ac:dyDescent="0.25">
      <c r="A358" s="224" t="s">
        <v>1084</v>
      </c>
      <c r="B358" s="1" t="s">
        <v>619</v>
      </c>
      <c r="C358" s="4" t="s">
        <v>1113</v>
      </c>
      <c r="D358" s="2">
        <v>19</v>
      </c>
      <c r="E358" s="2"/>
      <c r="F358" s="229">
        <f>Таблица3[[#This Row],[Площадь (приват.)]]+Таблица3[[#This Row],[Площадь (муницип.)]]</f>
        <v>2008.8000000000002</v>
      </c>
      <c r="G358">
        <v>2008.8</v>
      </c>
      <c r="H358">
        <v>1966.9</v>
      </c>
      <c r="I358">
        <v>41.9</v>
      </c>
      <c r="J358">
        <v>0</v>
      </c>
      <c r="K358">
        <v>48</v>
      </c>
      <c r="L358" s="3"/>
    </row>
    <row r="359" spans="1:12" ht="13.15" customHeight="1" x14ac:dyDescent="0.25">
      <c r="A359" s="224" t="s">
        <v>1089</v>
      </c>
      <c r="B359" s="1" t="s">
        <v>495</v>
      </c>
      <c r="C359" s="4" t="s">
        <v>1113</v>
      </c>
      <c r="D359" s="2">
        <v>20</v>
      </c>
      <c r="E359" s="2"/>
      <c r="F359" s="229">
        <f>Таблица3[[#This Row],[Площадь (приват.)]]+Таблица3[[#This Row],[Площадь (муницип.)]]</f>
        <v>1335.1</v>
      </c>
      <c r="G359">
        <v>1335.1</v>
      </c>
      <c r="H359">
        <v>1240.0999999999999</v>
      </c>
      <c r="I359">
        <v>95</v>
      </c>
      <c r="J359">
        <v>0</v>
      </c>
      <c r="K359">
        <v>26</v>
      </c>
      <c r="L359" s="3"/>
    </row>
    <row r="360" spans="1:12" ht="13.15" customHeight="1" x14ac:dyDescent="0.25">
      <c r="A360" s="224" t="s">
        <v>1084</v>
      </c>
      <c r="B360" s="1" t="s">
        <v>620</v>
      </c>
      <c r="C360" s="4" t="s">
        <v>1113</v>
      </c>
      <c r="D360" s="2">
        <v>21</v>
      </c>
      <c r="E360" s="2"/>
      <c r="F360" s="229">
        <f>Таблица3[[#This Row],[Площадь (приват.)]]+Таблица3[[#This Row],[Площадь (муницип.)]]</f>
        <v>2007</v>
      </c>
      <c r="G360">
        <v>2007</v>
      </c>
      <c r="H360">
        <v>2007</v>
      </c>
      <c r="I360">
        <v>0</v>
      </c>
      <c r="J360">
        <v>0</v>
      </c>
      <c r="K360">
        <v>48</v>
      </c>
      <c r="L360" s="3"/>
    </row>
    <row r="361" spans="1:12" ht="13.15" customHeight="1" x14ac:dyDescent="0.25">
      <c r="A361" s="224" t="s">
        <v>1089</v>
      </c>
      <c r="B361" s="1" t="s">
        <v>496</v>
      </c>
      <c r="C361" s="4" t="s">
        <v>1113</v>
      </c>
      <c r="D361" s="2">
        <v>22</v>
      </c>
      <c r="E361" s="2"/>
      <c r="F361" s="229">
        <f>Таблица3[[#This Row],[Площадь (приват.)]]+Таблица3[[#This Row],[Площадь (муницип.)]]</f>
        <v>1739.3</v>
      </c>
      <c r="G361">
        <v>1940.9</v>
      </c>
      <c r="H361">
        <v>1739.3</v>
      </c>
      <c r="I361">
        <v>0</v>
      </c>
      <c r="J361">
        <v>201.6</v>
      </c>
      <c r="K361">
        <v>30</v>
      </c>
      <c r="L361" s="3"/>
    </row>
    <row r="362" spans="1:12" ht="13.15" customHeight="1" x14ac:dyDescent="0.25">
      <c r="A362" s="224" t="s">
        <v>1089</v>
      </c>
      <c r="B362" s="1" t="s">
        <v>491</v>
      </c>
      <c r="C362" s="4" t="s">
        <v>1113</v>
      </c>
      <c r="D362" s="2">
        <v>7</v>
      </c>
      <c r="E362" s="2"/>
      <c r="F362" s="229">
        <f>Таблица3[[#This Row],[Площадь (приват.)]]+Таблица3[[#This Row],[Площадь (муницип.)]]</f>
        <v>1562.98</v>
      </c>
      <c r="G362">
        <v>1738.18</v>
      </c>
      <c r="H362">
        <v>1562.98</v>
      </c>
      <c r="I362">
        <v>0</v>
      </c>
      <c r="J362">
        <v>175.2</v>
      </c>
      <c r="K362">
        <v>26</v>
      </c>
      <c r="L362" s="3"/>
    </row>
    <row r="363" spans="1:12" ht="13.15" customHeight="1" x14ac:dyDescent="0.25">
      <c r="A363" s="224" t="s">
        <v>1089</v>
      </c>
      <c r="B363" s="1" t="s">
        <v>492</v>
      </c>
      <c r="C363" s="4" t="s">
        <v>1113</v>
      </c>
      <c r="D363" s="2">
        <v>9</v>
      </c>
      <c r="E363" s="2"/>
      <c r="F363" s="229">
        <f>Таблица3[[#This Row],[Площадь (приват.)]]+Таблица3[[#This Row],[Площадь (муницип.)]]</f>
        <v>1746.3</v>
      </c>
      <c r="G363">
        <v>1746.3</v>
      </c>
      <c r="H363">
        <v>1673.7</v>
      </c>
      <c r="I363">
        <v>72.599999999999994</v>
      </c>
      <c r="J363">
        <v>0</v>
      </c>
      <c r="K363">
        <v>30</v>
      </c>
      <c r="L363" s="3"/>
    </row>
    <row r="364" spans="1:12" ht="13.15" customHeight="1" x14ac:dyDescent="0.25">
      <c r="A364" s="224" t="s">
        <v>1088</v>
      </c>
      <c r="B364" s="1" t="s">
        <v>427</v>
      </c>
      <c r="C364" s="4" t="s">
        <v>1114</v>
      </c>
      <c r="D364" s="2">
        <v>10</v>
      </c>
      <c r="E364" s="2"/>
      <c r="F364" s="229">
        <f>Таблица3[[#This Row],[Площадь (приват.)]]+Таблица3[[#This Row],[Площадь (муницип.)]]</f>
        <v>1000.8</v>
      </c>
      <c r="G364">
        <v>1138.8</v>
      </c>
      <c r="H364">
        <v>1000.8</v>
      </c>
      <c r="I364">
        <v>0</v>
      </c>
      <c r="J364">
        <v>138</v>
      </c>
      <c r="K364">
        <v>23</v>
      </c>
      <c r="L364" s="3"/>
    </row>
    <row r="365" spans="1:12" ht="13.15" customHeight="1" x14ac:dyDescent="0.25">
      <c r="A365" s="224" t="s">
        <v>1090</v>
      </c>
      <c r="B365" s="1" t="s">
        <v>547</v>
      </c>
      <c r="C365" s="4" t="s">
        <v>1114</v>
      </c>
      <c r="D365" s="2">
        <v>11</v>
      </c>
      <c r="E365" s="2"/>
      <c r="F365" s="229">
        <f>Таблица3[[#This Row],[Площадь (приват.)]]+Таблица3[[#This Row],[Площадь (муницип.)]]</f>
        <v>4063</v>
      </c>
      <c r="G365">
        <v>4962.1000000000004</v>
      </c>
      <c r="H365">
        <v>4001.7</v>
      </c>
      <c r="I365">
        <v>61.3</v>
      </c>
      <c r="J365">
        <v>899.1</v>
      </c>
      <c r="K365">
        <v>56</v>
      </c>
      <c r="L365" s="3"/>
    </row>
    <row r="366" spans="1:12" ht="13.15" customHeight="1" x14ac:dyDescent="0.25">
      <c r="A366" s="224" t="s">
        <v>1088</v>
      </c>
      <c r="B366" s="1" t="s">
        <v>428</v>
      </c>
      <c r="C366" s="4" t="s">
        <v>1114</v>
      </c>
      <c r="D366" s="2">
        <v>12</v>
      </c>
      <c r="E366" s="2"/>
      <c r="F366" s="229">
        <f>Таблица3[[#This Row],[Площадь (приват.)]]+Таблица3[[#This Row],[Площадь (муницип.)]]</f>
        <v>1788.2</v>
      </c>
      <c r="G366">
        <v>2249</v>
      </c>
      <c r="H366">
        <v>1788.2</v>
      </c>
      <c r="I366">
        <v>0</v>
      </c>
      <c r="J366">
        <v>460.8</v>
      </c>
      <c r="K366">
        <v>34</v>
      </c>
      <c r="L366" s="3"/>
    </row>
    <row r="367" spans="1:12" ht="13.15" customHeight="1" x14ac:dyDescent="0.25">
      <c r="A367" s="224" t="s">
        <v>1090</v>
      </c>
      <c r="B367" s="1" t="s">
        <v>548</v>
      </c>
      <c r="C367" s="4" t="s">
        <v>1114</v>
      </c>
      <c r="D367" s="2">
        <v>13</v>
      </c>
      <c r="E367" s="2"/>
      <c r="F367" s="229">
        <f>Таблица3[[#This Row],[Площадь (приват.)]]+Таблица3[[#This Row],[Площадь (муницип.)]]</f>
        <v>2139.5</v>
      </c>
      <c r="G367">
        <v>2292.5</v>
      </c>
      <c r="H367">
        <v>2139.5</v>
      </c>
      <c r="I367">
        <v>0</v>
      </c>
      <c r="J367">
        <v>153</v>
      </c>
      <c r="K367">
        <v>34</v>
      </c>
      <c r="L367" s="3"/>
    </row>
    <row r="368" spans="1:12" ht="13.15" customHeight="1" x14ac:dyDescent="0.25">
      <c r="A368" s="224" t="s">
        <v>1090</v>
      </c>
      <c r="B368" s="1" t="s">
        <v>549</v>
      </c>
      <c r="C368" s="4" t="s">
        <v>1114</v>
      </c>
      <c r="D368" s="2">
        <v>15</v>
      </c>
      <c r="E368" s="2"/>
      <c r="F368" s="229">
        <f>Таблица3[[#This Row],[Площадь (приват.)]]+Таблица3[[#This Row],[Площадь (муницип.)]]</f>
        <v>2501.4</v>
      </c>
      <c r="G368">
        <v>3169.3</v>
      </c>
      <c r="H368">
        <v>2501.4</v>
      </c>
      <c r="I368">
        <v>0</v>
      </c>
      <c r="J368">
        <v>667.9</v>
      </c>
      <c r="K368">
        <v>39</v>
      </c>
      <c r="L368" s="3"/>
    </row>
    <row r="369" spans="1:12" ht="13.15" customHeight="1" x14ac:dyDescent="0.25">
      <c r="A369" s="224" t="s">
        <v>1090</v>
      </c>
      <c r="B369" s="1" t="s">
        <v>550</v>
      </c>
      <c r="C369" s="4" t="s">
        <v>1114</v>
      </c>
      <c r="D369" s="2">
        <v>18</v>
      </c>
      <c r="E369" s="2"/>
      <c r="F369" s="229">
        <f>Таблица3[[#This Row],[Площадь (приват.)]]+Таблица3[[#This Row],[Площадь (муницип.)]]</f>
        <v>2748.5</v>
      </c>
      <c r="G369">
        <v>3299.5</v>
      </c>
      <c r="H369">
        <v>2748.5</v>
      </c>
      <c r="I369">
        <v>0</v>
      </c>
      <c r="J369">
        <v>551</v>
      </c>
      <c r="K369">
        <v>44</v>
      </c>
      <c r="L369" s="3"/>
    </row>
    <row r="370" spans="1:12" ht="13.15" customHeight="1" x14ac:dyDescent="0.25">
      <c r="A370" s="224" t="s">
        <v>1098</v>
      </c>
      <c r="B370" s="1" t="s">
        <v>1066</v>
      </c>
      <c r="C370" s="4" t="s">
        <v>1114</v>
      </c>
      <c r="D370" s="2">
        <v>19</v>
      </c>
      <c r="E370" s="2"/>
      <c r="F370" s="229">
        <f>Таблица3[[#This Row],[Площадь (приват.)]]+Таблица3[[#This Row],[Площадь (муницип.)]]</f>
        <v>1710</v>
      </c>
      <c r="G370">
        <v>1949.6</v>
      </c>
      <c r="H370">
        <v>1710</v>
      </c>
      <c r="I370">
        <v>0</v>
      </c>
      <c r="J370">
        <v>239.6</v>
      </c>
      <c r="K370">
        <v>31</v>
      </c>
      <c r="L370" s="3"/>
    </row>
    <row r="371" spans="1:12" ht="13.15" customHeight="1" x14ac:dyDescent="0.25">
      <c r="A371" s="224" t="s">
        <v>1098</v>
      </c>
      <c r="B371" s="1" t="s">
        <v>650</v>
      </c>
      <c r="C371" s="4" t="s">
        <v>1114</v>
      </c>
      <c r="D371" s="2">
        <v>19</v>
      </c>
      <c r="E371" s="2" t="s">
        <v>1085</v>
      </c>
      <c r="F371" s="229">
        <f>Таблица3[[#This Row],[Площадь (приват.)]]+Таблица3[[#This Row],[Площадь (муницип.)]]</f>
        <v>2287</v>
      </c>
      <c r="G371">
        <v>2497.8000000000002</v>
      </c>
      <c r="H371">
        <v>2217.3000000000002</v>
      </c>
      <c r="I371">
        <v>69.7</v>
      </c>
      <c r="J371">
        <v>210.8</v>
      </c>
      <c r="K371">
        <v>40</v>
      </c>
      <c r="L371" s="3"/>
    </row>
    <row r="372" spans="1:12" ht="13.15" customHeight="1" x14ac:dyDescent="0.25">
      <c r="A372" s="224" t="s">
        <v>1090</v>
      </c>
      <c r="B372" s="1" t="s">
        <v>551</v>
      </c>
      <c r="C372" s="4" t="s">
        <v>1114</v>
      </c>
      <c r="D372" s="2">
        <v>20</v>
      </c>
      <c r="E372" s="2"/>
      <c r="F372" s="229">
        <f>Таблица3[[#This Row],[Площадь (приват.)]]+Таблица3[[#This Row],[Площадь (муницип.)]]</f>
        <v>1578.6999999999998</v>
      </c>
      <c r="G372">
        <v>2272.3000000000002</v>
      </c>
      <c r="H372">
        <v>1521.1</v>
      </c>
      <c r="I372">
        <v>57.6</v>
      </c>
      <c r="J372">
        <v>693.6</v>
      </c>
      <c r="K372">
        <v>25</v>
      </c>
      <c r="L372" s="3"/>
    </row>
    <row r="373" spans="1:12" ht="13.15" customHeight="1" x14ac:dyDescent="0.25">
      <c r="A373" s="224" t="s">
        <v>1098</v>
      </c>
      <c r="B373" s="1" t="s">
        <v>651</v>
      </c>
      <c r="C373" s="4" t="s">
        <v>1114</v>
      </c>
      <c r="D373" s="2">
        <v>21</v>
      </c>
      <c r="E373" s="2"/>
      <c r="F373" s="229">
        <f>Таблица3[[#This Row],[Площадь (приват.)]]+Таблица3[[#This Row],[Площадь (муницип.)]]</f>
        <v>1643.36</v>
      </c>
      <c r="G373">
        <v>1979.06</v>
      </c>
      <c r="H373">
        <v>1523.86</v>
      </c>
      <c r="I373">
        <v>119.5</v>
      </c>
      <c r="J373">
        <v>335.7</v>
      </c>
      <c r="K373">
        <v>29</v>
      </c>
      <c r="L373" s="3"/>
    </row>
    <row r="374" spans="1:12" ht="13.15" customHeight="1" x14ac:dyDescent="0.25">
      <c r="A374" s="224" t="s">
        <v>1090</v>
      </c>
      <c r="B374" s="1" t="s">
        <v>552</v>
      </c>
      <c r="C374" s="4" t="s">
        <v>1114</v>
      </c>
      <c r="D374" s="2">
        <v>22</v>
      </c>
      <c r="E374" s="2"/>
      <c r="F374" s="229">
        <f>Таблица3[[#This Row],[Площадь (приват.)]]+Таблица3[[#This Row],[Площадь (муницип.)]]</f>
        <v>2254.8000000000002</v>
      </c>
      <c r="G374">
        <v>2671.9</v>
      </c>
      <c r="H374">
        <v>2254.8000000000002</v>
      </c>
      <c r="I374">
        <v>0</v>
      </c>
      <c r="J374">
        <v>417.1</v>
      </c>
      <c r="K374">
        <v>38</v>
      </c>
      <c r="L374" s="3"/>
    </row>
    <row r="375" spans="1:12" ht="13.15" customHeight="1" x14ac:dyDescent="0.25">
      <c r="A375" s="224" t="s">
        <v>1098</v>
      </c>
      <c r="B375" s="1" t="s">
        <v>1322</v>
      </c>
      <c r="C375" s="4" t="s">
        <v>1114</v>
      </c>
      <c r="D375" s="2">
        <v>23</v>
      </c>
      <c r="E375" s="2"/>
      <c r="F375" s="229">
        <f>Таблица3[[#This Row],[Площадь (приват.)]]+Таблица3[[#This Row],[Площадь (муницип.)]]</f>
        <v>2296.6999999999998</v>
      </c>
      <c r="G375">
        <v>2767</v>
      </c>
      <c r="H375">
        <v>2296.6999999999998</v>
      </c>
      <c r="I375">
        <v>0</v>
      </c>
      <c r="J375">
        <v>470.3</v>
      </c>
      <c r="K375">
        <v>40</v>
      </c>
      <c r="L375" s="3"/>
    </row>
    <row r="376" spans="1:12" ht="13.15" customHeight="1" x14ac:dyDescent="0.25">
      <c r="A376" s="224" t="s">
        <v>1088</v>
      </c>
      <c r="B376" s="1" t="s">
        <v>419</v>
      </c>
      <c r="C376" s="4" t="s">
        <v>1114</v>
      </c>
      <c r="D376" s="2">
        <v>3</v>
      </c>
      <c r="E376" s="2"/>
      <c r="F376" s="229">
        <f>Таблица3[[#This Row],[Площадь (приват.)]]+Таблица3[[#This Row],[Площадь (муницип.)]]</f>
        <v>1101.0999999999999</v>
      </c>
      <c r="G376">
        <v>1356.9</v>
      </c>
      <c r="H376">
        <v>1101.0999999999999</v>
      </c>
      <c r="I376">
        <v>0</v>
      </c>
      <c r="J376">
        <v>255.8</v>
      </c>
      <c r="K376">
        <v>23</v>
      </c>
      <c r="L376" s="3"/>
    </row>
    <row r="377" spans="1:12" ht="13.15" customHeight="1" x14ac:dyDescent="0.25">
      <c r="A377" s="224" t="s">
        <v>1098</v>
      </c>
      <c r="B377" s="1" t="s">
        <v>652</v>
      </c>
      <c r="C377" s="4" t="s">
        <v>1114</v>
      </c>
      <c r="D377" s="2">
        <v>30</v>
      </c>
      <c r="E377" s="2"/>
      <c r="F377" s="229">
        <f>Таблица3[[#This Row],[Площадь (приват.)]]+Таблица3[[#This Row],[Площадь (муницип.)]]</f>
        <v>4502.2</v>
      </c>
      <c r="G377">
        <v>5389.7</v>
      </c>
      <c r="H377">
        <v>4333.5</v>
      </c>
      <c r="I377">
        <v>168.7</v>
      </c>
      <c r="J377">
        <v>887.5</v>
      </c>
      <c r="K377">
        <v>74</v>
      </c>
      <c r="L377" s="3"/>
    </row>
    <row r="378" spans="1:12" ht="13.15" customHeight="1" x14ac:dyDescent="0.25">
      <c r="A378" s="224" t="s">
        <v>1088</v>
      </c>
      <c r="B378" s="1" t="s">
        <v>420</v>
      </c>
      <c r="C378" s="4" t="s">
        <v>1114</v>
      </c>
      <c r="D378" s="2">
        <v>4</v>
      </c>
      <c r="E378" s="2"/>
      <c r="F378" s="229">
        <f>Таблица3[[#This Row],[Площадь (приват.)]]+Таблица3[[#This Row],[Площадь (муницип.)]]</f>
        <v>1778.3</v>
      </c>
      <c r="G378">
        <v>1883.2</v>
      </c>
      <c r="H378">
        <v>1778.3</v>
      </c>
      <c r="I378">
        <v>0</v>
      </c>
      <c r="J378">
        <v>104.9</v>
      </c>
      <c r="K378">
        <v>46</v>
      </c>
      <c r="L378" s="3"/>
    </row>
    <row r="379" spans="1:12" ht="13.15" customHeight="1" x14ac:dyDescent="0.25">
      <c r="A379" s="224" t="s">
        <v>1088</v>
      </c>
      <c r="B379" s="1" t="s">
        <v>421</v>
      </c>
      <c r="C379" s="4" t="s">
        <v>1114</v>
      </c>
      <c r="D379" s="2">
        <v>5</v>
      </c>
      <c r="E379" s="2"/>
      <c r="F379" s="229">
        <f>Таблица3[[#This Row],[Площадь (приват.)]]+Таблица3[[#This Row],[Площадь (муницип.)]]</f>
        <v>2791.3</v>
      </c>
      <c r="G379">
        <v>2951.1</v>
      </c>
      <c r="H379">
        <v>2689</v>
      </c>
      <c r="I379">
        <v>102.3</v>
      </c>
      <c r="J379">
        <v>159.80000000000001</v>
      </c>
      <c r="K379">
        <v>55</v>
      </c>
      <c r="L379" s="3"/>
    </row>
    <row r="380" spans="1:12" ht="13.15" customHeight="1" x14ac:dyDescent="0.25">
      <c r="A380" s="224" t="s">
        <v>1088</v>
      </c>
      <c r="B380" s="1" t="s">
        <v>422</v>
      </c>
      <c r="C380" s="4" t="s">
        <v>1114</v>
      </c>
      <c r="D380" s="2">
        <v>5</v>
      </c>
      <c r="E380" s="2" t="s">
        <v>1085</v>
      </c>
      <c r="F380" s="229">
        <f>Таблица3[[#This Row],[Площадь (приват.)]]+Таблица3[[#This Row],[Площадь (муницип.)]]</f>
        <v>1160.2</v>
      </c>
      <c r="G380">
        <v>1379.2</v>
      </c>
      <c r="H380">
        <v>1127</v>
      </c>
      <c r="I380">
        <v>33.200000000000003</v>
      </c>
      <c r="J380">
        <v>219</v>
      </c>
      <c r="K380">
        <v>24</v>
      </c>
      <c r="L380" s="3"/>
    </row>
    <row r="381" spans="1:12" ht="13.15" customHeight="1" x14ac:dyDescent="0.25">
      <c r="A381" s="224" t="s">
        <v>1088</v>
      </c>
      <c r="B381" s="1" t="s">
        <v>423</v>
      </c>
      <c r="C381" s="4" t="s">
        <v>1114</v>
      </c>
      <c r="D381" s="2">
        <v>7</v>
      </c>
      <c r="E381" s="2"/>
      <c r="F381" s="229">
        <f>Таблица3[[#This Row],[Площадь (приват.)]]+Таблица3[[#This Row],[Площадь (муницип.)]]</f>
        <v>1466.6</v>
      </c>
      <c r="G381">
        <v>1850.3</v>
      </c>
      <c r="H381">
        <v>1466.6</v>
      </c>
      <c r="I381">
        <v>0</v>
      </c>
      <c r="J381">
        <v>383.7</v>
      </c>
      <c r="K381">
        <v>32</v>
      </c>
      <c r="L381" s="3"/>
    </row>
    <row r="382" spans="1:12" ht="13.15" customHeight="1" x14ac:dyDescent="0.25">
      <c r="A382" s="224" t="s">
        <v>1088</v>
      </c>
      <c r="B382" s="1" t="s">
        <v>424</v>
      </c>
      <c r="C382" s="4" t="s">
        <v>1114</v>
      </c>
      <c r="D382" s="2">
        <v>7</v>
      </c>
      <c r="E382" s="2" t="s">
        <v>1085</v>
      </c>
      <c r="F382" s="229">
        <f>Таблица3[[#This Row],[Площадь (приват.)]]+Таблица3[[#This Row],[Площадь (муницип.)]]</f>
        <v>1111.5999999999999</v>
      </c>
      <c r="G382">
        <v>1111.5999999999999</v>
      </c>
      <c r="H382">
        <v>1111.5999999999999</v>
      </c>
      <c r="I382">
        <v>0</v>
      </c>
      <c r="J382">
        <v>0</v>
      </c>
      <c r="K382">
        <v>18</v>
      </c>
      <c r="L382" s="3"/>
    </row>
    <row r="383" spans="1:12" ht="13.15" customHeight="1" x14ac:dyDescent="0.25">
      <c r="A383" s="224" t="s">
        <v>1088</v>
      </c>
      <c r="B383" s="1" t="s">
        <v>425</v>
      </c>
      <c r="C383" s="4" t="s">
        <v>1114</v>
      </c>
      <c r="D383" s="2">
        <v>7</v>
      </c>
      <c r="E383" s="2" t="s">
        <v>1092</v>
      </c>
      <c r="F383" s="229">
        <f>Таблица3[[#This Row],[Площадь (приват.)]]+Таблица3[[#This Row],[Площадь (муницип.)]]</f>
        <v>1159.8</v>
      </c>
      <c r="G383">
        <v>1334.3</v>
      </c>
      <c r="H383">
        <v>1159.8</v>
      </c>
      <c r="I383">
        <v>0</v>
      </c>
      <c r="J383">
        <v>174.5</v>
      </c>
      <c r="K383">
        <v>24</v>
      </c>
      <c r="L383" s="3"/>
    </row>
    <row r="384" spans="1:12" ht="13.15" customHeight="1" x14ac:dyDescent="0.25">
      <c r="A384" s="224" t="s">
        <v>1088</v>
      </c>
      <c r="B384" s="1" t="s">
        <v>1323</v>
      </c>
      <c r="C384" s="4" t="s">
        <v>1114</v>
      </c>
      <c r="D384" s="2">
        <v>8</v>
      </c>
      <c r="E384" s="2"/>
      <c r="F384" s="229">
        <f>Таблица3[[#This Row],[Площадь (приват.)]]+Таблица3[[#This Row],[Площадь (муницип.)]]</f>
        <v>2023.5</v>
      </c>
      <c r="G384">
        <v>2210.6</v>
      </c>
      <c r="H384">
        <v>2023.5</v>
      </c>
      <c r="I384">
        <v>0</v>
      </c>
      <c r="J384">
        <v>187.1</v>
      </c>
      <c r="K384">
        <v>36</v>
      </c>
      <c r="L384" s="3"/>
    </row>
    <row r="385" spans="1:12" ht="13.15" customHeight="1" x14ac:dyDescent="0.25">
      <c r="A385" s="224" t="s">
        <v>1088</v>
      </c>
      <c r="B385" s="1" t="s">
        <v>426</v>
      </c>
      <c r="C385" s="4" t="s">
        <v>1114</v>
      </c>
      <c r="D385" s="2">
        <v>9</v>
      </c>
      <c r="E385" s="2"/>
      <c r="F385" s="229">
        <f>Таблица3[[#This Row],[Площадь (приват.)]]+Таблица3[[#This Row],[Площадь (муницип.)]]</f>
        <v>3821.2999999999997</v>
      </c>
      <c r="G385">
        <v>4541</v>
      </c>
      <c r="H385">
        <v>3767.6</v>
      </c>
      <c r="I385">
        <v>53.7</v>
      </c>
      <c r="J385">
        <v>719.7</v>
      </c>
      <c r="K385">
        <v>61</v>
      </c>
      <c r="L385" s="3"/>
    </row>
    <row r="386" spans="1:12" ht="13.15" customHeight="1" x14ac:dyDescent="0.2">
      <c r="F386" s="256">
        <f t="shared" ref="F386:K386" si="0">SUM(F2:F385)</f>
        <v>1007136.1199999999</v>
      </c>
      <c r="G386" s="246">
        <f>SUM(G2:G385)</f>
        <v>1185199.2600000005</v>
      </c>
      <c r="H386" s="246">
        <f t="shared" si="0"/>
        <v>998255.02999999921</v>
      </c>
      <c r="I386" s="360">
        <f t="shared" si="0"/>
        <v>8881.0900000000038</v>
      </c>
      <c r="J386" s="332">
        <f t="shared" si="0"/>
        <v>178063.1400000001</v>
      </c>
      <c r="K386" s="247">
        <f t="shared" si="0"/>
        <v>18367</v>
      </c>
      <c r="L386" s="228"/>
    </row>
    <row r="389" spans="1:12" ht="13.15" customHeight="1" x14ac:dyDescent="0.25">
      <c r="G389" s="161"/>
      <c r="H389" s="161"/>
      <c r="I389" s="359"/>
      <c r="J389" s="161"/>
      <c r="K389" s="294"/>
      <c r="L389" s="295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МКД</vt:lpstr>
      <vt:lpstr>Нежилые</vt:lpstr>
      <vt:lpstr>ЕРКЦ</vt:lpstr>
      <vt:lpstr>ЕРКЦ!База_данных</vt:lpstr>
      <vt:lpstr>МКД!Заголовки_для_печати</vt:lpstr>
      <vt:lpstr>МКД!Область_печати</vt:lpstr>
    </vt:vector>
  </TitlesOfParts>
  <Company>МП трест Теплофикация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ПТО</dc:creator>
  <cp:lastModifiedBy>User</cp:lastModifiedBy>
  <cp:lastPrinted>2024-02-12T09:52:43Z</cp:lastPrinted>
  <dcterms:created xsi:type="dcterms:W3CDTF">2012-07-20T08:55:04Z</dcterms:created>
  <dcterms:modified xsi:type="dcterms:W3CDTF">2024-04-15T08:38:21Z</dcterms:modified>
</cp:coreProperties>
</file>